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res" sheetId="1" r:id="rId4"/>
    <sheet state="visible" name="Variables" sheetId="2" r:id="rId5"/>
    <sheet state="visible" name="Insights surplace" sheetId="3" r:id="rId6"/>
    <sheet state="visible" name="Insights Livraison" sheetId="4" r:id="rId7"/>
    <sheet state="visible" name="CA" sheetId="5" r:id="rId8"/>
    <sheet state="visible" name="Personnel" sheetId="6" r:id="rId9"/>
    <sheet state="visible" name="Charges dexploitation" sheetId="7" r:id="rId10"/>
    <sheet state="visible" name="Détail investissements" sheetId="8" r:id="rId11"/>
    <sheet state="hidden" name="Insights 1h" sheetId="9" r:id="rId12"/>
    <sheet state="hidden" name="Insights 1h30" sheetId="10" r:id="rId13"/>
    <sheet state="hidden" name="Insights 25 couverts" sheetId="11" r:id="rId14"/>
    <sheet state="hidden" name="Insights Pages35 - Objectif" sheetId="12" r:id="rId15"/>
    <sheet state="hidden" name="Insights POPEille" sheetId="13" r:id="rId16"/>
    <sheet state="visible" name="Investissements" sheetId="14" r:id="rId17"/>
    <sheet state="visible" name="Cash Flow" sheetId="15" r:id="rId18"/>
    <sheet state="visible" name="BFR " sheetId="16" r:id="rId19"/>
    <sheet state="visible" name="CR" sheetId="17" r:id="rId20"/>
    <sheet state="visible" name="Bilan" sheetId="18" r:id="rId21"/>
    <sheet state="visible" name="Plan de financement" sheetId="19" r:id="rId22"/>
    <sheet state="visible" name="Financements" sheetId="20" r:id="rId23"/>
    <sheet state="visible" name="Financement - Emprunt 1" sheetId="21" r:id="rId24"/>
    <sheet state="visible" name="Financement - Emprunt 2" sheetId="22" r:id="rId25"/>
    <sheet state="visible" name="Financement - Emprunt 3" sheetId="23" r:id="rId26"/>
    <sheet state="visible" name="Valorisation" sheetId="24" r:id="rId27"/>
  </sheets>
  <definedNames>
    <definedName name="TRAINING_UNIT_PRICE">Variables!#REF!</definedName>
    <definedName name="UNIT_5">Variables!$J$12</definedName>
    <definedName localSheetId="19" name="Z_E6596C0B_1A16_4C13_A664_892027304A31_.wvu.PrintArea">Financements!$B$1:$T$67</definedName>
    <definedName localSheetId="18" name="Z_EEA24EE8_2525_C446_8B59_1C9C99656C98_.wvu.PrintArea">'Plan de financement'!$A$1:$G$57</definedName>
    <definedName localSheetId="15" name="Z_EEA24EE8_2525_C446_8B59_1C9C99656C98_.wvu.PrintArea">'BFR '!$B$26:$O$44</definedName>
    <definedName name="UNIT_PRICE_CLIENT_F">Variables!$I$15</definedName>
    <definedName name="Statut_JEI">Variables!$C$24</definedName>
    <definedName name="UNIT_PRICE_CLIENT_A">Variables!$I$10</definedName>
    <definedName name="UNIT_PRICE_DECOUVERTE">Variables!$I$10</definedName>
    <definedName name="UNIT_20">Variables!$J$14</definedName>
    <definedName localSheetId="13" name="Z_15B2DCEA_87E0_4C3D_A53F_208BD26E925F_.wvu.PrintArea">Investissements!$B$1:$Q$77</definedName>
    <definedName localSheetId="14" name="Z_8C30E345_2AE0_4C49_8CA3_C007F1DFF339_.wvu.PrintArea">'Cash Flow'!$B$1:$AF$40</definedName>
    <definedName localSheetId="14" name="Z_E6596C0B_1A16_4C13_A664_892027304A31_.wvu.PrintArea">'Cash Flow'!$B$1:$AF$40</definedName>
    <definedName localSheetId="14" name="Z_15B2DCEA_87E0_4C3D_A53F_208BD26E925F_.wvu.PrintArea">'Cash Flow'!$B$1:$AF$40</definedName>
    <definedName name="SIZE_LARGE">Variables!$C$35</definedName>
    <definedName localSheetId="16" name="Z_15B2DCEA_87E0_4C3D_A53F_208BD26E925F_.wvu.PrintArea">CR!$B$1:$O$58</definedName>
    <definedName name="Taux_de_commission">Variables!$C$11</definedName>
    <definedName name="Salaires_Immob_DG">Variables!$C$14</definedName>
    <definedName localSheetId="16" name="Z_8C30E345_2AE0_4C49_8CA3_C007F1DFF339_.wvu.PrintArea">CR!$B$1:$O$58</definedName>
    <definedName localSheetId="19" name="Z_61AF70DF_5A11_444F_A95C_90F81E928498_.wvu.PrintArea">Financements!$B$1:$T$67</definedName>
    <definedName name="CONFLUENCE_PRICE">Variables!$F$27</definedName>
    <definedName name="GOOGLE_PRICE">Variables!$F$25</definedName>
    <definedName name="UNIT_1">Variables!$J$11</definedName>
    <definedName name="UNIT_60">Variables!$J$16</definedName>
    <definedName name="Impot_sur_sociétés">Variables!$C$19</definedName>
    <definedName localSheetId="17" name="Z_15B2DCEA_87E0_4C3D_A53F_208BD26E925F_.wvu.PrintArea">Bilan!$A$1:$G$57</definedName>
    <definedName localSheetId="15" name="Z_61AF70DF_5A11_444F_A95C_90F81E928498_.wvu.PrintArea">'BFR '!$B$26:$O$44</definedName>
    <definedName name="Salaires_Immob_Prod_Dev">Variables!$C$15</definedName>
    <definedName name="Délai_paiement_invest">Variables!$F$18</definedName>
    <definedName name="Taux_de_CICE">Variables!$C$10</definedName>
    <definedName localSheetId="13" name="Z_E6596C0B_1A16_4C13_A664_892027304A31_.wvu.PrintArea">Investissements!$B$1:$Q$77</definedName>
    <definedName name="SIZE_SMALL">Variables!$C$33</definedName>
    <definedName localSheetId="17" name="Z_8C30E345_2AE0_4C49_8CA3_C007F1DFF339_.wvu.PrintArea">Bilan!$A$1:$G$57</definedName>
    <definedName name="Taux_de_TVA_investissement">Variables!$C$20</definedName>
    <definedName name="Délai_paiement_ST">Variables!$F$16</definedName>
    <definedName localSheetId="19" name="Z_B9E23C8B_E79A_4E77_BB37_453028BABEDF_.wvu.PrintArea">Financements!$B$1:$H$67</definedName>
    <definedName localSheetId="18" name="Z_E6596C0B_1A16_4C13_A664_892027304A31_.wvu.PrintArea">'Plan de financement'!$A$1:$G$57</definedName>
    <definedName name="UNIT_PRICE_ILLIMITE">Variables!$I$17</definedName>
    <definedName localSheetId="16" name="Z_9F2F25DB_E3B2_4813_9899_141DF1E6770F_.wvu.PrintArea">CR!$B$1:$O$58</definedName>
    <definedName localSheetId="13" name="Z_9F2F25DB_E3B2_4813_9899_141DF1E6770F_.wvu.PrintArea">Investissements!$B$1:$G$78</definedName>
    <definedName localSheetId="15" name="Z_8C30E345_2AE0_4C49_8CA3_C007F1DFF339_.wvu.PrintArea">'BFR '!$B$26:$O$44</definedName>
    <definedName localSheetId="19" name="Z_8C30E345_2AE0_4C49_8CA3_C007F1DFF339_.wvu.PrintArea">Financements!$B$1:$T$67</definedName>
    <definedName name="Inflation_salaires">Variables!$C$12</definedName>
    <definedName name="UNIT_PRICE_CLIENT_D">Variables!$I$13</definedName>
    <definedName name="inflation_vente">Variables!$I$45</definedName>
    <definedName name="EMPLOYEE_KIT_COST">Variables!$C$34</definedName>
    <definedName name="UNIT_PRICE_60_UNITE">Variables!$I$16</definedName>
    <definedName name="WEBFLOW_PRICING">Variables!$F$31</definedName>
    <definedName name="Durée_de_stockage_A">Variables!$F$21</definedName>
    <definedName localSheetId="19" name="Z_9F2F25DB_E3B2_4813_9899_141DF1E6770F_.wvu.PrintArea">Financements!$B$1:$G$67</definedName>
    <definedName localSheetId="17" name="Z_EEA24EE8_2525_C446_8B59_1C9C99656C98_.wvu.PrintArea">Bilan!$A$1:$G$57</definedName>
    <definedName name="TJH">#REF!</definedName>
    <definedName name="date_début">Variables!$F$5</definedName>
    <definedName name="Délai_paiement_Achat">Variables!$F$15</definedName>
    <definedName localSheetId="18" name="Z_8C30E345_2AE0_4C49_8CA3_C007F1DFF339_.wvu.PrintArea">'Plan de financement'!$A$1:$G$57</definedName>
    <definedName name="UNIT_PRICE_CLIENT_B">Variables!$I$11</definedName>
    <definedName localSheetId="17" name="Z_61AF70DF_5A11_444F_A95C_90F81E928498_.wvu.PrintArea">Bilan!$A$1:$G$57</definedName>
    <definedName name="wacc">Valorisation!$C$27</definedName>
    <definedName name="Délai_encaissement_B">Variables!$F$10</definedName>
    <definedName localSheetId="14" name="Z_61AF70DF_5A11_444F_A95C_90F81E928498_.wvu.PrintArea">'Cash Flow'!$B$1:$AF$40</definedName>
    <definedName name="UNIT_PRICE_CLIENT_E">Variables!$I$14</definedName>
    <definedName localSheetId="16" name="Z_EEA24EE8_2525_C446_8B59_1C9C99656C98_.wvu.PrintArea">CR!$B$1:$O$58</definedName>
    <definedName localSheetId="17" name="Z_E6596C0B_1A16_4C13_A664_892027304A31_.wvu.PrintArea">Bilan!$A$1:$G$57</definedName>
    <definedName name="LINKEDIN_PRICE">Variables!$F$29</definedName>
    <definedName localSheetId="16" name="Z_E6596C0B_1A16_4C13_A664_892027304A31_.wvu.PrintArea">CR!$B$1:$O$58</definedName>
    <definedName localSheetId="18" name="Z_15B2DCEA_87E0_4C3D_A53F_208BD26E925F_.wvu.PrintArea">'Plan de financement'!$A$1:$G$57</definedName>
    <definedName localSheetId="13" name="Z_8C30E345_2AE0_4C49_8CA3_C007F1DFF339_.wvu.PrintArea">Investissements!$B$1:$Q$77</definedName>
    <definedName name="Taux_charges_sociales">Variables!$C$9</definedName>
    <definedName name="UNIT_PRICE_CLIENT_C">Variables!$I$12</definedName>
    <definedName name="Délai_encaissement_A">Variables!$F$9</definedName>
    <definedName name="Statut_CIR">Variables!$C$26</definedName>
    <definedName localSheetId="13" name="Z_61AF70DF_5A11_444F_A95C_90F81E928498_.wvu.PrintArea">Investissements!$B$1:$Q$77</definedName>
    <definedName localSheetId="16" name="Z_B9E23C8B_E79A_4E77_BB37_453028BABEDF_.wvu.PrintArea">CR!$B$1:$O$58</definedName>
    <definedName name="TJM">#REF!</definedName>
    <definedName name="Délai_paiement_charges">Variables!$F$17</definedName>
    <definedName localSheetId="15" name="Z_15B2DCEA_87E0_4C3D_A53F_208BD26E925F_.wvu.PrintArea">'BFR '!$B$26:$O$44</definedName>
    <definedName name="Durée_de_stockage_B">Variables!$F$22</definedName>
    <definedName name="Délai_encaissement_C">Variables!$F$11</definedName>
    <definedName localSheetId="15" name="Z_E6596C0B_1A16_4C13_A664_892027304A31_.wvu.PrintArea">'BFR '!$B$26:$O$44</definedName>
    <definedName name="Taux_Charges_Sociales_JEI">Variables!$C$25</definedName>
    <definedName localSheetId="19" name="Z_15B2DCEA_87E0_4C3D_A53F_208BD26E925F_.wvu.PrintArea">Financements!$B$1:$T$67</definedName>
    <definedName localSheetId="13" name="Z_EEA24EE8_2525_C446_8B59_1C9C99656C98_.wvu.PrintArea">Investissements!$B$1:$Q$77</definedName>
    <definedName name="JIRA_PRICE">Variables!$F$26</definedName>
    <definedName localSheetId="14" name="Z_EEA24EE8_2525_C446_8B59_1C9C99656C98_.wvu.PrintArea">'Cash Flow'!$B$1:$AF$40</definedName>
    <definedName localSheetId="19" name="Z_EEA24EE8_2525_C446_8B59_1C9C99656C98_.wvu.PrintArea">Financements!$B$1:$T$67</definedName>
    <definedName name="Délai_encaissement_D">Variables!$F$12</definedName>
    <definedName name="SLACK_PRICE">Variables!$F$28</definedName>
    <definedName name="UNIT_10">Variables!$J$13</definedName>
    <definedName localSheetId="18" name="Z_61AF70DF_5A11_444F_A95C_90F81E928498_.wvu.PrintArea">'Plan de financement'!$A$1:$G$57</definedName>
    <definedName name="UNIT_30">Variables!$J$15</definedName>
    <definedName localSheetId="16" name="Z_61AF70DF_5A11_444F_A95C_90F81E928498_.wvu.PrintArea">CR!$B$1:$O$58</definedName>
    <definedName name="Taux_de_CIR">Variables!$C$27</definedName>
    <definedName name="GITHUB_PRICE">Variables!$F$30</definedName>
    <definedName name="Taux_de_TVA_moyen">Variables!$C$21</definedName>
    <definedName name="UNIT_DECOUVERTE">Variables!$J$10</definedName>
    <definedName localSheetId="13" name="Z_B9E23C8B_E79A_4E77_BB37_453028BABEDF_.wvu.PrintArea">Investissements!$B$1:$H$78</definedName>
    <definedName hidden="1" localSheetId="2" name="_xlnm._FilterDatabase">'Insights surplace'!$C$38:$AA$49</definedName>
    <definedName hidden="1" localSheetId="3" name="_xlnm._FilterDatabase">'Insights Livraison'!$C$38:$AA$49</definedName>
    <definedName hidden="1" localSheetId="6" name="_xlnm._FilterDatabase">'Charges dexploitation'!$A$4:$AD$95</definedName>
    <definedName hidden="1" localSheetId="9" name="_xlnm._FilterDatabase">'Insights 1h30'!$C$36:$AA$46</definedName>
    <definedName hidden="1" localSheetId="10" name="_xlnm._FilterDatabase">'Insights 25 couverts'!$C$36:$AA$46</definedName>
    <definedName hidden="1" localSheetId="11" name="_xlnm._FilterDatabase">'Insights Pages35 - Objectif'!$C$36:$AA$46</definedName>
    <definedName hidden="1" localSheetId="12" name="_xlnm._FilterDatabase">'Insights POPEille'!$C$36:$AA$46</definedName>
  </definedNames>
  <calcPr/>
  <extLst>
    <ext uri="GoogleSheetsCustomDataVersion2">
      <go:sheetsCustomData xmlns:go="http://customooxmlschemas.google.com/" r:id="rId28" roundtripDataChecksum="owIwZDK/ehele/HZS4+8Cmkm0jRFo5I/i6Ks9D5Xx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3">
      <text>
        <t xml:space="preserve">======
ID#AAABZN25TTc
Simone sis    (2024-11-26 09:03:21)
ici</t>
      </text>
    </comment>
  </commentList>
  <extLst>
    <ext uri="GoogleSheetsCustomDataVersion2">
      <go:sheetsCustomData xmlns:go="http://customooxmlschemas.google.com/" r:id="rId1" roundtripDataSignature="AMtx7mi55uk2QCXQPdXuQtQ5U+8QLCjhd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9">
      <text>
        <t xml:space="preserve">======
ID#AAABTspyeYE
Simone sis    (2024-10-02 16:12:10)
il faut le penser selon l'aménagement du local et la faisabilité</t>
      </text>
    </comment>
  </commentList>
  <extLst>
    <ext uri="GoogleSheetsCustomDataVersion2">
      <go:sheetsCustomData xmlns:go="http://customooxmlschemas.google.com/" r:id="rId1" roundtripDataSignature="AMtx7mjALqV/QwHLGPHz0o5+h6NPnGVx9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1">
      <text>
        <t xml:space="preserve">======
ID#AAABg_Zgags
Simone sis    (2025-05-17 07:53:40)
mettre une mahcine àlaver à la cave</t>
      </text>
    </comment>
    <comment authorId="0" ref="B48">
      <text>
        <t xml:space="preserve">======
ID#AAABaepyPUU
Simone sis    (2024-12-17 14:17:04)
ST: 336</t>
      </text>
    </comment>
    <comment authorId="0" ref="B28">
      <text>
        <t xml:space="preserve">======
ID#AAABaepyPUQ
Simone sis    (2024-12-17 14:15:59)
ST: 1.55</t>
      </text>
    </comment>
    <comment authorId="0" ref="B19">
      <text>
        <t xml:space="preserve">======
ID#AAABaepyPUM
Simone sis    (2024-12-17 14:13:41)
340</t>
      </text>
    </comment>
    <comment authorId="0" ref="B17">
      <text>
        <t xml:space="preserve">======
ID#AAABaepyPUI
Simone sis    (2024-12-17 14:13:31)
ST: 27</t>
      </text>
    </comment>
    <comment authorId="0" ref="B16">
      <text>
        <t xml:space="preserve">======
ID#AAABaepyPUE
Simone sis    (2024-12-17 14:13:16)
Stella paie 340</t>
      </text>
    </comment>
    <comment authorId="0" ref="B31">
      <text>
        <t xml:space="preserve">======
ID#AAABTspyeYg
Simone sis    (2024-10-02 16:39:51)
on peut ajouter pub ? chaque année?
------
ID#AAABZbkpdJk
Ghassen Menaouar    (2024-11-27 00:31:37)
oui</t>
      </text>
    </comment>
    <comment authorId="0" ref="B46">
      <text>
        <t xml:space="preserve">======
ID#AAABTspyeYU
Simone sis    (2024-10-02 16:21:06)
J'ai pas l'info</t>
      </text>
    </comment>
  </commentList>
  <extLst>
    <ext uri="GoogleSheetsCustomDataVersion2">
      <go:sheetsCustomData xmlns:go="http://customooxmlschemas.google.com/" r:id="rId1" roundtripDataSignature="AMtx7mhhJqUpuDdbr3dHF9DK1plHGDFF1w=="/>
    </ext>
  </extLst>
</comments>
</file>

<file path=xl/sharedStrings.xml><?xml version="1.0" encoding="utf-8"?>
<sst xmlns="http://schemas.openxmlformats.org/spreadsheetml/2006/main" count="2205" uniqueCount="756">
  <si>
    <t>$^`</t>
  </si>
  <si>
    <t xml:space="preserve"> BUSINESS PLAN</t>
  </si>
  <si>
    <t>PLAN D'AFFAIRES</t>
  </si>
  <si>
    <t>A) ORGANISATION GENERALE</t>
  </si>
  <si>
    <t>Ce modèle est destiné à permettre de calculer pour un projet les états financiers suivants :</t>
  </si>
  <si>
    <t xml:space="preserve"> - Compte de résultat</t>
  </si>
  <si>
    <t xml:space="preserve"> - Plan de trésorerie (cash-flow)</t>
  </si>
  <si>
    <t xml:space="preserve"> - Bilan </t>
  </si>
  <si>
    <t xml:space="preserve"> - Valorisation</t>
  </si>
  <si>
    <t>Les calculs sont réalisés dans plusieurs modules auxquels correspondent les onglets du présent fichier Excel :</t>
  </si>
  <si>
    <t xml:space="preserve"> - Onglet Variables : Inputs et hypothèses du BP (masse salariale, macroéconomie, délais paiement…)</t>
  </si>
  <si>
    <t xml:space="preserve"> - Onglet CA : Chiffre d'affaire et Prix de Revient (ventilation et calcul de la marge brute sur coûts variables directs) </t>
  </si>
  <si>
    <t xml:space="preserve"> - Onglet Personnel : Dimensionnement dans le temps des Ressources Humaines, par fonction clé</t>
  </si>
  <si>
    <t xml:space="preserve"> - Onglet Charges externes : notamment dépenses de communication et commerciales (hors Personnel)</t>
  </si>
  <si>
    <t xml:space="preserve"> - Onglet Investissements : décomposition des investissements et de leurs amortissements</t>
  </si>
  <si>
    <t xml:space="preserve"> - Onglet Financements : structuration des financements (part capital et part endettement)</t>
  </si>
  <si>
    <t xml:space="preserve"> - Onglet CR : Compte de Résultat détaillé </t>
  </si>
  <si>
    <t xml:space="preserve"> - Onglet Bilan : Bilan détaillé </t>
  </si>
  <si>
    <t xml:space="preserve"> - Onglet BFR : cycle d'exploitation (en fonction des délais de paiement client/fournisseur et stock)</t>
  </si>
  <si>
    <t xml:space="preserve"> - Onglet Cash-flow : projection de la trésorerie mensuelle </t>
  </si>
  <si>
    <t xml:space="preserve"> - Onglet Graphes : Graphiques</t>
  </si>
  <si>
    <t xml:space="preserve"> - Onglet Valorisation : Modèle DCF alimenté par les précédents onglets</t>
  </si>
  <si>
    <t xml:space="preserve">Le modèle consiste donc en un fichier Excel ayant 13 onglets: un de présentation, 6 d'inputs (Variables, CA, Personnel, Charges Externes, Investisst, Financt), </t>
  </si>
  <si>
    <t>5 de synthèse (Bilan, CR, BFR, Cash Flow, Résumé 4 ans), un de valorisation</t>
  </si>
  <si>
    <t>B) OPTIONS GRAPHIQUES</t>
  </si>
  <si>
    <t>Dans tout le modèle le type de trait et la couleur des cellules permettent de connaitre la nature du chiffre indiqué</t>
  </si>
  <si>
    <t xml:space="preserve">Les cellules qui incluent des résultats de calcul ou qui viennent </t>
  </si>
  <si>
    <t xml:space="preserve">d'autres modules sont dans des cellules de type </t>
  </si>
  <si>
    <t>xxxx</t>
  </si>
  <si>
    <t>yyyy</t>
  </si>
  <si>
    <t xml:space="preserve">/ ! \ ne pas entrer de données dans ces cellules </t>
  </si>
  <si>
    <t>au risque de corrompre le modèle (chiffres calculés par des formules)</t>
  </si>
  <si>
    <t xml:space="preserve">Les totaux de premier niveau sont dans des cellules de type </t>
  </si>
  <si>
    <t xml:space="preserve"> xxxx</t>
  </si>
  <si>
    <t xml:space="preserve">  yyyy</t>
  </si>
  <si>
    <t>"</t>
  </si>
  <si>
    <t>Les totaux de deuxième niveau  sont dans des cellules de type</t>
  </si>
  <si>
    <t xml:space="preserve">Les cellules qui doivent recueillir des entrées de données sont de type </t>
  </si>
  <si>
    <t>données à saisir</t>
  </si>
  <si>
    <t>Les cellules qui sont logiquement vides</t>
  </si>
  <si>
    <t xml:space="preserve">sont de type </t>
  </si>
  <si>
    <t>Pas de données</t>
  </si>
  <si>
    <t>Les cellules "contrôle" sont destinées a vérifier la cohérence de certains tableaux</t>
  </si>
  <si>
    <t>si le chiffre est différent de 0</t>
  </si>
  <si>
    <t xml:space="preserve">check </t>
  </si>
  <si>
    <t>il y a un probléme de logique dans le module !</t>
  </si>
  <si>
    <t>Les cellules où est inclus un commentaire explicatif sont de type</t>
  </si>
  <si>
    <t>C) PERIODES CONSIDEREES</t>
  </si>
  <si>
    <t>Le format du modèle couvre 4 ans.</t>
  </si>
  <si>
    <t>Pour les chiffres découlant des années antérieures, seuls les soldes utiles aux calculs sont repris,</t>
  </si>
  <si>
    <t xml:space="preserve">en partant de la liasse fiscale, les onglets Bilan et CR alimentent le BFR et le Cash-Flow </t>
  </si>
  <si>
    <t>Pour les 2 premières années les calculs sont fait mensuellement ou par trimestre, avec des totaux annuels.</t>
  </si>
  <si>
    <t>INPUTS BUSINESS PLAN</t>
  </si>
  <si>
    <t>Date début BP</t>
  </si>
  <si>
    <t>HYPOTHESES GENERALES</t>
  </si>
  <si>
    <t>HYPOTHESE D'EXPLOITATION</t>
  </si>
  <si>
    <t>HYPOTHESE DE MODELE ECONOMIQUE</t>
  </si>
  <si>
    <t>MASSE SALARIALE</t>
  </si>
  <si>
    <t>DÉLAIS D'ENCAISSEMENT CLIENTS</t>
  </si>
  <si>
    <t>en nb de jours</t>
  </si>
  <si>
    <t>Persona</t>
  </si>
  <si>
    <t>Prix HT</t>
  </si>
  <si>
    <t>N° unités</t>
  </si>
  <si>
    <t>TVA</t>
  </si>
  <si>
    <t>Prix à l'unité</t>
  </si>
  <si>
    <t>Description</t>
  </si>
  <si>
    <t>Taux charges sociales (patronale)</t>
  </si>
  <si>
    <t>Délai d'encaissement - Court</t>
  </si>
  <si>
    <t>Unité de gestion</t>
  </si>
  <si>
    <t>1h30</t>
  </si>
  <si>
    <t>Taux de CICE</t>
  </si>
  <si>
    <t>Délai d'encaissement - Moyen</t>
  </si>
  <si>
    <t>client A</t>
  </si>
  <si>
    <t>drink</t>
  </si>
  <si>
    <t>Taux de commission</t>
  </si>
  <si>
    <t>Délai d'encaissement - Long</t>
  </si>
  <si>
    <t>client B</t>
  </si>
  <si>
    <t>drink+patisserie ( gouter/ collation)</t>
  </si>
  <si>
    <t>Inflation salaires</t>
  </si>
  <si>
    <t>xx</t>
  </si>
  <si>
    <t>client C</t>
  </si>
  <si>
    <t>breakfast</t>
  </si>
  <si>
    <t xml:space="preserve">Part de salaires immob. R&amp;D </t>
  </si>
  <si>
    <t>client D</t>
  </si>
  <si>
    <t>lunch</t>
  </si>
  <si>
    <t>Directeur général</t>
  </si>
  <si>
    <t>DÉLAIS DE PAIEMENT FOURNISSEURS</t>
  </si>
  <si>
    <t>client E</t>
  </si>
  <si>
    <t>brunch (lunch+drink+patisserie)</t>
  </si>
  <si>
    <t>Effectif - Production &amp; Dev</t>
  </si>
  <si>
    <t>Délai de paiement - Court</t>
  </si>
  <si>
    <t>Délai de paiement - Moyen</t>
  </si>
  <si>
    <t>Délai de paiement - Long</t>
  </si>
  <si>
    <t>Business Days</t>
  </si>
  <si>
    <t>jours</t>
  </si>
  <si>
    <t>FISCALITE</t>
  </si>
  <si>
    <t>Nombre de jours par an</t>
  </si>
  <si>
    <t>Impôt sur les Sociétés</t>
  </si>
  <si>
    <t>Nombre de jours flottants (fermeture)</t>
  </si>
  <si>
    <t>Taux de TVA investissement</t>
  </si>
  <si>
    <t>DURÉE DE STOCKAGE</t>
  </si>
  <si>
    <t>Nombre de jours ferié</t>
  </si>
  <si>
    <t>Taux de TVA moyen (alcohol 20%, drinks 10%, food10%)</t>
  </si>
  <si>
    <t>Nombre de jours non ouvrés</t>
  </si>
  <si>
    <t>nombre de jours de fermeture annuelle</t>
  </si>
  <si>
    <t>INNOVATION / SUBVENTION</t>
  </si>
  <si>
    <t xml:space="preserve">Statut JEI </t>
  </si>
  <si>
    <t>PRIX ABONNEMENTS</t>
  </si>
  <si>
    <t>Prix</t>
  </si>
  <si>
    <t>Nombre de jours business</t>
  </si>
  <si>
    <t>Taux Charges Sociales JEI</t>
  </si>
  <si>
    <t xml:space="preserve">Statut CIR </t>
  </si>
  <si>
    <t>Taux de remplissage</t>
  </si>
  <si>
    <t>%</t>
  </si>
  <si>
    <t xml:space="preserve">Taux de CIR </t>
  </si>
  <si>
    <t>Remplissage minimal à atteindre</t>
  </si>
  <si>
    <t>Remplissage Optimal</t>
  </si>
  <si>
    <t>KIT Collaborateur</t>
  </si>
  <si>
    <t>xxx</t>
  </si>
  <si>
    <t>Nombre de couverts</t>
  </si>
  <si>
    <t>Places</t>
  </si>
  <si>
    <t>Interieur</t>
  </si>
  <si>
    <t>Terssase</t>
  </si>
  <si>
    <t>Total Kit Collaborateur</t>
  </si>
  <si>
    <t xml:space="preserve">T.estivale </t>
  </si>
  <si>
    <t>Services</t>
  </si>
  <si>
    <t>Min</t>
  </si>
  <si>
    <t>AVG</t>
  </si>
  <si>
    <t>Max</t>
  </si>
  <si>
    <t>Brunch</t>
  </si>
  <si>
    <t>Coallation</t>
  </si>
  <si>
    <t>Livraison</t>
  </si>
  <si>
    <t>Emporter (boisson)</t>
  </si>
  <si>
    <t>Epicerie</t>
  </si>
  <si>
    <t>Traiteur</t>
  </si>
  <si>
    <t>Variables</t>
  </si>
  <si>
    <t>Inflation vente</t>
  </si>
  <si>
    <t>OFFRE RESTAURATION SUR PLACE ET A EMPORTER</t>
  </si>
  <si>
    <t xml:space="preserve">capacité: </t>
  </si>
  <si>
    <t>18 assises</t>
  </si>
  <si>
    <t>Heure-Jour</t>
  </si>
  <si>
    <t>% remplissage horaire</t>
  </si>
  <si>
    <t>8h30-10h</t>
  </si>
  <si>
    <t>10h-11h30</t>
  </si>
  <si>
    <t>11h30-13</t>
  </si>
  <si>
    <t>13h-14h30</t>
  </si>
  <si>
    <t>14h30-16h</t>
  </si>
  <si>
    <t>16h-17h30</t>
  </si>
  <si>
    <t xml:space="preserve">client A </t>
  </si>
  <si>
    <t>Nombre de clients</t>
  </si>
  <si>
    <t>jour/mois</t>
  </si>
  <si>
    <t>mardi</t>
  </si>
  <si>
    <t>mercredi</t>
  </si>
  <si>
    <t>jeudi</t>
  </si>
  <si>
    <t>vendredi</t>
  </si>
  <si>
    <t>samedi</t>
  </si>
  <si>
    <t>dimanche</t>
  </si>
  <si>
    <t>% remplissage journalier</t>
  </si>
  <si>
    <t>Evolution des mois</t>
  </si>
  <si>
    <t>Mois</t>
  </si>
  <si>
    <t>% remplissage mensuel</t>
  </si>
  <si>
    <t>Nombre de client mensuel</t>
  </si>
  <si>
    <t>clients moyen / jour</t>
  </si>
  <si>
    <t>CA jour/mois</t>
  </si>
  <si>
    <t>CA moyen journalier</t>
  </si>
  <si>
    <t>CA mensuel</t>
  </si>
  <si>
    <t>Démarrage</t>
  </si>
  <si>
    <t>Stabilisation</t>
  </si>
  <si>
    <t>Déploiement</t>
  </si>
  <si>
    <t>Objectif</t>
  </si>
  <si>
    <t>Insights</t>
  </si>
  <si>
    <t>CA Annuel</t>
  </si>
  <si>
    <t>CA Mensuel moyen</t>
  </si>
  <si>
    <t>CA journalier moyen</t>
  </si>
  <si>
    <t>Nombre de clients annuel</t>
  </si>
  <si>
    <t>Nombre de clients moyen / jour</t>
  </si>
  <si>
    <t>Panier Moyen</t>
  </si>
  <si>
    <t>panier moyen</t>
  </si>
  <si>
    <t>Produits</t>
  </si>
  <si>
    <t>EPICERIE</t>
  </si>
  <si>
    <t>Confiture maison-pate à tartiner</t>
  </si>
  <si>
    <t>teeshirt-hoodie</t>
  </si>
  <si>
    <t>mug</t>
  </si>
  <si>
    <t>granola-café</t>
  </si>
  <si>
    <t>Coffret occasionnel</t>
  </si>
  <si>
    <t>Restauration - Platefore de livraison</t>
  </si>
  <si>
    <t>CHIFFRE D'AFFAIRES ET COUTS DE PRODUCTION</t>
  </si>
  <si>
    <t>Jan</t>
  </si>
  <si>
    <t>Fév</t>
  </si>
  <si>
    <t>Mar</t>
  </si>
  <si>
    <t>Avr</t>
  </si>
  <si>
    <t>Mai</t>
  </si>
  <si>
    <t>Juin</t>
  </si>
  <si>
    <t>Juil</t>
  </si>
  <si>
    <t>Aout</t>
  </si>
  <si>
    <t>Sept</t>
  </si>
  <si>
    <t>Oct</t>
  </si>
  <si>
    <t>Nov</t>
  </si>
  <si>
    <t>Déc</t>
  </si>
  <si>
    <t>CHIFFRE D'AFFAIRES</t>
  </si>
  <si>
    <t>Restauration</t>
  </si>
  <si>
    <t>CA - client A</t>
  </si>
  <si>
    <t>Nombre de client A</t>
  </si>
  <si>
    <t>CA - client B</t>
  </si>
  <si>
    <t>Nombre de client B</t>
  </si>
  <si>
    <t>CA - client C</t>
  </si>
  <si>
    <t>Nombre de client C</t>
  </si>
  <si>
    <t>CA - client D</t>
  </si>
  <si>
    <t>Nombre de client D</t>
  </si>
  <si>
    <t>CA - client E</t>
  </si>
  <si>
    <t>Nombre de client E</t>
  </si>
  <si>
    <t>CA - client F</t>
  </si>
  <si>
    <t>Nombre de client F</t>
  </si>
  <si>
    <t>Vente-platforme</t>
  </si>
  <si>
    <t>Nombre de plats  vendues</t>
  </si>
  <si>
    <t>Article</t>
  </si>
  <si>
    <t>²</t>
  </si>
  <si>
    <t>% couts  vs CA Produit A</t>
  </si>
  <si>
    <t>TOTAL CHIFFRE D'AFFAIRES</t>
  </si>
  <si>
    <t>check % evolution</t>
  </si>
  <si>
    <t>COUTS ACHATS PRODUCTION</t>
  </si>
  <si>
    <t>% Prix final - client A</t>
  </si>
  <si>
    <t>Cout d'achat production</t>
  </si>
  <si>
    <t>% Prix final - client B</t>
  </si>
  <si>
    <t>% Prix final - client C</t>
  </si>
  <si>
    <t>% Prix final - client D</t>
  </si>
  <si>
    <t>% Prix final - client E</t>
  </si>
  <si>
    <t>% Prix final - client F</t>
  </si>
  <si>
    <t>Livraison / A Emporter</t>
  </si>
  <si>
    <t>% Cout Composant 1 / Prix final - Produit B</t>
  </si>
  <si>
    <t>% Cout Composant 2 / Prix final - Produit B</t>
  </si>
  <si>
    <t>…</t>
  </si>
  <si>
    <t>Total Cout Unitaire B</t>
  </si>
  <si>
    <t>% couts  vs CA Produit B</t>
  </si>
  <si>
    <t>% Cout Composant 1 / Prix final - Service C</t>
  </si>
  <si>
    <t>% Cout Composant 2 / Prix final - Service C</t>
  </si>
  <si>
    <t>Total Cout Unitaire C</t>
  </si>
  <si>
    <t>% couts  vs CA Service C</t>
  </si>
  <si>
    <t>% Couts prestations / Prix final - Service D</t>
  </si>
  <si>
    <t>% Couts fixes / Prix final - Service D</t>
  </si>
  <si>
    <t>Total Cout Unitaire D</t>
  </si>
  <si>
    <t>% couts  vs CA Service D</t>
  </si>
  <si>
    <t>TOTAL COUTS ACHATS PRODUCTION</t>
  </si>
  <si>
    <t>% Cout Achats vs CA</t>
  </si>
  <si>
    <t>check</t>
  </si>
  <si>
    <t>COUTS SALARIAUX PRODUCTION</t>
  </si>
  <si>
    <t xml:space="preserve">Total Effectifs - Production </t>
  </si>
  <si>
    <t>Salaires bruts - Production</t>
  </si>
  <si>
    <t>Charges sociales - Production</t>
  </si>
  <si>
    <t>Sous traitance - Production</t>
  </si>
  <si>
    <t xml:space="preserve">TOTAL COÛTS DE PERSONNEL - PRODUCTION </t>
  </si>
  <si>
    <t>% Cout main d'œuvre de production</t>
  </si>
  <si>
    <t>MARGE BRUTE</t>
  </si>
  <si>
    <t>Total Chiffre d'Affaires</t>
  </si>
  <si>
    <t xml:space="preserve">Total Coûts Production </t>
  </si>
  <si>
    <t>% Marge</t>
  </si>
  <si>
    <t>Contrôle</t>
  </si>
  <si>
    <t>PERSONNEL</t>
  </si>
  <si>
    <t>Salaires</t>
  </si>
  <si>
    <t>EQUIPE DE DIRECTION</t>
  </si>
  <si>
    <t>Annuel</t>
  </si>
  <si>
    <t>Directeurs généraux</t>
  </si>
  <si>
    <t>Assistants - Direction</t>
  </si>
  <si>
    <t>Total Effectifs - Direction</t>
  </si>
  <si>
    <t>Salaires bruts - Direction</t>
  </si>
  <si>
    <t>Charges sociales - Direction</t>
  </si>
  <si>
    <t xml:space="preserve">Total Coûts de personnel - Direction </t>
  </si>
  <si>
    <t>Part du salaire immobilisé  en R&amp;D - Hors Production</t>
  </si>
  <si>
    <t>EQUIPE DE RESTAURATION - CDD/CDI</t>
  </si>
  <si>
    <t>Mensuel</t>
  </si>
  <si>
    <t>Polyvalent/ cuisinier</t>
  </si>
  <si>
    <t>Polyvalent</t>
  </si>
  <si>
    <t>EQUIPE DE RESTAURATION - HORAIRE</t>
  </si>
  <si>
    <t>Horaire</t>
  </si>
  <si>
    <t>vacataire Estival</t>
  </si>
  <si>
    <t>vacataire midi</t>
  </si>
  <si>
    <t>Personnel sous traité - Restauration</t>
  </si>
  <si>
    <t>Total Effectifs - Production fixe</t>
  </si>
  <si>
    <t>Salaires bruts - Production - CDI/CDD</t>
  </si>
  <si>
    <t>Salaires bruts - Production - HORAIRE</t>
  </si>
  <si>
    <t>Total Coûts de personnel - Production</t>
  </si>
  <si>
    <t>Part du salaire immobilisé  en R&amp;D - Production</t>
  </si>
  <si>
    <t>EQUIPE COMMERCIALE &amp; MARKETING</t>
  </si>
  <si>
    <t>Stagiaires - Marketing</t>
  </si>
  <si>
    <t>Personnel sous traité - Commercial/Marketing</t>
  </si>
  <si>
    <t>Total Effectifs - Commercial</t>
  </si>
  <si>
    <t>Salaires bruts - Commercial</t>
  </si>
  <si>
    <t>Commissions - Commercial</t>
  </si>
  <si>
    <t>Charges sociales - Commercial</t>
  </si>
  <si>
    <t>Sous traitance - Commercial</t>
  </si>
  <si>
    <t>Total Coûts de personnel - Commercial</t>
  </si>
  <si>
    <t>ADMINISTRATIF - FINANCE - INFORMATIQUE</t>
  </si>
  <si>
    <t xml:space="preserve">Direction - Administratif </t>
  </si>
  <si>
    <t xml:space="preserve">Employés - Administratif </t>
  </si>
  <si>
    <t xml:space="preserve">Stagiaires - Administratif </t>
  </si>
  <si>
    <t>Personnel sous traité  - Administratif</t>
  </si>
  <si>
    <t xml:space="preserve">Total Effectifs - Administratif </t>
  </si>
  <si>
    <t xml:space="preserve">Salaires bruts- Administratif </t>
  </si>
  <si>
    <t xml:space="preserve">Charges sociales - Administratif </t>
  </si>
  <si>
    <t xml:space="preserve">Sous traitance - Administratif </t>
  </si>
  <si>
    <t>Total Coûts de personnel - Administratif</t>
  </si>
  <si>
    <t>TOUTES DIRECTIONS</t>
  </si>
  <si>
    <t>Total Général en ETP</t>
  </si>
  <si>
    <t xml:space="preserve">dont stagiaires </t>
  </si>
  <si>
    <t>Total Salaires bruts</t>
  </si>
  <si>
    <t>Total Charges sociales</t>
  </si>
  <si>
    <t>Total Sous traitance</t>
  </si>
  <si>
    <t>TOTAL COÛTS DE PERSONNEL</t>
  </si>
  <si>
    <t xml:space="preserve">Total Part du salaire immobilisé  en R&amp;D </t>
  </si>
  <si>
    <t>CHARGES EXTERNES</t>
  </si>
  <si>
    <t>Assurances</t>
  </si>
  <si>
    <t>Assurance RC Pro</t>
  </si>
  <si>
    <t>Assurance Restaurant</t>
  </si>
  <si>
    <t>assurance pret</t>
  </si>
  <si>
    <t>Assurance RC dirigeants</t>
  </si>
  <si>
    <t>Juridique</t>
  </si>
  <si>
    <t>Frais Avocat social</t>
  </si>
  <si>
    <t>Frais Avocat d'affaires</t>
  </si>
  <si>
    <t>Comptabilité et Paie et banques</t>
  </si>
  <si>
    <t>Frais comptables</t>
  </si>
  <si>
    <t xml:space="preserve">caisse enregistreuse </t>
  </si>
  <si>
    <t>Commission cb</t>
  </si>
  <si>
    <t>Frais Bancaires</t>
  </si>
  <si>
    <t>commission carte resto</t>
  </si>
  <si>
    <t>Payfit</t>
  </si>
  <si>
    <t>Informatique &amp; Communication</t>
  </si>
  <si>
    <t>Frais Internet</t>
  </si>
  <si>
    <t>Téléphonie</t>
  </si>
  <si>
    <t>Domaines</t>
  </si>
  <si>
    <t>Hébergement site web</t>
  </si>
  <si>
    <t>Spotify</t>
  </si>
  <si>
    <t>fournistures Administrative</t>
  </si>
  <si>
    <t>serveurs</t>
  </si>
  <si>
    <t>Locaux</t>
  </si>
  <si>
    <t>Fond de commerce</t>
  </si>
  <si>
    <t>Frais d'agence - Fond de commerce</t>
  </si>
  <si>
    <t>Caution BPI (4,06% du prêt 285k)</t>
  </si>
  <si>
    <t>Dépôt de garantie loyer</t>
  </si>
  <si>
    <t>Loyers et charges</t>
  </si>
  <si>
    <t>Nettoyage</t>
  </si>
  <si>
    <t>alarme</t>
  </si>
  <si>
    <t>Transports</t>
  </si>
  <si>
    <t>Blanchisserie</t>
  </si>
  <si>
    <t>Dératisation</t>
  </si>
  <si>
    <t>Produits de nettoyage</t>
  </si>
  <si>
    <t>Energies</t>
  </si>
  <si>
    <t>Eau  de Paris</t>
  </si>
  <si>
    <t>EDF</t>
  </si>
  <si>
    <t>Obligations légales</t>
  </si>
  <si>
    <t>Médecine de travail</t>
  </si>
  <si>
    <t>Impots et taxes (hors IS)</t>
  </si>
  <si>
    <t>CFE (Cot. Foncière des Entreprises)</t>
  </si>
  <si>
    <t>CVAE (Cot. Valeur Ajoutée Entreprise)</t>
  </si>
  <si>
    <t>Taxe foncière</t>
  </si>
  <si>
    <t>DUERP</t>
  </si>
  <si>
    <t>Formation professionnelle</t>
  </si>
  <si>
    <t xml:space="preserve">mutuelle + retraite complémentaire salariés
</t>
  </si>
  <si>
    <t>Materiel de cuisine</t>
  </si>
  <si>
    <t>petits équipements (vaisselles ...)</t>
  </si>
  <si>
    <t>Gros equipements  ( four, cuisinère)</t>
  </si>
  <si>
    <t>uniforme</t>
  </si>
  <si>
    <t>conservateur vin</t>
  </si>
  <si>
    <t>Outils et licences</t>
  </si>
  <si>
    <t xml:space="preserve">Ubereats et delivro abonnement </t>
  </si>
  <si>
    <t>Sacem</t>
  </si>
  <si>
    <t>gestion de personnel</t>
  </si>
  <si>
    <t>Entretien</t>
  </si>
  <si>
    <t>Hotte</t>
  </si>
  <si>
    <t>machine à café</t>
  </si>
  <si>
    <t>eau Brita</t>
  </si>
  <si>
    <t>Extincteur</t>
  </si>
  <si>
    <t>Ameublement &amp; Travaux</t>
  </si>
  <si>
    <t>Travaux de rafraishissement</t>
  </si>
  <si>
    <t>Meubles</t>
  </si>
  <si>
    <t>Décoration</t>
  </si>
  <si>
    <t xml:space="preserve">  Frais d'établissement</t>
  </si>
  <si>
    <t xml:space="preserve">Registre des Commerces </t>
  </si>
  <si>
    <t>Stage à l'installation Chambre des Metiers</t>
  </si>
  <si>
    <t>Repertoire des Métiers</t>
  </si>
  <si>
    <t>Bodacc</t>
  </si>
  <si>
    <t xml:space="preserve">Publication </t>
  </si>
  <si>
    <t>frais INPI</t>
  </si>
  <si>
    <t xml:space="preserve">Total Charges Externes </t>
  </si>
  <si>
    <t>Details d'investissement</t>
  </si>
  <si>
    <t>IMMOBILISATIONS INCORPORELLES</t>
  </si>
  <si>
    <t>Frais d'établissement</t>
  </si>
  <si>
    <t>Registre des Commerces</t>
  </si>
  <si>
    <t>Publication</t>
  </si>
  <si>
    <t>Autre</t>
  </si>
  <si>
    <t>Publicité de démarrage</t>
  </si>
  <si>
    <t>Marketing - Site web</t>
  </si>
  <si>
    <t>Marketing - Marque</t>
  </si>
  <si>
    <t>carte visite</t>
  </si>
  <si>
    <t>sponsorising</t>
  </si>
  <si>
    <t>clip vidéo</t>
  </si>
  <si>
    <t>affichage et enseigne</t>
  </si>
  <si>
    <t>inauguration - privée</t>
  </si>
  <si>
    <t xml:space="preserve">Goodies </t>
  </si>
  <si>
    <t>publicité instagram</t>
  </si>
  <si>
    <t>Logiciels</t>
  </si>
  <si>
    <t>Gestion des stocks/clients</t>
  </si>
  <si>
    <t>Logiciel de Caisse</t>
  </si>
  <si>
    <t>Comptabilité/Facturation</t>
  </si>
  <si>
    <t>Bureautique (office)</t>
  </si>
  <si>
    <t>Droit au bail ou Fonds de Commerce</t>
  </si>
  <si>
    <t>Droit d'enregistrement</t>
  </si>
  <si>
    <t>Autres : frais agences-honoraires-formation</t>
  </si>
  <si>
    <t>Frais d'Agence immobiliere</t>
  </si>
  <si>
    <t>Frais d'Expert comptable</t>
  </si>
  <si>
    <t>Frais d'Avocat</t>
  </si>
  <si>
    <t>Formations Hygiene et exploitation</t>
  </si>
  <si>
    <t>Frais INPI</t>
  </si>
  <si>
    <t>formation Barista</t>
  </si>
  <si>
    <t>Formation pré-ouveture</t>
  </si>
  <si>
    <t>Total imobilisations incoporelles</t>
  </si>
  <si>
    <t>IMMOBILISATIONS CORPORELLES</t>
  </si>
  <si>
    <t>Agencements et Aménagement</t>
  </si>
  <si>
    <t>Travaux</t>
  </si>
  <si>
    <t>Architecture d'interieur</t>
  </si>
  <si>
    <t>Devanture</t>
  </si>
  <si>
    <t>Equipements &amp; Ameublement</t>
  </si>
  <si>
    <t>Table</t>
  </si>
  <si>
    <t>tabouret bar</t>
  </si>
  <si>
    <t>Chaises</t>
  </si>
  <si>
    <t>Plan de travail</t>
  </si>
  <si>
    <t>Etageres/Armoires</t>
  </si>
  <si>
    <t>Comptoir</t>
  </si>
  <si>
    <t>Matériel informatique</t>
  </si>
  <si>
    <t>Appareils Photos (objectif)</t>
  </si>
  <si>
    <t>Imprimantes - fax</t>
  </si>
  <si>
    <t>Cartouche + rame de papier+fournitures de bureau</t>
  </si>
  <si>
    <t>Tablettes</t>
  </si>
  <si>
    <t>Ordinateur de bureau</t>
  </si>
  <si>
    <t>Ordinateur portable</t>
  </si>
  <si>
    <t>Telephone portable</t>
  </si>
  <si>
    <t>Telephone fixe</t>
  </si>
  <si>
    <t>Materiel Audio</t>
  </si>
  <si>
    <t>Lecteur CB</t>
  </si>
  <si>
    <t>Caisse</t>
  </si>
  <si>
    <t>Coffre fort</t>
  </si>
  <si>
    <t>Serveur</t>
  </si>
  <si>
    <t>Alarme + equipement de securite</t>
  </si>
  <si>
    <t>Matériel professionnel</t>
  </si>
  <si>
    <t>gros équipements</t>
  </si>
  <si>
    <t>petits équipements</t>
  </si>
  <si>
    <t>vaisselle</t>
  </si>
  <si>
    <t>conservateur de vin</t>
  </si>
  <si>
    <t>Véhicule professionnel- Transport</t>
  </si>
  <si>
    <t>Autres (Tenue Professionnelle)</t>
  </si>
  <si>
    <t>Total immobilisations corporelles</t>
  </si>
  <si>
    <t>IMMOBILISATIONS FINANCIERES</t>
  </si>
  <si>
    <t>Dépôt de garantie et caution bancaire</t>
  </si>
  <si>
    <t>Dépôt de garantie (3 à 6 mois de loyer)</t>
  </si>
  <si>
    <t>Caution bancaire (loyer bloqué parfois entre 3 et 18 mois)</t>
  </si>
  <si>
    <t>garantie professionnelle</t>
  </si>
  <si>
    <t>garantie 1 - Caution BPI (3,60% du 50%capital emprunté)</t>
  </si>
  <si>
    <t>garantie 2</t>
  </si>
  <si>
    <t>garantie 3</t>
  </si>
  <si>
    <t>Frais de dossier bancaire</t>
  </si>
  <si>
    <t>Total Immobilisations financières</t>
  </si>
  <si>
    <t>Total Immobilisations</t>
  </si>
  <si>
    <t>Stock de départ</t>
  </si>
  <si>
    <t>trésorie</t>
  </si>
  <si>
    <t>OFFRE RESTAURATION</t>
  </si>
  <si>
    <t>client F</t>
  </si>
  <si>
    <t>aout</t>
  </si>
  <si>
    <t>OFFRE LIVRAISON / A EMPORTER</t>
  </si>
  <si>
    <t>TRAITEUR</t>
  </si>
  <si>
    <t>valeur en eur</t>
  </si>
  <si>
    <t>Evenement m ( 50 per)</t>
  </si>
  <si>
    <t>Evenement L ( 100 per)</t>
  </si>
  <si>
    <t>8h00</t>
  </si>
  <si>
    <t>9h30</t>
  </si>
  <si>
    <t>11h00</t>
  </si>
  <si>
    <t>12h30</t>
  </si>
  <si>
    <t>14h00</t>
  </si>
  <si>
    <t>15h30</t>
  </si>
  <si>
    <t>17h00</t>
  </si>
  <si>
    <t xml:space="preserve">max </t>
  </si>
  <si>
    <t>25 couverts</t>
  </si>
  <si>
    <t>40 couverts</t>
  </si>
  <si>
    <t>9 places</t>
  </si>
  <si>
    <t>T.estival samedi/ dimanche</t>
  </si>
  <si>
    <t>32 places</t>
  </si>
  <si>
    <t>salle 1</t>
  </si>
  <si>
    <t>Salle 2</t>
  </si>
  <si>
    <t>Terrasse max</t>
  </si>
  <si>
    <t>vacataire</t>
  </si>
  <si>
    <t>7h /weekend</t>
  </si>
  <si>
    <t>40  client/H</t>
  </si>
  <si>
    <t>4 serveurs</t>
  </si>
  <si>
    <t xml:space="preserve">INVESTISSEMENTS </t>
  </si>
  <si>
    <t>T1</t>
  </si>
  <si>
    <t>T2</t>
  </si>
  <si>
    <t>T3</t>
  </si>
  <si>
    <t>T4</t>
  </si>
  <si>
    <t>INVESTISSEMENTS</t>
  </si>
  <si>
    <t>INVESTISSEMENTS INCORPORELS</t>
  </si>
  <si>
    <t>Frais de développement hors salaires</t>
  </si>
  <si>
    <t>Amortissement</t>
  </si>
  <si>
    <t xml:space="preserve">Salaires R&amp;D </t>
  </si>
  <si>
    <t>Brevets</t>
  </si>
  <si>
    <t>Total Investissements Incorporels</t>
  </si>
  <si>
    <t>Total Dotations aux Amortissements sur Immobilisations Incorporelles</t>
  </si>
  <si>
    <t>INVESTISSEMENTS CORPORELS</t>
  </si>
  <si>
    <t>Autres équipements</t>
  </si>
  <si>
    <t>Total Investissements Corporels</t>
  </si>
  <si>
    <t>Total Dotations aux Amortissements sur Immobilisations Corporelles</t>
  </si>
  <si>
    <t>INVESTISSEMENTS FINANCIERS</t>
  </si>
  <si>
    <t>Caution loyer (dépôt de garantie)</t>
  </si>
  <si>
    <t>Total Investissements Financiers</t>
  </si>
  <si>
    <t xml:space="preserve">TOTAL INVESTISSEMENTS </t>
  </si>
  <si>
    <t>Total Investissements</t>
  </si>
  <si>
    <t>Total Dotations aux Amortissements</t>
  </si>
  <si>
    <t>Agencements (Travaux, Décoration)</t>
  </si>
  <si>
    <t>Mobilier</t>
  </si>
  <si>
    <t>PLAN DE TRESORERIE</t>
  </si>
  <si>
    <t>TRÉSORERIE OPÉRATIONNELLE</t>
  </si>
  <si>
    <t>+ Résultat Net</t>
  </si>
  <si>
    <t>+ Dotations aux Amortissements</t>
  </si>
  <si>
    <t xml:space="preserve">- Variation BFR </t>
  </si>
  <si>
    <t>Total Cash-flow Opérationnel</t>
  </si>
  <si>
    <t>INVESTISSEMENTS - FINANCEMENT</t>
  </si>
  <si>
    <t>- Investissements</t>
  </si>
  <si>
    <t>+ Apports en Capitaux Propres</t>
  </si>
  <si>
    <t>+ Apports en Compte Courant Associés</t>
  </si>
  <si>
    <t xml:space="preserve"> - Remboursements des Comptes Courants Associés</t>
  </si>
  <si>
    <t>+ Apports en Empunts</t>
  </si>
  <si>
    <t xml:space="preserve">- Remboursements des Emprunts </t>
  </si>
  <si>
    <t>- Paiement de dividendes</t>
  </si>
  <si>
    <t>Total Cash-flow financier</t>
  </si>
  <si>
    <t>CASH-FLOW</t>
  </si>
  <si>
    <t>Cash début période</t>
  </si>
  <si>
    <t>Cash fin période</t>
  </si>
  <si>
    <t>BFR</t>
  </si>
  <si>
    <t>CREANCES CLIENTS</t>
  </si>
  <si>
    <t>Total Facturation Clients HT</t>
  </si>
  <si>
    <t>Créances Client - Produit A</t>
  </si>
  <si>
    <t>Créances Client - Produit B</t>
  </si>
  <si>
    <t>Créances Client - Service C</t>
  </si>
  <si>
    <t>Créances Client - Service D</t>
  </si>
  <si>
    <t>Total Créances Clients TTC</t>
  </si>
  <si>
    <t>STOCKS</t>
  </si>
  <si>
    <t>Stock TTC - Produit A</t>
  </si>
  <si>
    <t>Stock TTC - Produit B</t>
  </si>
  <si>
    <t>Total Stocks fin de période</t>
  </si>
  <si>
    <t xml:space="preserve">TOTAL BESOINS DE FINANCEMENT </t>
  </si>
  <si>
    <t xml:space="preserve">DETTES FOURNISSEURS </t>
  </si>
  <si>
    <t>Achats Production</t>
  </si>
  <si>
    <t>Sous traitance</t>
  </si>
  <si>
    <t>Charges Externes</t>
  </si>
  <si>
    <t>Investissements Corporels</t>
  </si>
  <si>
    <t>Total Achats Fournisseurs HT</t>
  </si>
  <si>
    <t xml:space="preserve">Dette Fournisseurs  -  Achats Production </t>
  </si>
  <si>
    <t>Dette Salaires sous traités TTC</t>
  </si>
  <si>
    <t>Dette Fournisseurs - Charges Externes</t>
  </si>
  <si>
    <t>Dette Fournisseurs - Investissement</t>
  </si>
  <si>
    <t>Total Dettes Fournisseurs TTC</t>
  </si>
  <si>
    <t>DETTES FISCALES ET SOCIALES</t>
  </si>
  <si>
    <t>Dettes Sociales</t>
  </si>
  <si>
    <t>T.V.A. à payer</t>
  </si>
  <si>
    <t xml:space="preserve">Impôts sur les Sociétés </t>
  </si>
  <si>
    <t>Total Dettes Fiscales et Sociales</t>
  </si>
  <si>
    <t>TOTAL RESSOURCES FINANCEMENT</t>
  </si>
  <si>
    <t>Variation de BFR</t>
  </si>
  <si>
    <t>En % des ventes</t>
  </si>
  <si>
    <t>Check</t>
  </si>
  <si>
    <t xml:space="preserve"> </t>
  </si>
  <si>
    <t>COMPTE DE RESULTAT</t>
  </si>
  <si>
    <t>CHARGES DE PRODUCTION</t>
  </si>
  <si>
    <t>- Salaires bruts - Production</t>
  </si>
  <si>
    <t>- Charges sociales - Production</t>
  </si>
  <si>
    <t>- Sous traitance - Production</t>
  </si>
  <si>
    <t xml:space="preserve">Total Coûts de Personnel - Production </t>
  </si>
  <si>
    <t>+ Part des salaires immobilisés en R&amp;D - Production</t>
  </si>
  <si>
    <t>Total Coûts de Personnal - Space</t>
  </si>
  <si>
    <t>Total Coûts Achats de Production</t>
  </si>
  <si>
    <t>Total Charges de Production</t>
  </si>
  <si>
    <t>TOTAL MARGE BRUTE</t>
  </si>
  <si>
    <t>% Marge Brute</t>
  </si>
  <si>
    <t>COUTS SALARIAUX HORS PRODUCTION</t>
  </si>
  <si>
    <t>- Salaires bruts - Hors Production</t>
  </si>
  <si>
    <t>- Charges sociales - Hors Production</t>
  </si>
  <si>
    <t>- Sous traitance - Hors Production</t>
  </si>
  <si>
    <t xml:space="preserve">+ Part des salaires immobilisés en R&amp;D - Hors Production </t>
  </si>
  <si>
    <t>Total Coûts de Personnel - Hors Production</t>
  </si>
  <si>
    <t>AUTRES PRODUITS HORS EXPLOITATION COURANTE</t>
  </si>
  <si>
    <t>+ Subventions</t>
  </si>
  <si>
    <t>+ CIR</t>
  </si>
  <si>
    <t>Total Autres Produits Hors Exploitation Courante</t>
  </si>
  <si>
    <t>EXCÉDENT BRUT D'EXPLOITATION</t>
  </si>
  <si>
    <t>% Marge Brute EBITDA</t>
  </si>
  <si>
    <t>DOTATIONS AUX AMORTISSEMENTS</t>
  </si>
  <si>
    <t>- Dotations aux Amortissements</t>
  </si>
  <si>
    <t>RÉSULTAT D'EXPLOITATION</t>
  </si>
  <si>
    <t>% Marge Brute EBIT</t>
  </si>
  <si>
    <t xml:space="preserve"> PRODUITS ET CHARGES FINANCIERS ET EXCEPTIONNELS</t>
  </si>
  <si>
    <t>+ Produits financiers</t>
  </si>
  <si>
    <t xml:space="preserve">- Charges financières </t>
  </si>
  <si>
    <t>+ Produits exceptionnels</t>
  </si>
  <si>
    <t>- Charges exceptionnelles</t>
  </si>
  <si>
    <t>Total Produits et Charges Financiers et Exceptionnels</t>
  </si>
  <si>
    <t>RÉSULTAT AVANT IMPOT</t>
  </si>
  <si>
    <t>Résultat cumulé</t>
  </si>
  <si>
    <t>RÉSULTAT NET</t>
  </si>
  <si>
    <t>% Marge Net</t>
  </si>
  <si>
    <t>CAPACITÉ D'AUTOFINACEMENT</t>
  </si>
  <si>
    <t>sans reserve -10%</t>
  </si>
  <si>
    <t>ghassen</t>
  </si>
  <si>
    <t>yosra</t>
  </si>
  <si>
    <t>remuneration y</t>
  </si>
  <si>
    <t>difference</t>
  </si>
  <si>
    <t>evo yosra</t>
  </si>
  <si>
    <t>AI</t>
  </si>
  <si>
    <t>BSPCE</t>
  </si>
  <si>
    <t>le jour de la vente</t>
  </si>
  <si>
    <t xml:space="preserve">credit </t>
  </si>
  <si>
    <t>achat bspce</t>
  </si>
  <si>
    <t>social</t>
  </si>
  <si>
    <t>resultat</t>
  </si>
  <si>
    <t>apres bspce</t>
  </si>
  <si>
    <t>gh</t>
  </si>
  <si>
    <t>yo</t>
  </si>
  <si>
    <t>y</t>
  </si>
  <si>
    <t>BILAN</t>
  </si>
  <si>
    <t xml:space="preserve">ACTIF </t>
  </si>
  <si>
    <t>ACTIF IMMOBILISE</t>
  </si>
  <si>
    <t>Immobilisations Incorporelles</t>
  </si>
  <si>
    <t>- Amortissements sur Immobilisations Incorporelles</t>
  </si>
  <si>
    <t>Immobilisations Corporelles</t>
  </si>
  <si>
    <t>- Amortissements sur Immobilisations Corporelles</t>
  </si>
  <si>
    <t>Immobilisations Financières</t>
  </si>
  <si>
    <t>Total Actif Immobilisé</t>
  </si>
  <si>
    <t>ACTIF CIRCULANT</t>
  </si>
  <si>
    <t>Stocks</t>
  </si>
  <si>
    <t>Créances</t>
  </si>
  <si>
    <t xml:space="preserve">Trésorerie </t>
  </si>
  <si>
    <t>Total Actif Circulant</t>
  </si>
  <si>
    <t>TOTAL ACTIF</t>
  </si>
  <si>
    <t>PASSIF</t>
  </si>
  <si>
    <t>CAPITAUX PROPRES</t>
  </si>
  <si>
    <t xml:space="preserve">Capital Social + Prime </t>
  </si>
  <si>
    <t>Réserves et Report à Nouveau</t>
  </si>
  <si>
    <t>Dividendes</t>
  </si>
  <si>
    <t>Résultat Net</t>
  </si>
  <si>
    <t>Total Capitaux Propres</t>
  </si>
  <si>
    <t>DETTES</t>
  </si>
  <si>
    <t>Comptes Courants Associés</t>
  </si>
  <si>
    <t>Emprunts</t>
  </si>
  <si>
    <t xml:space="preserve"> - Remboursements des Emprunts</t>
  </si>
  <si>
    <t xml:space="preserve">Dettes Fournisseurs </t>
  </si>
  <si>
    <t>Dettes Fiscales et Sociales</t>
  </si>
  <si>
    <t>Total Dettes</t>
  </si>
  <si>
    <t>TOTAL PASSIF</t>
  </si>
  <si>
    <t>Plan de Financement</t>
  </si>
  <si>
    <t>RESSOURCES DE FINANCEMENT</t>
  </si>
  <si>
    <t>Apports Fondateurs</t>
  </si>
  <si>
    <t>Apports Investisseurs</t>
  </si>
  <si>
    <t>Autres Apports</t>
  </si>
  <si>
    <t>Total Apports Capitaux Propres</t>
  </si>
  <si>
    <t>COMPTES COURANTS ASSOCIES</t>
  </si>
  <si>
    <t xml:space="preserve">Comptes Courants Associés </t>
  </si>
  <si>
    <t xml:space="preserve">Total Comptes Courants Associés </t>
  </si>
  <si>
    <t>Apport Comptes Courants Assoicés</t>
  </si>
  <si>
    <t>Rembousements- Comptes Courants Associés</t>
  </si>
  <si>
    <t>Intérêts - Comptes Courants Associés</t>
  </si>
  <si>
    <t>Total Capital et Interêts -  Comptes Courants Associés</t>
  </si>
  <si>
    <t>EMPRUNTS</t>
  </si>
  <si>
    <t>EMPRUNT 1</t>
  </si>
  <si>
    <t>Capital Emprunté</t>
  </si>
  <si>
    <t xml:space="preserve">Rembousement du Capital </t>
  </si>
  <si>
    <t>Paiement des Intérêts</t>
  </si>
  <si>
    <t>EMPRUNT 2</t>
  </si>
  <si>
    <t>EMPRUNT 3</t>
  </si>
  <si>
    <t>Total Apports - Emprunts</t>
  </si>
  <si>
    <t>Total Remboursements - Emprunts</t>
  </si>
  <si>
    <t>Total Paiement des Intérêts - Emprunts</t>
  </si>
  <si>
    <t>Remboursement du Capital et Interêts</t>
  </si>
  <si>
    <t>ECHEANCIER BANCAIRE</t>
  </si>
  <si>
    <t>CONDITIONS</t>
  </si>
  <si>
    <t>Capital emprunté</t>
  </si>
  <si>
    <t xml:space="preserve">fond de commerce 190k </t>
  </si>
  <si>
    <t>Date obtention</t>
  </si>
  <si>
    <t>Le remboursement démarrera le mois suivant cette date</t>
  </si>
  <si>
    <t>Différé d'amortissement (en mois)</t>
  </si>
  <si>
    <t>Cette période pendant laquelle le capital n'est pas remboursé s'ajoute à la durée de remboursement</t>
  </si>
  <si>
    <t>Taux annuel</t>
  </si>
  <si>
    <t>Assurance mensuelle</t>
  </si>
  <si>
    <t>Durée du remboursement (en année)</t>
  </si>
  <si>
    <t>Durée du remboursement (en mois)</t>
  </si>
  <si>
    <t>Echéance totale</t>
  </si>
  <si>
    <t>REMBOURSEMENT ANNUELS</t>
  </si>
  <si>
    <t>Total</t>
  </si>
  <si>
    <t xml:space="preserve">Montant des intérêts </t>
  </si>
  <si>
    <t>Montant d'assurance</t>
  </si>
  <si>
    <t>Montant Capital remboursé</t>
  </si>
  <si>
    <t>ECHEANCIER DETAILLE</t>
  </si>
  <si>
    <t>Mensualité</t>
  </si>
  <si>
    <t>Date</t>
  </si>
  <si>
    <t>Année</t>
  </si>
  <si>
    <t>Capital restant dû (début période)</t>
  </si>
  <si>
    <t>Echéance de capital remboursé</t>
  </si>
  <si>
    <t>Echéance d'intérêts</t>
  </si>
  <si>
    <t>Assurance</t>
  </si>
  <si>
    <t>Échéance totale</t>
  </si>
  <si>
    <t>Prêt TVA</t>
  </si>
  <si>
    <t>Prêt d'honneur</t>
  </si>
  <si>
    <t>VALORISATION</t>
  </si>
  <si>
    <t xml:space="preserve">CASH FLOWS ACTUALISÉS </t>
  </si>
  <si>
    <t>Normatif</t>
  </si>
  <si>
    <t>+ Chiffres d'Affaires</t>
  </si>
  <si>
    <t>% de croissance</t>
  </si>
  <si>
    <t>+ Résultat d'Exploitation</t>
  </si>
  <si>
    <t>en % du CA</t>
  </si>
  <si>
    <t>- Impôts sur les Sociétés</t>
  </si>
  <si>
    <t>en % du REX</t>
  </si>
  <si>
    <t>REX après IS</t>
  </si>
  <si>
    <t xml:space="preserve"> en % du CA </t>
  </si>
  <si>
    <t xml:space="preserve">Amortissements / Investissements </t>
  </si>
  <si>
    <t>- Variation de BFR  (+ si diminution)</t>
  </si>
  <si>
    <t>Delta BFR en % du delta CA</t>
  </si>
  <si>
    <t>Cash Flows opérationnel</t>
  </si>
  <si>
    <t>HYPOTHÈSES</t>
  </si>
  <si>
    <t>Durée calcul TRI (année)</t>
  </si>
  <si>
    <t>Multiple TRI Investisseur Cible</t>
  </si>
  <si>
    <t xml:space="preserve"> WACC (% TRI Investisseur Cible)</t>
  </si>
  <si>
    <t>Taux de croissance à l'infini (g)</t>
  </si>
  <si>
    <t>Multiple Ventes</t>
  </si>
  <si>
    <t>Choix scénario opérationnel</t>
  </si>
  <si>
    <t xml:space="preserve">VALEUR D'ENTREPRISE ET CAPITAUX PROPRES </t>
  </si>
  <si>
    <t>SENSIBILITÉ VALEUR D'ENTREPRISE</t>
  </si>
  <si>
    <t xml:space="preserve">Valeur actualisée des flux sur 5 ans </t>
  </si>
  <si>
    <t>MULTIPLE SORTIE VENTE</t>
  </si>
  <si>
    <t>NPV</t>
  </si>
  <si>
    <t>TRI</t>
  </si>
  <si>
    <t xml:space="preserve">Valeur Terminale croissance infinie </t>
  </si>
  <si>
    <t>Valeur Terminale croissance infinie actualisée</t>
  </si>
  <si>
    <t>Valeur Terminale Multiple Vente</t>
  </si>
  <si>
    <t>Valeur Terminale Multiple Vente actualisée</t>
  </si>
  <si>
    <t>Moyenne (Valeur Terminale - Valeur Multiple)</t>
  </si>
  <si>
    <t>= Valeur d'entreprise</t>
  </si>
  <si>
    <t>- Dette nette</t>
  </si>
  <si>
    <t>SCENARIO VENTE</t>
  </si>
  <si>
    <t>Dettes financières</t>
  </si>
  <si>
    <t>Trésorerie</t>
  </si>
  <si>
    <t>= Valeur des capitaux propres</t>
  </si>
  <si>
    <t>"-1 Cas défavorable</t>
  </si>
  <si>
    <t xml:space="preserve">OUVERTURE DU CAPITAL </t>
  </si>
  <si>
    <t xml:space="preserve">"0" base case </t>
  </si>
  <si>
    <t>Levée</t>
  </si>
  <si>
    <t>% post levée</t>
  </si>
  <si>
    <t>Valo pré-M</t>
  </si>
  <si>
    <t>"+1 Cas favorable</t>
  </si>
  <si>
    <t xml:space="preserve">Valeur d'entrée: </t>
  </si>
  <si>
    <t>Multiple sortie investisseurs</t>
  </si>
  <si>
    <t xml:space="preserve">Discount proposé vs Valo DCF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</si>
</sst>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d/m/yyyy"/>
    <numFmt numFmtId="165" formatCode="#,##0_);\(#,##0\);\-"/>
    <numFmt numFmtId="166" formatCode="#,##0\ [$€-1]"/>
    <numFmt numFmtId="167" formatCode="#,##0.00\ [$€-1]"/>
    <numFmt numFmtId="168" formatCode="#,##0.0&quot; &quot;[$€-401]"/>
    <numFmt numFmtId="169" formatCode="[$-40C]mmm\-yy"/>
    <numFmt numFmtId="170" formatCode="#,##0.00_);\(#,##0.00\);\-"/>
    <numFmt numFmtId="171" formatCode="0.0"/>
    <numFmt numFmtId="172" formatCode="#,##0.0_);\(#,##0.0\);\-"/>
    <numFmt numFmtId="173" formatCode="d/m"/>
    <numFmt numFmtId="174" formatCode="d/m/yy"/>
    <numFmt numFmtId="175" formatCode="dd/mm/yy"/>
    <numFmt numFmtId="176" formatCode="0.0%"/>
    <numFmt numFmtId="177" formatCode="#,##0.00\ &quot;€&quot;;[Red]\-#,##0.00\ &quot;€&quot;"/>
    <numFmt numFmtId="178" formatCode="&quot;Année &quot;0"/>
    <numFmt numFmtId="179" formatCode="0.0\x"/>
    <numFmt numFmtId="180" formatCode="#,##0;\(#,##0\);&quot;-&quot;"/>
    <numFmt numFmtId="181" formatCode="_-* #,##0\ _€_-;\-* #,##0\ _€_-;_-* &quot;-&quot;??\ _€_-;_-@"/>
  </numFmts>
  <fonts count="122">
    <font>
      <sz val="10.0"/>
      <color rgb="FF000000"/>
      <name val="Arial"/>
      <scheme val="minor"/>
    </font>
    <font>
      <sz val="10.0"/>
      <color rgb="FF464646"/>
      <name val="Lato"/>
    </font>
    <font>
      <sz val="10.0"/>
      <color theme="1"/>
      <name val="Lato"/>
    </font>
    <font>
      <b/>
      <sz val="14.0"/>
      <color theme="1"/>
      <name val="Lato"/>
    </font>
    <font>
      <b/>
      <sz val="14.0"/>
      <color theme="1"/>
      <name val="Raleway"/>
    </font>
    <font>
      <b/>
      <sz val="14.0"/>
      <color rgb="FF464646"/>
      <name val="Lato"/>
    </font>
    <font>
      <sz val="16.0"/>
      <color theme="1"/>
      <name val="Raleway"/>
    </font>
    <font>
      <b/>
      <sz val="12.0"/>
      <color theme="1"/>
      <name val="Lato"/>
    </font>
    <font>
      <sz val="12.0"/>
      <color theme="1"/>
      <name val="Lato"/>
    </font>
    <font>
      <b/>
      <sz val="10.0"/>
      <color theme="1"/>
      <name val="Lato"/>
    </font>
    <font>
      <sz val="11.0"/>
      <color theme="1"/>
      <name val="Lato"/>
    </font>
    <font>
      <b/>
      <u/>
      <sz val="10.0"/>
      <color theme="1"/>
      <name val="Lato"/>
    </font>
    <font>
      <b/>
      <sz val="11.0"/>
      <color theme="1"/>
      <name val="Lato"/>
    </font>
    <font>
      <b/>
      <i/>
      <sz val="12.0"/>
      <color rgb="FFFFFFFF"/>
      <name val="Lato"/>
    </font>
    <font>
      <sz val="12.0"/>
      <color rgb="FFFF0000"/>
      <name val="Lato"/>
    </font>
    <font>
      <sz val="10.0"/>
      <color theme="1"/>
      <name val="Arial"/>
    </font>
    <font>
      <b/>
      <sz val="14.0"/>
      <color theme="1"/>
      <name val="Arial"/>
    </font>
    <font>
      <sz val="14.0"/>
      <color theme="1"/>
      <name val="Raleway"/>
    </font>
    <font>
      <sz val="14.0"/>
      <color theme="0"/>
      <name val="Raleway"/>
    </font>
    <font/>
    <font>
      <sz val="14.0"/>
      <color theme="0"/>
      <name val="Lato"/>
    </font>
    <font>
      <sz val="11.0"/>
      <color rgb="FF464646"/>
      <name val="Lato"/>
    </font>
    <font>
      <sz val="11.0"/>
      <color theme="0"/>
      <name val="Raleway"/>
    </font>
    <font>
      <sz val="11.0"/>
      <color theme="1"/>
      <name val="Raleway"/>
    </font>
    <font>
      <sz val="11.0"/>
      <color rgb="FF464646"/>
      <name val="Raleway"/>
    </font>
    <font>
      <sz val="9.0"/>
      <color rgb="FF464646"/>
      <name val="Lato"/>
    </font>
    <font>
      <sz val="10.0"/>
      <color rgb="FF464646"/>
      <name val="Arial"/>
    </font>
    <font>
      <sz val="10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464646"/>
      <name val="Arial"/>
    </font>
    <font>
      <i/>
      <sz val="8.0"/>
      <color rgb="FFB4B4B4"/>
      <name val="Arial"/>
    </font>
    <font>
      <i/>
      <sz val="8.0"/>
      <color rgb="FFBFBFBF"/>
      <name val="Arial"/>
    </font>
    <font>
      <i/>
      <sz val="9.0"/>
      <color rgb="FF48867F"/>
      <name val="Arial"/>
    </font>
    <font>
      <b/>
      <color rgb="FFF3F2ED"/>
      <name val="Arial"/>
    </font>
    <font>
      <b/>
      <sz val="13.0"/>
      <color rgb="FF000000"/>
      <name val="Arial"/>
    </font>
    <font>
      <b/>
      <color rgb="FF000000"/>
      <name val="Arial"/>
    </font>
    <font>
      <sz val="9.0"/>
      <color rgb="FF000000"/>
      <name val="Questrial"/>
    </font>
    <font>
      <sz val="8.0"/>
      <color theme="1"/>
      <name val="Arial"/>
    </font>
    <font>
      <b/>
      <sz val="10.0"/>
      <color theme="1"/>
      <name val="Raleway"/>
    </font>
    <font>
      <b/>
      <sz val="16.0"/>
      <color theme="1"/>
      <name val="Raleway"/>
    </font>
    <font>
      <b/>
      <sz val="12.0"/>
      <color theme="1"/>
      <name val="Raleway"/>
    </font>
    <font>
      <b/>
      <sz val="11.0"/>
      <color theme="1"/>
      <name val="Raleway"/>
    </font>
    <font>
      <b/>
      <sz val="12.0"/>
      <color rgb="FF464646"/>
      <name val="Raleway"/>
    </font>
    <font>
      <sz val="12.0"/>
      <color theme="1"/>
      <name val="Raleway"/>
    </font>
    <font>
      <sz val="12.0"/>
      <color theme="0"/>
      <name val="Raleway"/>
    </font>
    <font>
      <sz val="12.0"/>
      <color rgb="FF464646"/>
      <name val="Lato"/>
    </font>
    <font>
      <b/>
      <i/>
      <sz val="9.0"/>
      <color rgb="FFBFBFBF"/>
      <name val="Lato"/>
    </font>
    <font>
      <i/>
      <sz val="9.0"/>
      <color theme="1"/>
      <name val="Lato"/>
    </font>
    <font>
      <i/>
      <sz val="9.0"/>
      <color rgb="FF999999"/>
      <name val="Lato"/>
    </font>
    <font>
      <i/>
      <sz val="9.0"/>
      <color rgb="FF464646"/>
      <name val="Lato"/>
    </font>
    <font>
      <b/>
      <sz val="11.0"/>
      <color rgb="FF464646"/>
      <name val="Lato"/>
    </font>
    <font>
      <sz val="9.0"/>
      <color theme="1"/>
      <name val="Lato"/>
    </font>
    <font>
      <sz val="9.0"/>
      <color rgb="FFFFFFFF"/>
      <name val="Lato"/>
    </font>
    <font>
      <sz val="8.0"/>
      <color theme="0"/>
      <name val="Lato"/>
    </font>
    <font>
      <sz val="8.0"/>
      <color theme="1"/>
      <name val="Lato"/>
    </font>
    <font>
      <i/>
      <sz val="9.0"/>
      <color rgb="FF474747"/>
      <name val="Lato"/>
    </font>
    <font>
      <b/>
      <i/>
      <sz val="11.0"/>
      <color rgb="FF0070C0"/>
      <name val="Lato"/>
    </font>
    <font>
      <b/>
      <i/>
      <sz val="10.0"/>
      <color rgb="FF0070C0"/>
      <name val="Lato"/>
    </font>
    <font>
      <b/>
      <i/>
      <sz val="11.0"/>
      <color rgb="FF474747"/>
      <name val="Lato"/>
    </font>
    <font>
      <b/>
      <i/>
      <sz val="10.0"/>
      <color rgb="FF474747"/>
      <name val="Lato"/>
    </font>
    <font>
      <b/>
      <i/>
      <sz val="11.0"/>
      <color theme="1"/>
      <name val="Lato"/>
    </font>
    <font>
      <b/>
      <i/>
      <sz val="11.0"/>
      <color theme="0"/>
      <name val="Lato"/>
    </font>
    <font>
      <sz val="11.0"/>
      <color theme="1"/>
      <name val="Arial"/>
    </font>
    <font>
      <sz val="14.0"/>
      <color rgb="FFFFFFFF"/>
      <name val="Raleway"/>
    </font>
    <font>
      <b/>
      <i/>
      <sz val="10.0"/>
      <color theme="1"/>
      <name val="Raleway"/>
    </font>
    <font>
      <b/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0.0"/>
      <color rgb="FFFFFFFF"/>
      <name val="Raleway"/>
    </font>
    <font>
      <b/>
      <sz val="12.0"/>
      <color theme="0"/>
      <name val="Raleway"/>
    </font>
    <font>
      <i/>
      <sz val="10.0"/>
      <color theme="1"/>
      <name val="Lato"/>
    </font>
    <font>
      <sz val="12.0"/>
      <color rgb="FFFFFFFF"/>
      <name val="Raleway"/>
    </font>
    <font>
      <color theme="1"/>
      <name val="Lato"/>
    </font>
    <font>
      <color rgb="FF464646"/>
      <name val="Lato"/>
    </font>
    <font>
      <sz val="8.0"/>
      <color theme="0"/>
      <name val="Arial"/>
    </font>
    <font>
      <b/>
      <sz val="11.0"/>
      <color rgb="FF464646"/>
      <name val="Arial"/>
    </font>
    <font>
      <b/>
      <sz val="10.0"/>
      <color rgb="FF464646"/>
      <name val="Lato"/>
    </font>
    <font>
      <sz val="10.0"/>
      <color rgb="FFFFFFFF"/>
      <name val="Lato"/>
    </font>
    <font>
      <sz val="10.0"/>
      <color rgb="FF000000"/>
      <name val="Lato"/>
    </font>
    <font>
      <b/>
      <sz val="10.0"/>
      <color rgb="FFFFFFFF"/>
      <name val="Lato"/>
    </font>
    <font>
      <b/>
      <color theme="1"/>
      <name val="Lato"/>
    </font>
    <font>
      <sz val="11.0"/>
      <color rgb="FFFFFFFF"/>
      <name val="Raleway"/>
    </font>
    <font>
      <sz val="10.0"/>
      <color theme="1"/>
      <name val="Arimo"/>
    </font>
    <font>
      <b/>
      <sz val="14.0"/>
      <color theme="1"/>
      <name val="Arimo"/>
    </font>
    <font>
      <b/>
      <i/>
      <sz val="10.0"/>
      <color theme="1"/>
      <name val="Arial"/>
    </font>
    <font>
      <sz val="10.0"/>
      <color theme="1"/>
      <name val="Raleway"/>
    </font>
    <font>
      <i/>
      <sz val="9.0"/>
      <color rgb="FFBFBFBF"/>
      <name val="Lato"/>
    </font>
    <font>
      <sz val="9.0"/>
      <color rgb="FFBFBFBF"/>
      <name val="Lato"/>
    </font>
    <font>
      <b/>
      <sz val="10.0"/>
      <color theme="0"/>
      <name val="Lato"/>
    </font>
    <font>
      <i/>
      <sz val="11.0"/>
      <color theme="1"/>
      <name val="Lato"/>
    </font>
    <font>
      <b/>
      <sz val="11.0"/>
      <color rgb="FF6B6B6B"/>
      <name val="Lato"/>
    </font>
    <font>
      <sz val="11.0"/>
      <color theme="1"/>
      <name val="Arimo"/>
    </font>
    <font>
      <b/>
      <sz val="12.0"/>
      <color theme="1"/>
      <name val="Arimo"/>
    </font>
    <font>
      <b/>
      <sz val="11.0"/>
      <color theme="1"/>
      <name val="Arimo"/>
    </font>
    <font>
      <sz val="11.0"/>
      <color rgb="FF474747"/>
      <name val="Lato"/>
    </font>
    <font>
      <b/>
      <i/>
      <sz val="11.0"/>
      <color rgb="FFFFDBD8"/>
      <name val="Lato"/>
    </font>
    <font>
      <b/>
      <i/>
      <sz val="14.0"/>
      <color theme="1"/>
      <name val="Raleway"/>
    </font>
    <font>
      <b/>
      <i/>
      <sz val="11.0"/>
      <color theme="1"/>
      <name val="Arial"/>
    </font>
    <font>
      <i/>
      <sz val="11.0"/>
      <color theme="1"/>
      <name val="Arial"/>
    </font>
    <font>
      <b/>
      <i/>
      <sz val="11.0"/>
      <color rgb="FF464646"/>
      <name val="Arial"/>
    </font>
    <font>
      <sz val="11.0"/>
      <color rgb="FF464646"/>
      <name val="Arial"/>
    </font>
    <font>
      <sz val="10.0"/>
      <color rgb="FFF3F2ED"/>
      <name val="Lato"/>
    </font>
    <font>
      <b/>
      <i/>
      <sz val="9.0"/>
      <color theme="1"/>
      <name val="Lato"/>
    </font>
    <font>
      <sz val="12.0"/>
      <color rgb="FF6B6B6B"/>
      <name val="Raleway"/>
    </font>
    <font>
      <b/>
      <sz val="12.0"/>
      <color rgb="FF3C726D"/>
      <name val="Lato"/>
    </font>
    <font>
      <b/>
      <sz val="10.0"/>
      <color rgb="FF3C726D"/>
      <name val="Lato"/>
    </font>
    <font>
      <sz val="10.0"/>
      <color rgb="FF000000"/>
      <name val="Montserrat"/>
    </font>
    <font>
      <b/>
      <sz val="10.0"/>
      <color rgb="FF2F3A63"/>
      <name val="Montserrat"/>
    </font>
    <font>
      <sz val="10.0"/>
      <color theme="1"/>
      <name val="Montserrat"/>
    </font>
    <font>
      <sz val="12.0"/>
      <color rgb="FF000000"/>
      <name val="Calibri"/>
    </font>
    <font>
      <sz val="14.0"/>
      <color rgb="FF000000"/>
      <name val="Raleway"/>
    </font>
    <font>
      <b/>
      <i/>
      <sz val="10.0"/>
      <color theme="1"/>
      <name val="Lato"/>
    </font>
    <font>
      <i/>
      <u/>
      <sz val="9.0"/>
      <color theme="1"/>
      <name val="Lato"/>
    </font>
    <font>
      <sz val="8.0"/>
      <color rgb="FF000000"/>
      <name val="Montserrat"/>
    </font>
    <font>
      <sz val="11.0"/>
      <color rgb="FF747474"/>
      <name val="Lato"/>
    </font>
    <font>
      <sz val="12.0"/>
      <color theme="5"/>
      <name val="Raleway"/>
    </font>
    <font>
      <sz val="10.0"/>
      <color rgb="FF000000"/>
      <name val="Raleway"/>
    </font>
    <font>
      <u/>
      <sz val="11.0"/>
      <color theme="1"/>
      <name val="Lato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3F2ED"/>
        <bgColor rgb="FFF3F2ED"/>
      </patternFill>
    </fill>
    <fill>
      <patternFill patternType="solid">
        <fgColor theme="5"/>
        <bgColor theme="5"/>
      </patternFill>
    </fill>
    <fill>
      <patternFill patternType="solid">
        <fgColor rgb="FFFFDBD8"/>
        <bgColor rgb="FFFFDBD8"/>
      </patternFill>
    </fill>
    <fill>
      <patternFill patternType="solid">
        <fgColor rgb="FFFF938C"/>
        <bgColor rgb="FFFF938C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rgb="FFDDD9CA"/>
        <bgColor rgb="FFDDD9C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9E7"/>
        <bgColor rgb="FFFFE9E7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D9EAE8"/>
        <bgColor rgb="FFD9EAE8"/>
      </patternFill>
    </fill>
    <fill>
      <patternFill patternType="solid">
        <fgColor rgb="FFA5CECA"/>
        <bgColor rgb="FFA5CECA"/>
      </patternFill>
    </fill>
    <fill>
      <patternFill patternType="solid">
        <fgColor rgb="FFC0DDDA"/>
        <bgColor rgb="FFC0DDDA"/>
      </patternFill>
    </fill>
    <fill>
      <patternFill patternType="solid">
        <fgColor rgb="FF3C726D"/>
        <bgColor rgb="FF3C726D"/>
      </patternFill>
    </fill>
    <fill>
      <patternFill patternType="solid">
        <fgColor rgb="FFFFFF00"/>
        <bgColor rgb="FFFFFF00"/>
      </patternFill>
    </fill>
    <fill>
      <patternFill patternType="solid">
        <fgColor rgb="FFE8E5DC"/>
        <bgColor rgb="FFE8E5DC"/>
      </patternFill>
    </fill>
  </fills>
  <borders count="12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/>
      <right/>
      <top style="double">
        <color rgb="FF000000"/>
      </top>
      <bottom style="thin">
        <color rgb="FF000000"/>
      </bottom>
    </border>
    <border>
      <left/>
      <right/>
      <top/>
      <bottom style="thin">
        <color rgb="FF48867F"/>
      </bottom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thin">
        <color rgb="FF000000"/>
      </left>
    </border>
    <border>
      <right style="hair">
        <color rgb="FF000000"/>
      </right>
    </border>
    <border>
      <left/>
      <right style="thin">
        <color rgb="FF000000"/>
      </right>
      <top/>
    </border>
    <border>
      <left/>
      <right style="dotted">
        <color rgb="FF000000"/>
      </right>
      <top/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hair">
        <color rgb="FF000000"/>
      </right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right style="thin">
        <color rgb="FF000000"/>
      </right>
    </border>
    <border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hair">
        <color rgb="FF000000"/>
      </right>
      <top style="thin">
        <color rgb="FF000000"/>
      </top>
      <bottom/>
    </border>
    <border>
      <left/>
      <right style="hair">
        <color rgb="FF000000"/>
      </right>
      <top/>
      <bottom style="double">
        <color rgb="FF000000"/>
      </bottom>
    </border>
    <border>
      <left/>
      <right/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 style="dotted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/>
      <right style="hair">
        <color rgb="FF000000"/>
      </right>
      <bottom/>
    </border>
    <border>
      <left/>
      <right style="thin">
        <color rgb="FF000000"/>
      </right>
      <bottom/>
    </border>
    <border>
      <left/>
      <right style="dotted">
        <color rgb="FF000000"/>
      </right>
      <top/>
    </border>
    <border>
      <left style="dotted">
        <color rgb="FF000000"/>
      </left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/>
      <right style="hair">
        <color rgb="FF000000"/>
      </righ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/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  <bottom/>
    </border>
    <border>
      <left/>
      <right style="hair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 style="thin">
        <color rgb="FF474747"/>
      </left>
      <right/>
      <top/>
      <bottom/>
    </border>
    <border>
      <right style="thin">
        <color rgb="FF474747"/>
      </right>
    </border>
    <border>
      <left style="thin">
        <color rgb="FF474747"/>
      </left>
      <right/>
      <top/>
      <bottom style="double">
        <color rgb="FF000000"/>
      </bottom>
    </border>
    <border>
      <left style="thin">
        <color rgb="FF474747"/>
      </left>
      <right/>
      <top style="double">
        <color rgb="FF000000"/>
      </top>
      <bottom style="thin">
        <color rgb="FF000000"/>
      </bottom>
    </border>
    <border>
      <left/>
      <right style="hair">
        <color rgb="FF000000"/>
      </right>
      <top style="double">
        <color rgb="FF000000"/>
      </top>
      <bottom style="thin">
        <color rgb="FF000000"/>
      </bottom>
    </border>
    <border>
      <left/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474747"/>
      </left>
      <right/>
    </border>
    <border>
      <left/>
      <right/>
    </border>
    <border>
      <left/>
      <right style="hair">
        <color rgb="FF000000"/>
      </right>
    </border>
    <border>
      <left style="thin">
        <color rgb="FF000000"/>
      </left>
      <right style="thin">
        <color rgb="FF000000"/>
      </right>
    </border>
    <border>
      <right/>
    </border>
    <border>
      <right style="thin">
        <color rgb="FF474747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/>
    </border>
    <border>
      <left style="thin">
        <color rgb="FF000000"/>
      </left>
      <right/>
      <top/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/>
    </border>
    <border>
      <right/>
      <top/>
    </border>
    <border>
      <left/>
      <right/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/>
      <bottom style="double">
        <color rgb="FF000000"/>
      </bottom>
    </border>
    <border>
      <left/>
      <right style="hair">
        <color rgb="FF000000"/>
      </right>
      <bottom style="double">
        <color rgb="FF000000"/>
      </bottom>
    </border>
    <border>
      <left style="medium">
        <color rgb="FF000000"/>
      </left>
    </border>
    <border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tted">
        <color rgb="FF000000"/>
      </left>
      <right style="thin">
        <color rgb="FF000000"/>
      </right>
      <top/>
      <bottom/>
    </border>
    <border>
      <left style="dotted">
        <color rgb="FF000000"/>
      </left>
      <right/>
      <top style="dotted">
        <color rgb="FF000000"/>
      </top>
      <bottom/>
    </border>
    <border>
      <left/>
      <right/>
      <top style="dotted">
        <color rgb="FF000000"/>
      </top>
      <bottom/>
    </border>
    <border>
      <left/>
      <right style="dotted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bottom style="thin">
        <color rgb="FF000000"/>
      </bottom>
    </border>
    <border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/>
      <bottom/>
    </border>
    <border>
      <left style="hair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/>
    </border>
    <border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/>
      <top/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1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2" numFmtId="164" xfId="0" applyBorder="1" applyFont="1" applyNumberFormat="1"/>
    <xf borderId="1" fillId="2" fontId="6" numFmtId="0" xfId="0" applyBorder="1" applyFont="1"/>
    <xf borderId="1" fillId="2" fontId="7" numFmtId="0" xfId="0" applyBorder="1" applyFont="1"/>
    <xf borderId="1" fillId="2" fontId="8" numFmtId="0" xfId="0" applyBorder="1" applyFont="1"/>
    <xf borderId="1" fillId="2" fontId="9" numFmtId="0" xfId="0" applyBorder="1" applyFont="1"/>
    <xf borderId="2" fillId="3" fontId="2" numFmtId="0" xfId="0" applyBorder="1" applyFill="1" applyFont="1"/>
    <xf borderId="2" fillId="4" fontId="7" numFmtId="0" xfId="0" applyBorder="1" applyFill="1" applyFont="1"/>
    <xf borderId="2" fillId="5" fontId="7" numFmtId="0" xfId="0" applyBorder="1" applyFill="1" applyFont="1"/>
    <xf borderId="2" fillId="6" fontId="7" numFmtId="0" xfId="0" applyBorder="1" applyFill="1" applyFont="1"/>
    <xf borderId="2" fillId="7" fontId="7" numFmtId="0" xfId="0" applyBorder="1" applyFill="1" applyFont="1"/>
    <xf borderId="2" fillId="8" fontId="2" numFmtId="0" xfId="0" applyBorder="1" applyFill="1" applyFont="1"/>
    <xf borderId="1" fillId="2" fontId="10" numFmtId="165" xfId="0" applyAlignment="1" applyBorder="1" applyFont="1" applyNumberFormat="1">
      <alignment horizontal="right"/>
    </xf>
    <xf borderId="3" fillId="2" fontId="11" numFmtId="0" xfId="0" applyBorder="1" applyFont="1"/>
    <xf borderId="4" fillId="2" fontId="12" numFmtId="165" xfId="0" applyAlignment="1" applyBorder="1" applyFont="1" applyNumberFormat="1">
      <alignment horizontal="right"/>
    </xf>
    <xf borderId="1" fillId="2" fontId="8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2" fontId="7" numFmtId="0" xfId="0" applyBorder="1" applyFont="1"/>
    <xf borderId="1" fillId="9" fontId="7" numFmtId="165" xfId="0" applyAlignment="1" applyBorder="1" applyFill="1" applyFont="1" applyNumberFormat="1">
      <alignment horizontal="right" vertical="center"/>
    </xf>
    <xf borderId="1" fillId="2" fontId="7" numFmtId="0" xfId="0" applyAlignment="1" applyBorder="1" applyFont="1">
      <alignment horizontal="right"/>
    </xf>
    <xf borderId="1" fillId="3" fontId="10" numFmtId="165" xfId="0" applyAlignment="1" applyBorder="1" applyFont="1" applyNumberFormat="1">
      <alignment horizontal="right"/>
    </xf>
    <xf borderId="1" fillId="2" fontId="12" numFmtId="0" xfId="0" applyBorder="1" applyFont="1"/>
    <xf borderId="1" fillId="10" fontId="13" numFmtId="165" xfId="0" applyAlignment="1" applyBorder="1" applyFill="1" applyFont="1" applyNumberFormat="1">
      <alignment horizontal="right"/>
    </xf>
    <xf borderId="1" fillId="2" fontId="2" numFmtId="165" xfId="0" applyAlignment="1" applyBorder="1" applyFont="1" applyNumberFormat="1">
      <alignment horizontal="center"/>
    </xf>
    <xf borderId="1" fillId="2" fontId="14" numFmtId="0" xfId="0" applyBorder="1" applyFont="1"/>
    <xf borderId="1" fillId="2" fontId="15" numFmtId="0" xfId="0" applyBorder="1" applyFont="1"/>
    <xf borderId="1" fillId="2" fontId="16" numFmtId="0" xfId="0" applyAlignment="1" applyBorder="1" applyFont="1">
      <alignment horizontal="center"/>
    </xf>
    <xf borderId="1" fillId="2" fontId="17" numFmtId="0" xfId="0" applyBorder="1" applyFont="1"/>
    <xf borderId="6" fillId="8" fontId="18" numFmtId="0" xfId="0" applyAlignment="1" applyBorder="1" applyFont="1">
      <alignment horizontal="left" vertical="center"/>
    </xf>
    <xf borderId="7" fillId="0" fontId="19" numFmtId="0" xfId="0" applyBorder="1" applyFont="1"/>
    <xf borderId="1" fillId="8" fontId="18" numFmtId="0" xfId="0" applyAlignment="1" applyBorder="1" applyFont="1">
      <alignment horizontal="left" vertical="center"/>
    </xf>
    <xf borderId="1" fillId="8" fontId="17" numFmtId="0" xfId="0" applyBorder="1" applyFont="1"/>
    <xf borderId="1" fillId="8" fontId="4" numFmtId="0" xfId="0" applyAlignment="1" applyBorder="1" applyFont="1">
      <alignment horizontal="center"/>
    </xf>
    <xf borderId="1" fillId="8" fontId="4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2" fontId="17" numFmtId="0" xfId="0" applyAlignment="1" applyBorder="1" applyFont="1">
      <alignment horizontal="center"/>
    </xf>
    <xf borderId="1" fillId="2" fontId="20" numFmtId="0" xfId="0" applyAlignment="1" applyBorder="1" applyFont="1">
      <alignment horizontal="center"/>
    </xf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1" fillId="2" fontId="10" numFmtId="165" xfId="0" applyAlignment="1" applyBorder="1" applyFont="1" applyNumberFormat="1">
      <alignment vertical="center"/>
    </xf>
    <xf borderId="1" fillId="3" fontId="10" numFmtId="1" xfId="0" applyAlignment="1" applyBorder="1" applyFont="1" applyNumberFormat="1">
      <alignment horizontal="right" vertical="center"/>
    </xf>
    <xf borderId="1" fillId="2" fontId="10" numFmtId="1" xfId="0" applyAlignment="1" applyBorder="1" applyFont="1" applyNumberFormat="1">
      <alignment horizontal="right" vertical="center"/>
    </xf>
    <xf borderId="1" fillId="3" fontId="21" numFmtId="164" xfId="0" applyAlignment="1" applyBorder="1" applyFont="1" applyNumberFormat="1">
      <alignment vertical="center"/>
    </xf>
    <xf borderId="1" fillId="2" fontId="2" numFmtId="0" xfId="0" applyAlignment="1" applyBorder="1" applyFont="1">
      <alignment horizontal="left"/>
    </xf>
    <xf borderId="8" fillId="4" fontId="22" numFmtId="165" xfId="0" applyAlignment="1" applyBorder="1" applyFont="1" applyNumberFormat="1">
      <alignment horizontal="center" vertical="center"/>
    </xf>
    <xf borderId="9" fillId="0" fontId="19" numFmtId="0" xfId="0" applyBorder="1" applyFont="1"/>
    <xf borderId="1" fillId="11" fontId="2" numFmtId="0" xfId="0" applyBorder="1" applyFill="1" applyFont="1"/>
    <xf borderId="10" fillId="2" fontId="10" numFmtId="165" xfId="0" applyAlignment="1" applyBorder="1" applyFont="1" applyNumberFormat="1">
      <alignment vertical="center"/>
    </xf>
    <xf borderId="10" fillId="2" fontId="23" numFmtId="165" xfId="0" applyAlignment="1" applyBorder="1" applyFont="1" applyNumberFormat="1">
      <alignment vertical="center"/>
    </xf>
    <xf borderId="10" fillId="2" fontId="10" numFmtId="165" xfId="0" applyAlignment="1" applyBorder="1" applyFont="1" applyNumberFormat="1">
      <alignment horizontal="right" vertical="center"/>
    </xf>
    <xf borderId="10" fillId="2" fontId="24" numFmtId="165" xfId="0" applyAlignment="1" applyBorder="1" applyFont="1" applyNumberFormat="1">
      <alignment vertical="center"/>
    </xf>
    <xf borderId="10" fillId="2" fontId="21" numFmtId="165" xfId="0" applyAlignment="1" applyBorder="1" applyFont="1" applyNumberFormat="1">
      <alignment horizontal="right" vertical="center"/>
    </xf>
    <xf borderId="1" fillId="3" fontId="1" numFmtId="9" xfId="0" applyBorder="1" applyFont="1" applyNumberFormat="1"/>
    <xf borderId="1" fillId="3" fontId="1" numFmtId="0" xfId="0" applyBorder="1" applyFont="1"/>
    <xf borderId="0" fillId="0" fontId="1" numFmtId="0" xfId="0" applyAlignment="1" applyFont="1">
      <alignment horizontal="right"/>
    </xf>
    <xf borderId="0" fillId="0" fontId="2" numFmtId="2" xfId="0" applyFont="1" applyNumberFormat="1"/>
    <xf borderId="1" fillId="3" fontId="2" numFmtId="0" xfId="0" applyBorder="1" applyFont="1"/>
    <xf borderId="1" fillId="3" fontId="1" numFmtId="2" xfId="0" applyBorder="1" applyFont="1" applyNumberFormat="1"/>
    <xf borderId="1" fillId="3" fontId="1" numFmtId="10" xfId="0" applyBorder="1" applyFont="1" applyNumberFormat="1"/>
    <xf borderId="1" fillId="2" fontId="25" numFmtId="0" xfId="0" applyBorder="1" applyFont="1"/>
    <xf borderId="1" fillId="2" fontId="2" numFmtId="10" xfId="0" applyBorder="1" applyFont="1" applyNumberFormat="1"/>
    <xf borderId="1" fillId="3" fontId="2" numFmtId="9" xfId="0" applyBorder="1" applyFont="1" applyNumberFormat="1"/>
    <xf borderId="1" fillId="2" fontId="26" numFmtId="0" xfId="0" applyBorder="1" applyFont="1"/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shrinkToFit="0" wrapText="1"/>
    </xf>
    <xf borderId="1" fillId="2" fontId="26" numFmtId="10" xfId="0" applyBorder="1" applyFont="1" applyNumberFormat="1"/>
    <xf borderId="10" fillId="2" fontId="21" numFmtId="165" xfId="0" applyAlignment="1" applyBorder="1" applyFont="1" applyNumberFormat="1">
      <alignment vertical="center"/>
    </xf>
    <xf borderId="10" fillId="11" fontId="10" numFmtId="165" xfId="0" applyAlignment="1" applyBorder="1" applyFont="1" applyNumberFormat="1">
      <alignment horizontal="right"/>
    </xf>
    <xf borderId="1" fillId="3" fontId="2" numFmtId="0" xfId="0" applyAlignment="1" applyBorder="1" applyFont="1">
      <alignment horizontal="right"/>
    </xf>
    <xf borderId="0" fillId="0" fontId="27" numFmtId="0" xfId="0" applyFont="1"/>
    <xf borderId="0" fillId="0" fontId="27" numFmtId="9" xfId="0" applyFont="1" applyNumberFormat="1"/>
    <xf borderId="0" fillId="0" fontId="28" numFmtId="0" xfId="0" applyFont="1"/>
    <xf borderId="0" fillId="4" fontId="27" numFmtId="0" xfId="0" applyFont="1"/>
    <xf borderId="0" fillId="0" fontId="29" numFmtId="0" xfId="0" applyFont="1"/>
    <xf borderId="0" fillId="0" fontId="30" numFmtId="0" xfId="0" applyAlignment="1" applyFont="1">
      <alignment horizontal="center"/>
    </xf>
    <xf borderId="0" fillId="0" fontId="31" numFmtId="0" xfId="0" applyFont="1"/>
    <xf borderId="0" fillId="0" fontId="32" numFmtId="0" xfId="0" applyAlignment="1" applyFont="1">
      <alignment vertical="bottom"/>
    </xf>
    <xf borderId="0" fillId="12" fontId="32" numFmtId="9" xfId="0" applyAlignment="1" applyFill="1" applyFont="1" applyNumberFormat="1">
      <alignment horizontal="right" vertical="bottom"/>
    </xf>
    <xf borderId="0" fillId="11" fontId="27" numFmtId="0" xfId="0" applyFont="1"/>
    <xf borderId="0" fillId="12" fontId="33" numFmtId="9" xfId="0" applyAlignment="1" applyFont="1" applyNumberFormat="1">
      <alignment vertical="bottom"/>
    </xf>
    <xf borderId="0" fillId="12" fontId="32" numFmtId="0" xfId="0" applyAlignment="1" applyFont="1">
      <alignment horizontal="right" vertical="bottom"/>
    </xf>
    <xf borderId="0" fillId="12" fontId="31" numFmtId="9" xfId="0" applyAlignment="1" applyFont="1" applyNumberFormat="1">
      <alignment vertical="bottom"/>
    </xf>
    <xf borderId="0" fillId="0" fontId="34" numFmtId="9" xfId="0" applyFont="1" applyNumberFormat="1"/>
    <xf borderId="0" fillId="11" fontId="2" numFmtId="0" xfId="0" applyFont="1"/>
    <xf borderId="0" fillId="0" fontId="27" numFmtId="1" xfId="0" applyFont="1" applyNumberFormat="1"/>
    <xf borderId="0" fillId="0" fontId="32" numFmtId="1" xfId="0" applyAlignment="1" applyFont="1" applyNumberFormat="1">
      <alignment horizontal="right" vertical="bottom"/>
    </xf>
    <xf borderId="0" fillId="0" fontId="34" numFmtId="1" xfId="0" applyFont="1" applyNumberFormat="1"/>
    <xf borderId="0" fillId="0" fontId="34" numFmtId="1" xfId="0" applyAlignment="1" applyFont="1" applyNumberFormat="1">
      <alignment horizontal="right" vertical="bottom"/>
    </xf>
    <xf borderId="0" fillId="0" fontId="35" numFmtId="0" xfId="0" applyFont="1"/>
    <xf borderId="0" fillId="0" fontId="30" numFmtId="0" xfId="0" applyAlignment="1" applyFont="1">
      <alignment horizontal="left"/>
    </xf>
    <xf borderId="0" fillId="0" fontId="27" numFmtId="0" xfId="0" applyAlignment="1" applyFont="1">
      <alignment horizontal="left"/>
    </xf>
    <xf borderId="0" fillId="12" fontId="27" numFmtId="9" xfId="0" applyFont="1" applyNumberFormat="1"/>
    <xf borderId="0" fillId="0" fontId="29" numFmtId="0" xfId="0" applyAlignment="1" applyFont="1">
      <alignment horizontal="left"/>
    </xf>
    <xf borderId="0" fillId="0" fontId="29" numFmtId="0" xfId="0" applyAlignment="1" applyFont="1">
      <alignment horizontal="center"/>
    </xf>
    <xf borderId="0" fillId="0" fontId="33" numFmtId="0" xfId="0" applyFont="1"/>
    <xf borderId="0" fillId="13" fontId="27" numFmtId="0" xfId="0" applyFill="1" applyFont="1"/>
    <xf borderId="0" fillId="5" fontId="27" numFmtId="0" xfId="0" applyFont="1"/>
    <xf borderId="0" fillId="6" fontId="27" numFmtId="0" xfId="0" applyFont="1"/>
    <xf borderId="0" fillId="14" fontId="27" numFmtId="0" xfId="0" applyFill="1" applyFont="1"/>
    <xf borderId="0" fillId="0" fontId="34" numFmtId="1" xfId="0" applyAlignment="1" applyFont="1" applyNumberFormat="1">
      <alignment vertical="bottom"/>
    </xf>
    <xf borderId="0" fillId="3" fontId="36" numFmtId="166" xfId="0" applyFont="1" applyNumberFormat="1"/>
    <xf borderId="0" fillId="15" fontId="27" numFmtId="166" xfId="0" applyFill="1" applyFont="1" applyNumberFormat="1"/>
    <xf borderId="0" fillId="16" fontId="27" numFmtId="166" xfId="0" applyFill="1" applyFont="1" applyNumberFormat="1"/>
    <xf borderId="0" fillId="0" fontId="27" numFmtId="167" xfId="0" applyFont="1" applyNumberFormat="1"/>
    <xf borderId="0" fillId="0" fontId="31" numFmtId="0" xfId="0" applyAlignment="1" applyFont="1">
      <alignment vertical="bottom"/>
    </xf>
    <xf borderId="0" fillId="17" fontId="29" numFmtId="167" xfId="0" applyAlignment="1" applyFill="1" applyFont="1" applyNumberFormat="1">
      <alignment horizontal="center" vertical="center"/>
    </xf>
    <xf borderId="0" fillId="15" fontId="29" numFmtId="167" xfId="0" applyAlignment="1" applyFont="1" applyNumberFormat="1">
      <alignment horizontal="center" vertical="center"/>
    </xf>
    <xf borderId="0" fillId="13" fontId="29" numFmtId="0" xfId="0" applyAlignment="1" applyFont="1">
      <alignment horizontal="center"/>
    </xf>
    <xf borderId="0" fillId="6" fontId="37" numFmtId="10" xfId="0" applyAlignment="1" applyFont="1" applyNumberFormat="1">
      <alignment horizontal="center" vertical="center"/>
    </xf>
    <xf borderId="2" fillId="0" fontId="29" numFmtId="0" xfId="0" applyBorder="1" applyFont="1"/>
    <xf borderId="2" fillId="0" fontId="27" numFmtId="0" xfId="0" applyBorder="1" applyFont="1"/>
    <xf borderId="0" fillId="4" fontId="31" numFmtId="0" xfId="0" applyFont="1"/>
    <xf borderId="2" fillId="0" fontId="31" numFmtId="0" xfId="0" applyBorder="1" applyFont="1"/>
    <xf borderId="11" fillId="0" fontId="30" numFmtId="0" xfId="0" applyAlignment="1" applyBorder="1" applyFont="1">
      <alignment horizontal="center"/>
    </xf>
    <xf borderId="12" fillId="0" fontId="19" numFmtId="0" xfId="0" applyBorder="1" applyFont="1"/>
    <xf borderId="11" fillId="0" fontId="31" numFmtId="0" xfId="0" applyBorder="1" applyFont="1"/>
    <xf borderId="13" fillId="0" fontId="19" numFmtId="0" xfId="0" applyBorder="1" applyFont="1"/>
    <xf borderId="11" fillId="0" fontId="31" numFmtId="167" xfId="0" applyBorder="1" applyFont="1" applyNumberFormat="1"/>
    <xf borderId="11" fillId="0" fontId="31" numFmtId="3" xfId="0" applyBorder="1" applyFont="1" applyNumberFormat="1"/>
    <xf borderId="11" fillId="0" fontId="33" numFmtId="0" xfId="0" applyBorder="1" applyFont="1"/>
    <xf borderId="0" fillId="11" fontId="31" numFmtId="0" xfId="0" applyAlignment="1" applyFont="1">
      <alignment vertical="bottom"/>
    </xf>
    <xf borderId="0" fillId="11" fontId="38" numFmtId="0" xfId="0" applyAlignment="1" applyFont="1">
      <alignment vertical="bottom"/>
    </xf>
    <xf borderId="0" fillId="11" fontId="39" numFmtId="0" xfId="0" applyAlignment="1" applyFont="1">
      <alignment vertical="bottom"/>
    </xf>
    <xf borderId="0" fillId="11" fontId="32" numFmtId="9" xfId="0" applyAlignment="1" applyFont="1" applyNumberFormat="1">
      <alignment horizontal="right" vertical="bottom"/>
    </xf>
    <xf borderId="0" fillId="11" fontId="32" numFmtId="0" xfId="0" applyAlignment="1" applyFont="1">
      <alignment vertical="bottom"/>
    </xf>
    <xf borderId="0" fillId="11" fontId="32" numFmtId="0" xfId="0" applyAlignment="1" applyFont="1">
      <alignment horizontal="right" vertical="bottom"/>
    </xf>
    <xf borderId="0" fillId="11" fontId="33" numFmtId="9" xfId="0" applyAlignment="1" applyFont="1" applyNumberFormat="1">
      <alignment vertical="bottom"/>
    </xf>
    <xf borderId="1" fillId="11" fontId="1" numFmtId="0" xfId="0" applyBorder="1" applyFont="1"/>
    <xf borderId="0" fillId="11" fontId="31" numFmtId="9" xfId="0" applyAlignment="1" applyFont="1" applyNumberFormat="1">
      <alignment vertical="bottom"/>
    </xf>
    <xf borderId="0" fillId="0" fontId="40" numFmtId="0" xfId="0" applyAlignment="1" applyFont="1">
      <alignment horizontal="right" shrinkToFit="0" wrapText="1"/>
    </xf>
    <xf borderId="0" fillId="11" fontId="31" numFmtId="9" xfId="0" applyAlignment="1" applyFont="1" applyNumberFormat="1">
      <alignment horizontal="right" vertical="bottom"/>
    </xf>
    <xf borderId="0" fillId="11" fontId="34" numFmtId="9" xfId="0" applyAlignment="1" applyFont="1" applyNumberFormat="1">
      <alignment horizontal="right" vertical="bottom"/>
    </xf>
    <xf borderId="0" fillId="11" fontId="32" numFmtId="1" xfId="0" applyAlignment="1" applyFont="1" applyNumberFormat="1">
      <alignment horizontal="right" vertical="bottom"/>
    </xf>
    <xf borderId="0" fillId="11" fontId="34" numFmtId="1" xfId="0" applyAlignment="1" applyFont="1" applyNumberFormat="1">
      <alignment horizontal="right" vertical="bottom"/>
    </xf>
    <xf borderId="0" fillId="11" fontId="35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32" numFmtId="0" xfId="0" applyAlignment="1" applyFont="1">
      <alignment horizontal="right" vertical="bottom"/>
    </xf>
    <xf borderId="0" fillId="5" fontId="31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3" fontId="36" numFmtId="166" xfId="0" applyAlignment="1" applyFont="1" applyNumberFormat="1">
      <alignment horizontal="right" vertical="bottom"/>
    </xf>
    <xf borderId="0" fillId="18" fontId="32" numFmtId="166" xfId="0" applyAlignment="1" applyFill="1" applyFont="1" applyNumberFormat="1">
      <alignment horizontal="right" vertical="bottom"/>
    </xf>
    <xf borderId="0" fillId="16" fontId="32" numFmtId="166" xfId="0" applyAlignment="1" applyFont="1" applyNumberFormat="1">
      <alignment horizontal="right" vertical="bottom"/>
    </xf>
    <xf borderId="0" fillId="0" fontId="32" numFmtId="2" xfId="0" applyAlignment="1" applyFont="1" applyNumberFormat="1">
      <alignment horizontal="right" vertical="bottom"/>
    </xf>
    <xf borderId="0" fillId="17" fontId="39" numFmtId="167" xfId="0" applyAlignment="1" applyFont="1" applyNumberFormat="1">
      <alignment horizontal="center"/>
    </xf>
    <xf borderId="0" fillId="18" fontId="39" numFmtId="167" xfId="0" applyAlignment="1" applyFont="1" applyNumberFormat="1">
      <alignment horizontal="center"/>
    </xf>
    <xf borderId="0" fillId="6" fontId="37" numFmtId="10" xfId="0" applyAlignment="1" applyFont="1" applyNumberFormat="1">
      <alignment horizontal="center"/>
    </xf>
    <xf borderId="2" fillId="0" fontId="32" numFmtId="0" xfId="0" applyAlignment="1" applyBorder="1" applyFont="1">
      <alignment vertical="bottom"/>
    </xf>
    <xf borderId="2" fillId="0" fontId="32" numFmtId="0" xfId="0" applyAlignment="1" applyBorder="1" applyFont="1">
      <alignment horizontal="right" vertical="bottom"/>
    </xf>
    <xf borderId="0" fillId="0" fontId="38" numFmtId="0" xfId="0" applyAlignment="1" applyFont="1">
      <alignment vertical="bottom"/>
    </xf>
    <xf borderId="2" fillId="0" fontId="31" numFmtId="0" xfId="0" applyAlignment="1" applyBorder="1" applyFont="1">
      <alignment vertical="bottom"/>
    </xf>
    <xf borderId="2" fillId="0" fontId="31" numFmtId="0" xfId="0" applyAlignment="1" applyBorder="1" applyFont="1">
      <alignment horizontal="right" vertical="bottom"/>
    </xf>
    <xf borderId="2" fillId="11" fontId="41" numFmtId="168" xfId="0" applyAlignment="1" applyBorder="1" applyFont="1" applyNumberFormat="1">
      <alignment horizontal="right"/>
    </xf>
    <xf borderId="0" fillId="12" fontId="27" numFmtId="0" xfId="0" applyFont="1"/>
    <xf borderId="0" fillId="0" fontId="31" numFmtId="0" xfId="0" applyAlignment="1" applyFont="1">
      <alignment horizontal="right" vertical="bottom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1" fillId="8" fontId="4" numFmtId="0" xfId="0" applyAlignment="1" applyBorder="1" applyFont="1">
      <alignment horizontal="center" vertical="center"/>
    </xf>
    <xf borderId="1" fillId="8" fontId="17" numFmtId="0" xfId="0" applyAlignment="1" applyBorder="1" applyFont="1">
      <alignment vertical="center"/>
    </xf>
    <xf borderId="1" fillId="8" fontId="4" numFmtId="0" xfId="0" applyAlignment="1" applyBorder="1" applyFont="1">
      <alignment vertical="center"/>
    </xf>
    <xf borderId="0" fillId="0" fontId="42" numFmtId="0" xfId="0" applyAlignment="1" applyFont="1">
      <alignment vertical="center"/>
    </xf>
    <xf borderId="0" fillId="0" fontId="43" numFmtId="0" xfId="0" applyAlignment="1" applyFont="1">
      <alignment horizontal="right" vertical="center"/>
    </xf>
    <xf borderId="0" fillId="0" fontId="44" numFmtId="0" xfId="0" applyAlignment="1" applyFont="1">
      <alignment vertical="center"/>
    </xf>
    <xf borderId="1" fillId="2" fontId="42" numFmtId="0" xfId="0" applyAlignment="1" applyBorder="1" applyFont="1">
      <alignment vertical="center"/>
    </xf>
    <xf borderId="14" fillId="2" fontId="45" numFmtId="0" xfId="0" applyAlignment="1" applyBorder="1" applyFont="1">
      <alignment horizontal="center" vertical="center"/>
    </xf>
    <xf borderId="2" fillId="2" fontId="46" numFmtId="0" xfId="0" applyAlignment="1" applyBorder="1" applyFont="1">
      <alignment horizontal="center" vertical="center"/>
    </xf>
    <xf borderId="11" fillId="2" fontId="46" numFmtId="0" xfId="0" applyAlignment="1" applyBorder="1" applyFont="1">
      <alignment horizontal="center" vertical="center"/>
    </xf>
    <xf borderId="15" fillId="2" fontId="46" numFmtId="0" xfId="0" applyAlignment="1" applyBorder="1" applyFont="1">
      <alignment horizontal="center" vertical="center"/>
    </xf>
    <xf borderId="0" fillId="2" fontId="42" numFmtId="0" xfId="0" applyAlignment="1" applyFont="1">
      <alignment vertical="center"/>
    </xf>
    <xf borderId="1" fillId="2" fontId="44" numFmtId="165" xfId="0" applyAlignment="1" applyBorder="1" applyFont="1" applyNumberFormat="1">
      <alignment horizontal="center" vertical="center"/>
    </xf>
    <xf borderId="1" fillId="2" fontId="42" numFmtId="169" xfId="0" applyAlignment="1" applyBorder="1" applyFont="1" applyNumberFormat="1">
      <alignment horizontal="center" vertical="center"/>
    </xf>
    <xf borderId="1" fillId="2" fontId="42" numFmtId="0" xfId="0" applyAlignment="1" applyBorder="1" applyFont="1">
      <alignment horizontal="center" vertical="center"/>
    </xf>
    <xf borderId="0" fillId="0" fontId="47" numFmtId="0" xfId="0" applyAlignment="1" applyFont="1">
      <alignment vertical="center"/>
    </xf>
    <xf borderId="10" fillId="4" fontId="48" numFmtId="165" xfId="0" applyAlignment="1" applyBorder="1" applyFont="1" applyNumberFormat="1">
      <alignment horizontal="left" vertical="center"/>
    </xf>
    <xf borderId="10" fillId="4" fontId="48" numFmtId="165" xfId="0" applyAlignment="1" applyBorder="1" applyFont="1" applyNumberFormat="1">
      <alignment horizontal="right" vertical="center"/>
    </xf>
    <xf borderId="10" fillId="2" fontId="49" numFmtId="165" xfId="0" applyAlignment="1" applyBorder="1" applyFont="1" applyNumberFormat="1">
      <alignment horizontal="left" vertical="center"/>
    </xf>
    <xf borderId="10" fillId="2" fontId="8" numFmtId="165" xfId="0" applyAlignment="1" applyBorder="1" applyFont="1" applyNumberFormat="1">
      <alignment horizontal="right" vertical="center"/>
    </xf>
    <xf borderId="10" fillId="2" fontId="50" numFmtId="165" xfId="0" applyAlignment="1" applyBorder="1" applyFont="1" applyNumberFormat="1">
      <alignment horizontal="right" vertical="center"/>
    </xf>
    <xf borderId="10" fillId="2" fontId="51" numFmtId="165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vertical="center"/>
    </xf>
    <xf borderId="1" fillId="2" fontId="1" numFmtId="165" xfId="0" applyAlignment="1" applyBorder="1" applyFont="1" applyNumberFormat="1">
      <alignment horizontal="left" vertical="center"/>
    </xf>
    <xf borderId="14" fillId="2" fontId="2" numFmtId="165" xfId="0" applyAlignment="1" applyBorder="1" applyFont="1" applyNumberFormat="1">
      <alignment horizontal="right" vertical="center"/>
    </xf>
    <xf borderId="16" fillId="0" fontId="1" numFmtId="165" xfId="0" applyAlignment="1" applyBorder="1" applyFont="1" applyNumberFormat="1">
      <alignment horizontal="right" vertical="center"/>
    </xf>
    <xf borderId="17" fillId="0" fontId="1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18" fillId="0" fontId="1" numFmtId="165" xfId="0" applyAlignment="1" applyBorder="1" applyFont="1" applyNumberFormat="1">
      <alignment horizontal="right" vertical="center"/>
    </xf>
    <xf borderId="14" fillId="2" fontId="1" numFmtId="165" xfId="0" applyAlignment="1" applyBorder="1" applyFont="1" applyNumberFormat="1">
      <alignment horizontal="right" vertical="center"/>
    </xf>
    <xf borderId="0" fillId="2" fontId="2" numFmtId="0" xfId="0" applyAlignment="1" applyFont="1">
      <alignment vertical="center"/>
    </xf>
    <xf borderId="1" fillId="2" fontId="1" numFmtId="165" xfId="0" applyAlignment="1" applyBorder="1" applyFont="1" applyNumberFormat="1">
      <alignment horizontal="right" vertical="center"/>
    </xf>
    <xf borderId="19" fillId="0" fontId="52" numFmtId="165" xfId="0" applyAlignment="1" applyBorder="1" applyFont="1" applyNumberFormat="1">
      <alignment horizontal="right" vertical="center"/>
    </xf>
    <xf borderId="0" fillId="0" fontId="52" numFmtId="165" xfId="0" applyAlignment="1" applyFont="1" applyNumberFormat="1">
      <alignment horizontal="right" vertical="center"/>
    </xf>
    <xf borderId="20" fillId="0" fontId="52" numFmtId="165" xfId="0" applyAlignment="1" applyBorder="1" applyFont="1" applyNumberFormat="1">
      <alignment horizontal="right" vertical="center"/>
    </xf>
    <xf borderId="14" fillId="2" fontId="52" numFmtId="165" xfId="0" applyAlignment="1" applyBorder="1" applyFont="1" applyNumberFormat="1">
      <alignment horizontal="right" vertical="center"/>
    </xf>
    <xf borderId="19" fillId="0" fontId="1" numFmtId="165" xfId="0" applyAlignment="1" applyBorder="1" applyFont="1" applyNumberFormat="1">
      <alignment horizontal="right" vertical="center"/>
    </xf>
    <xf borderId="20" fillId="0" fontId="1" numFmtId="165" xfId="0" applyAlignment="1" applyBorder="1" applyFont="1" applyNumberFormat="1">
      <alignment horizontal="right" vertical="center"/>
    </xf>
    <xf borderId="21" fillId="2" fontId="2" numFmtId="165" xfId="0" applyAlignment="1" applyBorder="1" applyFont="1" applyNumberFormat="1">
      <alignment horizontal="right" vertical="center"/>
    </xf>
    <xf borderId="3" fillId="2" fontId="1" numFmtId="165" xfId="0" applyAlignment="1" applyBorder="1" applyFont="1" applyNumberFormat="1">
      <alignment horizontal="left" vertical="center"/>
    </xf>
    <xf borderId="22" fillId="2" fontId="2" numFmtId="165" xfId="0" applyAlignment="1" applyBorder="1" applyFont="1" applyNumberFormat="1">
      <alignment horizontal="left" vertical="center"/>
    </xf>
    <xf borderId="23" fillId="0" fontId="53" numFmtId="9" xfId="0" applyAlignment="1" applyBorder="1" applyFont="1" applyNumberFormat="1">
      <alignment horizontal="right" vertical="center"/>
    </xf>
    <xf borderId="24" fillId="0" fontId="51" numFmtId="9" xfId="0" applyAlignment="1" applyBorder="1" applyFont="1" applyNumberFormat="1">
      <alignment horizontal="right" vertical="center"/>
    </xf>
    <xf borderId="25" fillId="0" fontId="51" numFmtId="9" xfId="0" applyAlignment="1" applyBorder="1" applyFont="1" applyNumberFormat="1">
      <alignment horizontal="right" vertical="center"/>
    </xf>
    <xf borderId="26" fillId="2" fontId="51" numFmtId="9" xfId="0" applyAlignment="1" applyBorder="1" applyFont="1" applyNumberFormat="1">
      <alignment horizontal="right" vertical="center"/>
    </xf>
    <xf borderId="14" fillId="2" fontId="51" numFmtId="9" xfId="0" applyAlignment="1" applyBorder="1" applyFont="1" applyNumberFormat="1">
      <alignment horizontal="right" vertical="center"/>
    </xf>
    <xf borderId="0" fillId="0" fontId="50" numFmtId="1" xfId="0" applyAlignment="1" applyFont="1" applyNumberFormat="1">
      <alignment horizontal="right" vertical="center"/>
    </xf>
    <xf borderId="14" fillId="2" fontId="52" numFmtId="1" xfId="0" applyAlignment="1" applyBorder="1" applyFont="1" applyNumberFormat="1">
      <alignment horizontal="right" vertical="center"/>
    </xf>
    <xf borderId="27" fillId="0" fontId="50" numFmtId="1" xfId="0" applyAlignment="1" applyBorder="1" applyFont="1" applyNumberFormat="1">
      <alignment horizontal="right" vertical="center"/>
    </xf>
    <xf borderId="28" fillId="2" fontId="2" numFmtId="0" xfId="0" applyAlignment="1" applyBorder="1" applyFont="1">
      <alignment vertical="center"/>
    </xf>
    <xf borderId="10" fillId="2" fontId="54" numFmtId="165" xfId="0" applyAlignment="1" applyBorder="1" applyFont="1" applyNumberFormat="1">
      <alignment vertical="center"/>
    </xf>
    <xf borderId="29" fillId="2" fontId="12" numFmtId="165" xfId="0" applyAlignment="1" applyBorder="1" applyFont="1" applyNumberFormat="1">
      <alignment horizontal="right" vertical="center"/>
    </xf>
    <xf borderId="10" fillId="2" fontId="9" numFmtId="165" xfId="0" applyAlignment="1" applyBorder="1" applyFont="1" applyNumberFormat="1">
      <alignment horizontal="right" vertical="center"/>
    </xf>
    <xf borderId="29" fillId="2" fontId="9" numFmtId="165" xfId="0" applyAlignment="1" applyBorder="1" applyFont="1" applyNumberFormat="1">
      <alignment horizontal="right" vertical="center"/>
    </xf>
    <xf borderId="30" fillId="2" fontId="9" numFmtId="165" xfId="0" applyAlignment="1" applyBorder="1" applyFont="1" applyNumberFormat="1">
      <alignment horizontal="right" vertical="center"/>
    </xf>
    <xf borderId="1" fillId="2" fontId="10" numFmtId="165" xfId="0" applyAlignment="1" applyBorder="1" applyFont="1" applyNumberFormat="1">
      <alignment horizontal="right" vertical="center"/>
    </xf>
    <xf borderId="1" fillId="2" fontId="2" numFmtId="165" xfId="0" applyAlignment="1" applyBorder="1" applyFont="1" applyNumberFormat="1">
      <alignment horizontal="right" vertical="center"/>
    </xf>
    <xf borderId="3" fillId="2" fontId="2" numFmtId="165" xfId="0" applyAlignment="1" applyBorder="1" applyFont="1" applyNumberFormat="1">
      <alignment horizontal="left" vertical="center"/>
    </xf>
    <xf borderId="29" fillId="2" fontId="9" numFmtId="3" xfId="0" applyAlignment="1" applyBorder="1" applyFont="1" applyNumberFormat="1">
      <alignment horizontal="right" vertical="center"/>
    </xf>
    <xf borderId="1" fillId="2" fontId="10" numFmtId="0" xfId="0" applyAlignment="1" applyBorder="1" applyFont="1">
      <alignment horizontal="right" vertical="center"/>
    </xf>
    <xf borderId="1" fillId="3" fontId="2" numFmtId="165" xfId="0" applyAlignment="1" applyBorder="1" applyFont="1" applyNumberFormat="1">
      <alignment horizontal="right" vertical="center"/>
    </xf>
    <xf borderId="1" fillId="3" fontId="1" numFmtId="165" xfId="0" applyAlignment="1" applyBorder="1" applyFont="1" applyNumberFormat="1">
      <alignment horizontal="right" vertical="center"/>
    </xf>
    <xf borderId="31" fillId="3" fontId="2" numFmtId="165" xfId="0" applyAlignment="1" applyBorder="1" applyFont="1" applyNumberFormat="1">
      <alignment horizontal="right" vertical="center"/>
    </xf>
    <xf borderId="14" fillId="3" fontId="1" numFmtId="165" xfId="0" applyAlignment="1" applyBorder="1" applyFont="1" applyNumberFormat="1">
      <alignment horizontal="right" vertical="center"/>
    </xf>
    <xf borderId="29" fillId="2" fontId="54" numFmtId="165" xfId="0" applyAlignment="1" applyBorder="1" applyFont="1" applyNumberFormat="1">
      <alignment horizontal="right" vertical="center"/>
    </xf>
    <xf borderId="26" fillId="2" fontId="2" numFmtId="165" xfId="0" applyAlignment="1" applyBorder="1" applyFont="1" applyNumberFormat="1">
      <alignment horizontal="right" vertical="center"/>
    </xf>
    <xf borderId="3" fillId="3" fontId="2" numFmtId="165" xfId="0" applyAlignment="1" applyBorder="1" applyFont="1" applyNumberFormat="1">
      <alignment horizontal="right" vertical="center"/>
    </xf>
    <xf borderId="3" fillId="3" fontId="1" numFmtId="165" xfId="0" applyAlignment="1" applyBorder="1" applyFont="1" applyNumberFormat="1">
      <alignment horizontal="right" vertical="center"/>
    </xf>
    <xf borderId="32" fillId="3" fontId="1" numFmtId="165" xfId="0" applyAlignment="1" applyBorder="1" applyFont="1" applyNumberFormat="1">
      <alignment horizontal="right" vertical="center"/>
    </xf>
    <xf borderId="32" fillId="3" fontId="2" numFmtId="165" xfId="0" applyAlignment="1" applyBorder="1" applyFont="1" applyNumberFormat="1">
      <alignment horizontal="right" vertical="center"/>
    </xf>
    <xf borderId="26" fillId="3" fontId="1" numFmtId="165" xfId="0" applyAlignment="1" applyBorder="1" applyFont="1" applyNumberFormat="1">
      <alignment horizontal="right" vertical="center"/>
    </xf>
    <xf borderId="33" fillId="2" fontId="10" numFmtId="165" xfId="0" applyAlignment="1" applyBorder="1" applyFont="1" applyNumberFormat="1">
      <alignment vertical="center"/>
    </xf>
    <xf borderId="33" fillId="2" fontId="10" numFmtId="165" xfId="0" applyAlignment="1" applyBorder="1" applyFont="1" applyNumberFormat="1">
      <alignment horizontal="right" vertical="center"/>
    </xf>
    <xf borderId="33" fillId="2" fontId="2" numFmtId="165" xfId="0" applyAlignment="1" applyBorder="1" applyFont="1" applyNumberFormat="1">
      <alignment horizontal="right" vertical="center"/>
    </xf>
    <xf borderId="33" fillId="2" fontId="55" numFmtId="0" xfId="0" applyAlignment="1" applyBorder="1" applyFont="1">
      <alignment vertical="center"/>
    </xf>
    <xf borderId="34" fillId="2" fontId="51" numFmtId="0" xfId="0" applyAlignment="1" applyBorder="1" applyFont="1">
      <alignment horizontal="right" vertical="center"/>
    </xf>
    <xf borderId="35" fillId="2" fontId="51" numFmtId="9" xfId="0" applyAlignment="1" applyBorder="1" applyFont="1" applyNumberFormat="1">
      <alignment horizontal="right" vertical="center"/>
    </xf>
    <xf borderId="34" fillId="2" fontId="51" numFmtId="9" xfId="0" applyAlignment="1" applyBorder="1" applyFont="1" applyNumberFormat="1">
      <alignment horizontal="right" vertical="center"/>
    </xf>
    <xf borderId="36" fillId="2" fontId="51" numFmtId="9" xfId="0" applyAlignment="1" applyBorder="1" applyFont="1" applyNumberFormat="1">
      <alignment horizontal="right" vertical="center"/>
    </xf>
    <xf borderId="2" fillId="2" fontId="51" numFmtId="9" xfId="0" applyAlignment="1" applyBorder="1" applyFont="1" applyNumberFormat="1">
      <alignment horizontal="right" vertical="center"/>
    </xf>
    <xf borderId="0" fillId="2" fontId="55" numFmtId="0" xfId="0" applyAlignment="1" applyFont="1">
      <alignment vertical="center"/>
    </xf>
    <xf borderId="0" fillId="7" fontId="12" numFmtId="165" xfId="0" applyAlignment="1" applyFont="1" applyNumberFormat="1">
      <alignment horizontal="left" vertical="center"/>
    </xf>
    <xf borderId="0" fillId="7" fontId="12" numFmtId="165" xfId="0" applyAlignment="1" applyFont="1" applyNumberFormat="1">
      <alignment horizontal="right" vertical="center"/>
    </xf>
    <xf borderId="0" fillId="7" fontId="9" numFmtId="165" xfId="0" applyAlignment="1" applyFont="1" applyNumberFormat="1">
      <alignment horizontal="right" vertical="center"/>
    </xf>
    <xf borderId="37" fillId="2" fontId="2" numFmtId="0" xfId="0" applyAlignment="1" applyBorder="1" applyFont="1">
      <alignment vertical="center"/>
    </xf>
    <xf borderId="37" fillId="2" fontId="56" numFmtId="165" xfId="0" applyAlignment="1" applyBorder="1" applyFont="1" applyNumberFormat="1">
      <alignment horizontal="right" vertical="center"/>
    </xf>
    <xf borderId="37" fillId="2" fontId="7" numFmtId="165" xfId="0" applyAlignment="1" applyBorder="1" applyFont="1" applyNumberFormat="1">
      <alignment horizontal="right" vertical="center"/>
    </xf>
    <xf borderId="37" fillId="2" fontId="55" numFmtId="165" xfId="0" applyAlignment="1" applyBorder="1" applyFont="1" applyNumberFormat="1">
      <alignment horizontal="right" vertical="center"/>
    </xf>
    <xf borderId="37" fillId="2" fontId="57" numFmtId="165" xfId="0" applyAlignment="1" applyBorder="1" applyFont="1" applyNumberFormat="1">
      <alignment horizontal="right" vertical="center"/>
    </xf>
    <xf borderId="34" fillId="2" fontId="8" numFmtId="170" xfId="0" applyAlignment="1" applyBorder="1" applyFont="1" applyNumberFormat="1">
      <alignment horizontal="right" vertical="center"/>
    </xf>
    <xf borderId="34" fillId="2" fontId="8" numFmtId="165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horizontal="left" vertical="center"/>
    </xf>
    <xf borderId="38" fillId="2" fontId="2" numFmtId="9" xfId="0" applyAlignment="1" applyBorder="1" applyFont="1" applyNumberFormat="1">
      <alignment horizontal="left" vertical="center"/>
    </xf>
    <xf borderId="39" fillId="3" fontId="1" numFmtId="9" xfId="0" applyAlignment="1" applyBorder="1" applyFont="1" applyNumberFormat="1">
      <alignment horizontal="right" vertical="center"/>
    </xf>
    <xf borderId="40" fillId="3" fontId="1" numFmtId="9" xfId="0" applyAlignment="1" applyBorder="1" applyFont="1" applyNumberFormat="1">
      <alignment horizontal="right" vertical="center"/>
    </xf>
    <xf borderId="14" fillId="2" fontId="2" numFmtId="10" xfId="0" applyAlignment="1" applyBorder="1" applyFont="1" applyNumberFormat="1">
      <alignment horizontal="right" vertical="center"/>
    </xf>
    <xf borderId="41" fillId="3" fontId="1" numFmtId="9" xfId="0" applyAlignment="1" applyBorder="1" applyFont="1" applyNumberFormat="1">
      <alignment horizontal="right" vertical="center"/>
    </xf>
    <xf borderId="28" fillId="2" fontId="2" numFmtId="0" xfId="0" applyAlignment="1" applyBorder="1" applyFont="1">
      <alignment horizontal="left" vertical="center"/>
    </xf>
    <xf borderId="0" fillId="2" fontId="2" numFmtId="0" xfId="0" applyAlignment="1" applyFont="1">
      <alignment horizontal="left" vertical="center"/>
    </xf>
    <xf borderId="27" fillId="0" fontId="52" numFmtId="165" xfId="0" applyAlignment="1" applyBorder="1" applyFont="1" applyNumberFormat="1">
      <alignment horizontal="right" vertical="center"/>
    </xf>
    <xf borderId="42" fillId="3" fontId="1" numFmtId="9" xfId="0" applyAlignment="1" applyBorder="1" applyFont="1" applyNumberFormat="1">
      <alignment horizontal="right" vertical="center"/>
    </xf>
    <xf borderId="37" fillId="3" fontId="1" numFmtId="9" xfId="0" applyAlignment="1" applyBorder="1" applyFont="1" applyNumberFormat="1">
      <alignment horizontal="right" vertical="center"/>
    </xf>
    <xf borderId="1" fillId="3" fontId="1" numFmtId="9" xfId="0" applyAlignment="1" applyBorder="1" applyFont="1" applyNumberFormat="1">
      <alignment horizontal="right" vertical="center"/>
    </xf>
    <xf borderId="43" fillId="3" fontId="1" numFmtId="9" xfId="0" applyAlignment="1" applyBorder="1" applyFont="1" applyNumberFormat="1">
      <alignment horizontal="right" vertical="center"/>
    </xf>
    <xf borderId="44" fillId="3" fontId="1" numFmtId="9" xfId="0" applyAlignment="1" applyBorder="1" applyFont="1" applyNumberFormat="1">
      <alignment horizontal="right" vertical="center"/>
    </xf>
    <xf borderId="45" fillId="2" fontId="2" numFmtId="9" xfId="0" applyAlignment="1" applyBorder="1" applyFont="1" applyNumberFormat="1">
      <alignment horizontal="left" vertical="center"/>
    </xf>
    <xf borderId="33" fillId="2" fontId="1" numFmtId="165" xfId="0" applyAlignment="1" applyBorder="1" applyFont="1" applyNumberFormat="1">
      <alignment horizontal="left" vertical="center"/>
    </xf>
    <xf borderId="46" fillId="2" fontId="2" numFmtId="9" xfId="0" applyAlignment="1" applyBorder="1" applyFont="1" applyNumberFormat="1">
      <alignment horizontal="left" vertical="center"/>
    </xf>
    <xf borderId="3" fillId="2" fontId="2" numFmtId="9" xfId="0" applyAlignment="1" applyBorder="1" applyFont="1" applyNumberFormat="1">
      <alignment horizontal="left" vertical="center"/>
    </xf>
    <xf borderId="32" fillId="2" fontId="2" numFmtId="9" xfId="0" applyAlignment="1" applyBorder="1" applyFont="1" applyNumberFormat="1">
      <alignment horizontal="left" vertical="center"/>
    </xf>
    <xf borderId="26" fillId="2" fontId="2" numFmtId="9" xfId="0" applyAlignment="1" applyBorder="1" applyFont="1" applyNumberFormat="1">
      <alignment horizontal="left" vertical="center"/>
    </xf>
    <xf borderId="47" fillId="2" fontId="2" numFmtId="9" xfId="0" applyAlignment="1" applyBorder="1" applyFont="1" applyNumberFormat="1">
      <alignment horizontal="left" vertical="center"/>
    </xf>
    <xf borderId="1" fillId="2" fontId="9" numFmtId="0" xfId="0" applyAlignment="1" applyBorder="1" applyFont="1">
      <alignment vertical="center"/>
    </xf>
    <xf borderId="21" fillId="2" fontId="9" numFmtId="165" xfId="0" applyAlignment="1" applyBorder="1" applyFont="1" applyNumberFormat="1">
      <alignment horizontal="right" vertical="center"/>
    </xf>
    <xf borderId="33" fillId="2" fontId="9" numFmtId="165" xfId="0" applyAlignment="1" applyBorder="1" applyFont="1" applyNumberFormat="1">
      <alignment horizontal="right" vertical="center"/>
    </xf>
    <xf borderId="48" fillId="2" fontId="9" numFmtId="165" xfId="0" applyAlignment="1" applyBorder="1" applyFont="1" applyNumberFormat="1">
      <alignment horizontal="right" vertical="center"/>
    </xf>
    <xf borderId="21" fillId="2" fontId="12" numFmtId="165" xfId="0" applyAlignment="1" applyBorder="1" applyFont="1" applyNumberFormat="1">
      <alignment horizontal="right" vertical="center"/>
    </xf>
    <xf borderId="49" fillId="2" fontId="9" numFmtId="165" xfId="0" applyAlignment="1" applyBorder="1" applyFont="1" applyNumberFormat="1">
      <alignment horizontal="right" vertical="center"/>
    </xf>
    <xf borderId="28" fillId="2" fontId="9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1" fillId="2" fontId="55" numFmtId="0" xfId="0" applyAlignment="1" applyBorder="1" applyFont="1">
      <alignment vertical="center"/>
    </xf>
    <xf borderId="10" fillId="2" fontId="51" numFmtId="0" xfId="0" applyAlignment="1" applyBorder="1" applyFont="1">
      <alignment horizontal="right" vertical="center"/>
    </xf>
    <xf borderId="12" fillId="2" fontId="51" numFmtId="9" xfId="0" applyAlignment="1" applyBorder="1" applyFont="1" applyNumberFormat="1">
      <alignment horizontal="right" vertical="center"/>
    </xf>
    <xf borderId="28" fillId="2" fontId="55" numFmtId="0" xfId="0" applyAlignment="1" applyBorder="1" applyFont="1">
      <alignment vertical="center"/>
    </xf>
    <xf borderId="1" fillId="2" fontId="2" numFmtId="9" xfId="0" applyAlignment="1" applyBorder="1" applyFont="1" applyNumberFormat="1">
      <alignment horizontal="left" vertical="center"/>
    </xf>
    <xf borderId="31" fillId="2" fontId="2" numFmtId="9" xfId="0" applyAlignment="1" applyBorder="1" applyFont="1" applyNumberFormat="1">
      <alignment horizontal="left" vertical="center"/>
    </xf>
    <xf borderId="14" fillId="2" fontId="2" numFmtId="9" xfId="0" applyAlignment="1" applyBorder="1" applyFont="1" applyNumberFormat="1">
      <alignment horizontal="left" vertical="center"/>
    </xf>
    <xf borderId="50" fillId="2" fontId="2" numFmtId="9" xfId="0" applyAlignment="1" applyBorder="1" applyFont="1" applyNumberFormat="1">
      <alignment horizontal="left" vertical="center"/>
    </xf>
    <xf borderId="1" fillId="2" fontId="2" numFmtId="165" xfId="0" applyAlignment="1" applyBorder="1" applyFont="1" applyNumberFormat="1">
      <alignment horizontal="left" vertical="center"/>
    </xf>
    <xf borderId="51" fillId="2" fontId="2" numFmtId="9" xfId="0" applyAlignment="1" applyBorder="1" applyFont="1" applyNumberFormat="1">
      <alignment horizontal="left" vertical="center"/>
    </xf>
    <xf borderId="1" fillId="2" fontId="10" numFmtId="0" xfId="0" applyAlignment="1" applyBorder="1" applyFont="1">
      <alignment vertical="center"/>
    </xf>
    <xf borderId="51" fillId="2" fontId="2" numFmtId="165" xfId="0" applyAlignment="1" applyBorder="1" applyFont="1" applyNumberFormat="1">
      <alignment horizontal="right" vertical="center"/>
    </xf>
    <xf borderId="50" fillId="2" fontId="2" numFmtId="165" xfId="0" applyAlignment="1" applyBorder="1" applyFont="1" applyNumberFormat="1">
      <alignment horizontal="right" vertical="center"/>
    </xf>
    <xf borderId="52" fillId="2" fontId="12" numFmtId="165" xfId="0" applyAlignment="1" applyBorder="1" applyFont="1" applyNumberFormat="1">
      <alignment horizontal="right" vertical="center"/>
    </xf>
    <xf borderId="14" fillId="7" fontId="12" numFmtId="165" xfId="0" applyAlignment="1" applyBorder="1" applyFont="1" applyNumberFormat="1">
      <alignment horizontal="left" vertical="center"/>
    </xf>
    <xf borderId="50" fillId="7" fontId="12" numFmtId="165" xfId="0" applyAlignment="1" applyBorder="1" applyFont="1" applyNumberFormat="1">
      <alignment horizontal="right" vertical="center"/>
    </xf>
    <xf borderId="53" fillId="7" fontId="9" numFmtId="165" xfId="0" applyAlignment="1" applyBorder="1" applyFont="1" applyNumberFormat="1">
      <alignment horizontal="right" vertical="center"/>
    </xf>
    <xf borderId="1" fillId="7" fontId="9" numFmtId="165" xfId="0" applyAlignment="1" applyBorder="1" applyFont="1" applyNumberFormat="1">
      <alignment horizontal="right" vertical="center"/>
    </xf>
    <xf borderId="51" fillId="7" fontId="9" numFmtId="165" xfId="0" applyAlignment="1" applyBorder="1" applyFont="1" applyNumberFormat="1">
      <alignment horizontal="right" vertical="center"/>
    </xf>
    <xf borderId="14" fillId="7" fontId="12" numFmtId="165" xfId="0" applyAlignment="1" applyBorder="1" applyFont="1" applyNumberFormat="1">
      <alignment horizontal="right" vertical="center"/>
    </xf>
    <xf borderId="29" fillId="2" fontId="51" numFmtId="9" xfId="0" applyAlignment="1" applyBorder="1" applyFont="1" applyNumberFormat="1">
      <alignment horizontal="right" vertical="center"/>
    </xf>
    <xf borderId="10" fillId="2" fontId="51" numFmtId="9" xfId="0" applyAlignment="1" applyBorder="1" applyFont="1" applyNumberFormat="1">
      <alignment horizontal="right" vertical="center"/>
    </xf>
    <xf borderId="54" fillId="2" fontId="51" numFmtId="9" xfId="0" applyAlignment="1" applyBorder="1" applyFont="1" applyNumberFormat="1">
      <alignment horizontal="right" vertical="center"/>
    </xf>
    <xf borderId="0" fillId="0" fontId="2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2" numFmtId="3" xfId="0" applyAlignment="1" applyFont="1" applyNumberFormat="1">
      <alignment horizontal="right" vertical="center"/>
    </xf>
    <xf borderId="0" fillId="0" fontId="55" numFmtId="3" xfId="0" applyAlignment="1" applyFont="1" applyNumberFormat="1">
      <alignment horizontal="right" vertical="center"/>
    </xf>
    <xf borderId="1" fillId="2" fontId="58" numFmtId="165" xfId="0" applyAlignment="1" applyBorder="1" applyFont="1" applyNumberFormat="1">
      <alignment horizontal="right" vertical="center"/>
    </xf>
    <xf borderId="0" fillId="0" fontId="9" numFmtId="3" xfId="0" applyAlignment="1" applyFont="1" applyNumberFormat="1">
      <alignment horizontal="right" vertical="center"/>
    </xf>
    <xf borderId="34" fillId="2" fontId="12" numFmtId="165" xfId="0" applyAlignment="1" applyBorder="1" applyFont="1" applyNumberFormat="1">
      <alignment vertical="center"/>
    </xf>
    <xf borderId="35" fillId="2" fontId="12" numFmtId="165" xfId="0" applyAlignment="1" applyBorder="1" applyFont="1" applyNumberFormat="1">
      <alignment horizontal="right" vertical="center"/>
    </xf>
    <xf borderId="34" fillId="2" fontId="9" numFmtId="165" xfId="0" applyAlignment="1" applyBorder="1" applyFont="1" applyNumberFormat="1">
      <alignment horizontal="right" vertical="center"/>
    </xf>
    <xf borderId="2" fillId="2" fontId="12" numFmtId="165" xfId="0" applyAlignment="1" applyBorder="1" applyFont="1" applyNumberFormat="1">
      <alignment horizontal="right" vertical="center"/>
    </xf>
    <xf borderId="14" fillId="2" fontId="55" numFmtId="165" xfId="0" applyAlignment="1" applyBorder="1" applyFont="1" applyNumberFormat="1">
      <alignment horizontal="right" vertical="center"/>
    </xf>
    <xf borderId="0" fillId="0" fontId="26" numFmtId="0" xfId="0" applyFont="1"/>
    <xf borderId="53" fillId="2" fontId="2" numFmtId="165" xfId="0" applyAlignment="1" applyBorder="1" applyFont="1" applyNumberFormat="1">
      <alignment horizontal="right" vertical="center"/>
    </xf>
    <xf borderId="53" fillId="7" fontId="12" numFmtId="165" xfId="0" applyAlignment="1" applyBorder="1" applyFont="1" applyNumberFormat="1">
      <alignment horizontal="right" vertical="center"/>
    </xf>
    <xf borderId="10" fillId="2" fontId="59" numFmtId="0" xfId="0" applyAlignment="1" applyBorder="1" applyFont="1">
      <alignment horizontal="right" vertical="center"/>
    </xf>
    <xf borderId="29" fillId="2" fontId="59" numFmtId="9" xfId="0" applyAlignment="1" applyBorder="1" applyFont="1" applyNumberFormat="1">
      <alignment horizontal="right" vertical="center"/>
    </xf>
    <xf borderId="10" fillId="2" fontId="59" numFmtId="9" xfId="0" applyAlignment="1" applyBorder="1" applyFont="1" applyNumberFormat="1">
      <alignment horizontal="right" vertical="center"/>
    </xf>
    <xf borderId="54" fillId="2" fontId="59" numFmtId="9" xfId="0" applyAlignment="1" applyBorder="1" applyFont="1" applyNumberFormat="1">
      <alignment horizontal="right" vertical="center"/>
    </xf>
    <xf borderId="55" fillId="2" fontId="59" numFmtId="9" xfId="0" applyAlignment="1" applyBorder="1" applyFont="1" applyNumberFormat="1">
      <alignment horizontal="right" vertical="center"/>
    </xf>
    <xf borderId="1" fillId="2" fontId="60" numFmtId="0" xfId="0" applyAlignment="1" applyBorder="1" applyFont="1">
      <alignment horizontal="right" vertical="center"/>
    </xf>
    <xf borderId="1" fillId="2" fontId="60" numFmtId="165" xfId="0" applyAlignment="1" applyBorder="1" applyFont="1" applyNumberFormat="1">
      <alignment horizontal="right" vertical="center"/>
    </xf>
    <xf borderId="1" fillId="2" fontId="55" numFmtId="3" xfId="0" applyAlignment="1" applyBorder="1" applyFont="1" applyNumberFormat="1">
      <alignment horizontal="right" vertical="center"/>
    </xf>
    <xf borderId="1" fillId="2" fontId="61" numFmtId="165" xfId="0" applyAlignment="1" applyBorder="1" applyFont="1" applyNumberFormat="1">
      <alignment horizontal="right" vertical="center"/>
    </xf>
    <xf borderId="31" fillId="2" fontId="2" numFmtId="165" xfId="0" applyAlignment="1" applyBorder="1" applyFont="1" applyNumberFormat="1">
      <alignment horizontal="right" vertical="center"/>
    </xf>
    <xf borderId="10" fillId="2" fontId="2" numFmtId="165" xfId="0" applyAlignment="1" applyBorder="1" applyFont="1" applyNumberFormat="1">
      <alignment vertical="center"/>
    </xf>
    <xf borderId="29" fillId="2" fontId="2" numFmtId="165" xfId="0" applyAlignment="1" applyBorder="1" applyFont="1" applyNumberFormat="1">
      <alignment horizontal="right" vertical="center"/>
    </xf>
    <xf borderId="10" fillId="2" fontId="2" numFmtId="165" xfId="0" applyAlignment="1" applyBorder="1" applyFont="1" applyNumberFormat="1">
      <alignment horizontal="right" vertical="center"/>
    </xf>
    <xf borderId="54" fillId="2" fontId="2" numFmtId="165" xfId="0" applyAlignment="1" applyBorder="1" applyFont="1" applyNumberFormat="1">
      <alignment horizontal="right" vertical="center"/>
    </xf>
    <xf borderId="41" fillId="7" fontId="12" numFmtId="165" xfId="0" applyAlignment="1" applyBorder="1" applyFont="1" applyNumberFormat="1">
      <alignment horizontal="right" vertical="center"/>
    </xf>
    <xf borderId="1" fillId="2" fontId="62" numFmtId="0" xfId="0" applyAlignment="1" applyBorder="1" applyFont="1">
      <alignment horizontal="right" vertical="center"/>
    </xf>
    <xf borderId="1" fillId="2" fontId="62" numFmtId="165" xfId="0" applyAlignment="1" applyBorder="1" applyFont="1" applyNumberFormat="1">
      <alignment horizontal="right" vertical="center"/>
    </xf>
    <xf borderId="1" fillId="2" fontId="57" numFmtId="165" xfId="0" applyAlignment="1" applyBorder="1" applyFont="1" applyNumberFormat="1">
      <alignment horizontal="right" vertical="center"/>
    </xf>
    <xf borderId="1" fillId="2" fontId="63" numFmtId="165" xfId="0" applyAlignment="1" applyBorder="1" applyFont="1" applyNumberFormat="1">
      <alignment horizontal="righ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0" fillId="0" fontId="64" numFmtId="165" xfId="0" applyAlignment="1" applyFont="1" applyNumberFormat="1">
      <alignment horizontal="right" vertical="center"/>
    </xf>
    <xf borderId="1" fillId="2" fontId="65" numFmtId="165" xfId="0" applyAlignment="1" applyBorder="1" applyFont="1" applyNumberFormat="1">
      <alignment horizontal="right" vertical="center"/>
    </xf>
    <xf borderId="0" fillId="0" fontId="66" numFmtId="0" xfId="0" applyAlignment="1" applyFont="1">
      <alignment vertical="center"/>
    </xf>
    <xf borderId="0" fillId="0" fontId="66" numFmtId="0" xfId="0" applyAlignment="1" applyFont="1">
      <alignment horizontal="right" vertical="center"/>
    </xf>
    <xf borderId="0" fillId="0" fontId="16" numFmtId="0" xfId="0" applyAlignment="1" applyFont="1">
      <alignment horizontal="right" vertical="center"/>
    </xf>
    <xf borderId="0" fillId="0" fontId="15" numFmtId="0" xfId="0" applyAlignment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0" fillId="0" fontId="15" numFmtId="164" xfId="0" applyAlignment="1" applyFont="1" applyNumberFormat="1">
      <alignment vertical="center"/>
    </xf>
    <xf borderId="1" fillId="8" fontId="67" numFmtId="0" xfId="0" applyAlignment="1" applyBorder="1" applyFont="1">
      <alignment horizontal="left" vertical="center"/>
    </xf>
    <xf borderId="1" fillId="8" fontId="4" numFmtId="0" xfId="0" applyAlignment="1" applyBorder="1" applyFont="1">
      <alignment horizontal="right" vertical="center"/>
    </xf>
    <xf borderId="1" fillId="8" fontId="4" numFmtId="0" xfId="0" applyAlignment="1" applyBorder="1" applyFont="1">
      <alignment horizontal="left" vertical="center"/>
    </xf>
    <xf borderId="1" fillId="8" fontId="17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left" vertical="center"/>
    </xf>
    <xf borderId="0" fillId="0" fontId="44" numFmtId="0" xfId="0" applyAlignment="1" applyFont="1">
      <alignment horizontal="right" vertical="center"/>
    </xf>
    <xf borderId="0" fillId="0" fontId="68" numFmtId="0" xfId="0" applyAlignment="1" applyFont="1">
      <alignment horizontal="right" vertical="center"/>
    </xf>
    <xf borderId="1" fillId="2" fontId="45" numFmtId="0" xfId="0" applyAlignment="1" applyBorder="1" applyFont="1">
      <alignment horizontal="center" vertical="center"/>
    </xf>
    <xf borderId="1" fillId="2" fontId="45" numFmtId="0" xfId="0" applyAlignment="1" applyBorder="1" applyFont="1">
      <alignment vertical="center"/>
    </xf>
    <xf borderId="37" fillId="2" fontId="42" numFmtId="169" xfId="0" applyAlignment="1" applyBorder="1" applyFont="1" applyNumberFormat="1">
      <alignment horizontal="center" vertical="center"/>
    </xf>
    <xf borderId="37" fillId="2" fontId="42" numFmtId="0" xfId="0" applyAlignment="1" applyBorder="1" applyFont="1">
      <alignment horizontal="center" vertical="center"/>
    </xf>
    <xf borderId="0" fillId="0" fontId="69" numFmtId="0" xfId="0" applyAlignment="1" applyFont="1">
      <alignment vertical="center"/>
    </xf>
    <xf borderId="1" fillId="2" fontId="70" numFmtId="165" xfId="0" applyAlignment="1" applyBorder="1" applyFont="1" applyNumberFormat="1">
      <alignment horizontal="center" vertical="center"/>
    </xf>
    <xf borderId="1" fillId="2" fontId="9" numFmtId="165" xfId="0" applyAlignment="1" applyBorder="1" applyFont="1" applyNumberFormat="1">
      <alignment horizontal="center" vertical="center"/>
    </xf>
    <xf borderId="0" fillId="0" fontId="69" numFmtId="0" xfId="0" applyAlignment="1" applyFont="1">
      <alignment horizontal="center" vertical="center"/>
    </xf>
    <xf borderId="1" fillId="2" fontId="69" numFmtId="165" xfId="0" applyAlignment="1" applyBorder="1" applyFont="1" applyNumberFormat="1">
      <alignment horizontal="center" vertical="center"/>
    </xf>
    <xf borderId="17" fillId="0" fontId="71" numFmtId="0" xfId="0" applyAlignment="1" applyBorder="1" applyFont="1">
      <alignment shrinkToFit="0" vertical="center" wrapText="1"/>
    </xf>
    <xf borderId="0" fillId="0" fontId="71" numFmtId="0" xfId="0" applyAlignment="1" applyFont="1">
      <alignment shrinkToFit="0" vertical="center" wrapText="1"/>
    </xf>
    <xf borderId="10" fillId="4" fontId="72" numFmtId="165" xfId="0" applyAlignment="1" applyBorder="1" applyFont="1" applyNumberFormat="1">
      <alignment horizontal="center" vertical="center"/>
    </xf>
    <xf borderId="10" fillId="4" fontId="73" numFmtId="165" xfId="0" applyAlignment="1" applyBorder="1" applyFont="1" applyNumberFormat="1">
      <alignment horizontal="center" vertical="center"/>
    </xf>
    <xf borderId="10" fillId="4" fontId="73" numFmtId="165" xfId="0" applyAlignment="1" applyBorder="1" applyFont="1" applyNumberFormat="1">
      <alignment horizontal="right" vertical="center"/>
    </xf>
    <xf borderId="1" fillId="2" fontId="44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41" fillId="3" fontId="1" numFmtId="170" xfId="0" applyAlignment="1" applyBorder="1" applyFont="1" applyNumberFormat="1">
      <alignment horizontal="right" vertical="center"/>
    </xf>
    <xf borderId="31" fillId="3" fontId="1" numFmtId="165" xfId="0" applyAlignment="1" applyBorder="1" applyFont="1" applyNumberFormat="1">
      <alignment horizontal="right" vertical="center"/>
    </xf>
    <xf borderId="27" fillId="0" fontId="2" numFmtId="165" xfId="0" applyAlignment="1" applyBorder="1" applyFont="1" applyNumberFormat="1">
      <alignment horizontal="right" vertical="center"/>
    </xf>
    <xf borderId="50" fillId="3" fontId="1" numFmtId="165" xfId="0" applyAlignment="1" applyBorder="1" applyFont="1" applyNumberFormat="1">
      <alignment horizontal="right" vertical="center"/>
    </xf>
    <xf borderId="24" fillId="0" fontId="2" numFmtId="0" xfId="0" applyAlignment="1" applyBorder="1" applyFont="1">
      <alignment horizontal="left" vertical="center"/>
    </xf>
    <xf borderId="26" fillId="3" fontId="1" numFmtId="170" xfId="0" applyAlignment="1" applyBorder="1" applyFont="1" applyNumberFormat="1">
      <alignment horizontal="right" vertical="center"/>
    </xf>
    <xf borderId="56" fillId="0" fontId="2" numFmtId="165" xfId="0" applyAlignment="1" applyBorder="1" applyFont="1" applyNumberFormat="1">
      <alignment horizontal="right" vertical="center"/>
    </xf>
    <xf borderId="47" fillId="3" fontId="1" numFmtId="165" xfId="0" applyAlignment="1" applyBorder="1" applyFont="1" applyNumberFormat="1">
      <alignment horizontal="right" vertical="center"/>
    </xf>
    <xf borderId="10" fillId="2" fontId="12" numFmtId="165" xfId="0" applyAlignment="1" applyBorder="1" applyFont="1" applyNumberFormat="1">
      <alignment horizontal="left" vertical="center"/>
    </xf>
    <xf borderId="54" fillId="2" fontId="9" numFmtId="165" xfId="0" applyAlignment="1" applyBorder="1" applyFont="1" applyNumberFormat="1">
      <alignment horizontal="right" vertical="center"/>
    </xf>
    <xf borderId="57" fillId="2" fontId="12" numFmtId="165" xfId="0" applyAlignment="1" applyBorder="1" applyFont="1" applyNumberFormat="1">
      <alignment horizontal="right" vertical="center"/>
    </xf>
    <xf borderId="1" fillId="2" fontId="12" numFmtId="165" xfId="0" applyAlignment="1" applyBorder="1" applyFont="1" applyNumberFormat="1">
      <alignment vertical="center"/>
    </xf>
    <xf borderId="14" fillId="2" fontId="2" numFmtId="0" xfId="0" applyAlignment="1" applyBorder="1" applyFont="1">
      <alignment horizontal="right" vertical="center"/>
    </xf>
    <xf borderId="1" fillId="2" fontId="1" numFmtId="165" xfId="0" applyAlignment="1" applyBorder="1" applyFont="1" applyNumberFormat="1">
      <alignment vertical="center"/>
    </xf>
    <xf borderId="3" fillId="2" fontId="2" numFmtId="0" xfId="0" applyAlignment="1" applyBorder="1" applyFont="1">
      <alignment horizontal="left" vertical="center"/>
    </xf>
    <xf borderId="3" fillId="2" fontId="2" numFmtId="165" xfId="0" applyAlignment="1" applyBorder="1" applyFont="1" applyNumberFormat="1">
      <alignment horizontal="right" vertical="center"/>
    </xf>
    <xf borderId="32" fillId="2" fontId="2" numFmtId="165" xfId="0" applyAlignment="1" applyBorder="1" applyFont="1" applyNumberFormat="1">
      <alignment horizontal="right" vertical="center"/>
    </xf>
    <xf borderId="26" fillId="2" fontId="2" numFmtId="165" xfId="0" applyAlignment="1" applyBorder="1" applyFont="1" applyNumberFormat="1">
      <alignment vertical="center"/>
    </xf>
    <xf borderId="47" fillId="2" fontId="2" numFmtId="165" xfId="0" applyAlignment="1" applyBorder="1" applyFont="1" applyNumberFormat="1">
      <alignment vertical="center"/>
    </xf>
    <xf borderId="58" fillId="2" fontId="2" numFmtId="165" xfId="0" applyAlignment="1" applyBorder="1" applyFont="1" applyNumberFormat="1">
      <alignment vertical="center"/>
    </xf>
    <xf borderId="1" fillId="2" fontId="12" numFmtId="165" xfId="0" applyAlignment="1" applyBorder="1" applyFont="1" applyNumberFormat="1">
      <alignment horizontal="left" vertical="center"/>
    </xf>
    <xf borderId="14" fillId="2" fontId="12" numFmtId="165" xfId="0" applyAlignment="1" applyBorder="1" applyFont="1" applyNumberFormat="1">
      <alignment horizontal="right" vertical="center"/>
    </xf>
    <xf borderId="1" fillId="2" fontId="9" numFmtId="165" xfId="0" applyAlignment="1" applyBorder="1" applyFont="1" applyNumberFormat="1">
      <alignment horizontal="right" vertical="center"/>
    </xf>
    <xf borderId="51" fillId="2" fontId="9" numFmtId="165" xfId="0" applyAlignment="1" applyBorder="1" applyFont="1" applyNumberFormat="1">
      <alignment horizontal="right" vertical="center"/>
    </xf>
    <xf borderId="53" fillId="2" fontId="12" numFmtId="165" xfId="0" applyAlignment="1" applyBorder="1" applyFont="1" applyNumberFormat="1">
      <alignment horizontal="right" vertical="center"/>
    </xf>
    <xf borderId="10" fillId="2" fontId="74" numFmtId="165" xfId="0" applyAlignment="1" applyBorder="1" applyFont="1" applyNumberFormat="1">
      <alignment horizontal="left" vertical="center"/>
    </xf>
    <xf borderId="10" fillId="2" fontId="74" numFmtId="165" xfId="0" applyAlignment="1" applyBorder="1" applyFont="1" applyNumberFormat="1">
      <alignment horizontal="right" vertical="center"/>
    </xf>
    <xf borderId="54" fillId="2" fontId="74" numFmtId="165" xfId="0" applyAlignment="1" applyBorder="1" applyFont="1" applyNumberFormat="1">
      <alignment horizontal="right" vertical="center"/>
    </xf>
    <xf borderId="29" fillId="2" fontId="74" numFmtId="165" xfId="0" applyAlignment="1" applyBorder="1" applyFont="1" applyNumberFormat="1">
      <alignment horizontal="right" vertical="center"/>
    </xf>
    <xf borderId="1" fillId="2" fontId="12" numFmtId="165" xfId="0" applyAlignment="1" applyBorder="1" applyFont="1" applyNumberFormat="1">
      <alignment horizontal="right" vertical="center"/>
    </xf>
    <xf borderId="0" fillId="0" fontId="58" numFmtId="3" xfId="0" applyAlignment="1" applyFont="1" applyNumberFormat="1">
      <alignment horizontal="right" vertical="center"/>
    </xf>
    <xf borderId="1" fillId="2" fontId="12" numFmtId="165" xfId="0" applyAlignment="1" applyBorder="1" applyFont="1" applyNumberFormat="1">
      <alignment horizontal="center" vertical="center"/>
    </xf>
    <xf borderId="10" fillId="4" fontId="75" numFmtId="165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14" fillId="3" fontId="1" numFmtId="170" xfId="0" applyAlignment="1" applyBorder="1" applyFont="1" applyNumberFormat="1">
      <alignment horizontal="right" vertical="center"/>
    </xf>
    <xf borderId="1" fillId="3" fontId="1" numFmtId="171" xfId="0" applyAlignment="1" applyBorder="1" applyFont="1" applyNumberFormat="1">
      <alignment horizontal="right" vertical="center"/>
    </xf>
    <xf borderId="51" fillId="3" fontId="2" numFmtId="171" xfId="0" applyAlignment="1" applyBorder="1" applyFont="1" applyNumberFormat="1">
      <alignment horizontal="right" vertical="center"/>
    </xf>
    <xf borderId="27" fillId="0" fontId="2" numFmtId="172" xfId="0" applyAlignment="1" applyBorder="1" applyFont="1" applyNumberFormat="1">
      <alignment horizontal="right" vertical="center"/>
    </xf>
    <xf borderId="50" fillId="3" fontId="76" numFmtId="172" xfId="0" applyAlignment="1" applyBorder="1" applyFont="1" applyNumberFormat="1">
      <alignment horizontal="right"/>
    </xf>
    <xf borderId="1" fillId="3" fontId="76" numFmtId="172" xfId="0" applyAlignment="1" applyBorder="1" applyFont="1" applyNumberFormat="1">
      <alignment horizontal="right"/>
    </xf>
    <xf borderId="51" fillId="3" fontId="1" numFmtId="171" xfId="0" applyAlignment="1" applyBorder="1" applyFont="1" applyNumberFormat="1">
      <alignment horizontal="right" vertical="center"/>
    </xf>
    <xf borderId="27" fillId="0" fontId="1" numFmtId="172" xfId="0" applyAlignment="1" applyBorder="1" applyFont="1" applyNumberFormat="1">
      <alignment horizontal="right" vertical="center"/>
    </xf>
    <xf borderId="50" fillId="3" fontId="77" numFmtId="172" xfId="0" applyAlignment="1" applyBorder="1" applyFont="1" applyNumberFormat="1">
      <alignment horizontal="right"/>
    </xf>
    <xf borderId="1" fillId="3" fontId="77" numFmtId="172" xfId="0" applyAlignment="1" applyBorder="1" applyFont="1" applyNumberFormat="1">
      <alignment horizontal="right"/>
    </xf>
    <xf borderId="50" fillId="3" fontId="31" numFmtId="172" xfId="0" applyBorder="1" applyFont="1" applyNumberFormat="1"/>
    <xf borderId="1" fillId="3" fontId="31" numFmtId="172" xfId="0" applyBorder="1" applyFont="1" applyNumberFormat="1"/>
    <xf borderId="1" fillId="3" fontId="2" numFmtId="171" xfId="0" applyAlignment="1" applyBorder="1" applyFont="1" applyNumberFormat="1">
      <alignment horizontal="right"/>
    </xf>
    <xf borderId="50" fillId="3" fontId="31" numFmtId="165" xfId="0" applyBorder="1" applyFont="1" applyNumberFormat="1"/>
    <xf borderId="1" fillId="3" fontId="31" numFmtId="165" xfId="0" applyBorder="1" applyFont="1" applyNumberFormat="1"/>
    <xf borderId="51" fillId="3" fontId="2" numFmtId="165" xfId="0" applyAlignment="1" applyBorder="1" applyFont="1" applyNumberFormat="1">
      <alignment horizontal="right" vertical="center"/>
    </xf>
    <xf borderId="1" fillId="3" fontId="1" numFmtId="0" xfId="0" applyAlignment="1" applyBorder="1" applyFont="1">
      <alignment horizontal="right" vertical="center"/>
    </xf>
    <xf borderId="51" fillId="3" fontId="1" numFmtId="0" xfId="0" applyAlignment="1" applyBorder="1" applyFont="1">
      <alignment horizontal="right" vertical="center"/>
    </xf>
    <xf borderId="1" fillId="3" fontId="1" numFmtId="172" xfId="0" applyAlignment="1" applyBorder="1" applyFont="1" applyNumberFormat="1">
      <alignment horizontal="right" vertical="center"/>
    </xf>
    <xf borderId="51" fillId="3" fontId="1" numFmtId="172" xfId="0" applyAlignment="1" applyBorder="1" applyFont="1" applyNumberFormat="1">
      <alignment horizontal="right" vertical="center"/>
    </xf>
    <xf borderId="51" fillId="3" fontId="2" numFmtId="0" xfId="0" applyAlignment="1" applyBorder="1" applyFont="1">
      <alignment horizontal="right" vertical="center"/>
    </xf>
    <xf borderId="14" fillId="3" fontId="2" numFmtId="170" xfId="0" applyAlignment="1" applyBorder="1" applyFont="1" applyNumberFormat="1">
      <alignment horizontal="right" vertical="center"/>
    </xf>
    <xf borderId="1" fillId="3" fontId="2" numFmtId="172" xfId="0" applyAlignment="1" applyBorder="1" applyFont="1" applyNumberFormat="1">
      <alignment horizontal="right"/>
    </xf>
    <xf borderId="51" fillId="3" fontId="2" numFmtId="172" xfId="0" applyAlignment="1" applyBorder="1" applyFont="1" applyNumberFormat="1">
      <alignment horizontal="right" vertical="center"/>
    </xf>
    <xf borderId="50" fillId="3" fontId="2" numFmtId="165" xfId="0" applyAlignment="1" applyBorder="1" applyFont="1" applyNumberFormat="1">
      <alignment horizontal="right" vertical="center"/>
    </xf>
    <xf borderId="24" fillId="0" fontId="1" numFmtId="0" xfId="0" applyAlignment="1" applyBorder="1" applyFont="1">
      <alignment horizontal="left" vertical="center"/>
    </xf>
    <xf borderId="3" fillId="3" fontId="1" numFmtId="172" xfId="0" applyAlignment="1" applyBorder="1" applyFont="1" applyNumberFormat="1">
      <alignment horizontal="right" vertical="center"/>
    </xf>
    <xf borderId="32" fillId="3" fontId="1" numFmtId="172" xfId="0" applyAlignment="1" applyBorder="1" applyFont="1" applyNumberFormat="1">
      <alignment horizontal="right" vertical="center"/>
    </xf>
    <xf borderId="47" fillId="3" fontId="2" numFmtId="165" xfId="0" applyAlignment="1" applyBorder="1" applyFont="1" applyNumberFormat="1">
      <alignment horizontal="right" vertical="center"/>
    </xf>
    <xf borderId="10" fillId="2" fontId="54" numFmtId="165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left" vertical="center"/>
    </xf>
    <xf borderId="21" fillId="2" fontId="2" numFmtId="0" xfId="0" applyAlignment="1" applyBorder="1" applyFont="1">
      <alignment horizontal="right" vertical="center"/>
    </xf>
    <xf borderId="1" fillId="2" fontId="2" numFmtId="172" xfId="0" applyAlignment="1" applyBorder="1" applyFont="1" applyNumberFormat="1">
      <alignment horizontal="right" vertical="center"/>
    </xf>
    <xf borderId="50" fillId="2" fontId="2" numFmtId="165" xfId="0" applyAlignment="1" applyBorder="1" applyFont="1" applyNumberFormat="1">
      <alignment vertical="center"/>
    </xf>
    <xf borderId="19" fillId="11" fontId="76" numFmtId="165" xfId="0" applyAlignment="1" applyBorder="1" applyFont="1" applyNumberFormat="1">
      <alignment horizontal="right"/>
    </xf>
    <xf borderId="0" fillId="11" fontId="76" numFmtId="165" xfId="0" applyAlignment="1" applyFont="1" applyNumberFormat="1">
      <alignment horizontal="right"/>
    </xf>
    <xf borderId="14" fillId="2" fontId="2" numFmtId="165" xfId="0" applyAlignment="1" applyBorder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1" fillId="2" fontId="2" numFmtId="0" xfId="0" applyAlignment="1" applyBorder="1" applyFont="1">
      <alignment horizontal="right" vertical="center"/>
    </xf>
    <xf borderId="0" fillId="11" fontId="77" numFmtId="0" xfId="0" applyAlignment="1" applyFont="1">
      <alignment horizontal="left"/>
    </xf>
    <xf borderId="1" fillId="3" fontId="1" numFmtId="165" xfId="0" applyAlignment="1" applyBorder="1" applyFont="1" applyNumberFormat="1">
      <alignment horizontal="center" vertical="center"/>
    </xf>
    <xf borderId="51" fillId="3" fontId="1" numFmtId="165" xfId="0" applyAlignment="1" applyBorder="1" applyFont="1" applyNumberFormat="1">
      <alignment horizontal="right" vertical="center"/>
    </xf>
    <xf borderId="1" fillId="2" fontId="2" numFmtId="165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" fillId="2" fontId="58" numFmtId="3" xfId="0" applyAlignment="1" applyBorder="1" applyFont="1" applyNumberFormat="1">
      <alignment horizontal="right" vertical="center"/>
    </xf>
    <xf borderId="14" fillId="3" fontId="2" numFmtId="165" xfId="0" applyAlignment="1" applyBorder="1" applyFont="1" applyNumberFormat="1">
      <alignment horizontal="right" vertical="center"/>
    </xf>
    <xf borderId="50" fillId="2" fontId="12" numFmtId="165" xfId="0" applyAlignment="1" applyBorder="1" applyFont="1" applyNumberFormat="1">
      <alignment horizontal="right" vertical="center"/>
    </xf>
    <xf borderId="0" fillId="0" fontId="51" numFmtId="0" xfId="0" applyAlignment="1" applyFont="1">
      <alignment vertical="center"/>
    </xf>
    <xf borderId="10" fillId="2" fontId="51" numFmtId="0" xfId="0" applyAlignment="1" applyBorder="1" applyFont="1">
      <alignment horizontal="left" vertical="center"/>
    </xf>
    <xf borderId="54" fillId="2" fontId="51" numFmtId="1" xfId="0" applyAlignment="1" applyBorder="1" applyFont="1" applyNumberFormat="1">
      <alignment horizontal="right" vertical="center"/>
    </xf>
    <xf borderId="29" fillId="2" fontId="51" numFmtId="165" xfId="0" applyAlignment="1" applyBorder="1" applyFont="1" applyNumberFormat="1">
      <alignment horizontal="right" vertical="center"/>
    </xf>
    <xf borderId="55" fillId="2" fontId="51" numFmtId="165" xfId="0" applyAlignment="1" applyBorder="1" applyFont="1" applyNumberFormat="1">
      <alignment horizontal="right" vertical="center"/>
    </xf>
    <xf borderId="1" fillId="2" fontId="51" numFmtId="0" xfId="0" applyAlignment="1" applyBorder="1" applyFont="1">
      <alignment horizontal="left" vertical="center"/>
    </xf>
    <xf borderId="1" fillId="7" fontId="12" numFmtId="165" xfId="0" applyAlignment="1" applyBorder="1" applyFont="1" applyNumberFormat="1">
      <alignment horizontal="right" vertical="center"/>
    </xf>
    <xf borderId="57" fillId="2" fontId="74" numFmtId="165" xfId="0" applyAlignment="1" applyBorder="1" applyFont="1" applyNumberFormat="1">
      <alignment horizontal="right" vertical="center"/>
    </xf>
    <xf borderId="55" fillId="2" fontId="74" numFmtId="165" xfId="0" applyAlignment="1" applyBorder="1" applyFont="1" applyNumberFormat="1">
      <alignment horizontal="right" vertical="center"/>
    </xf>
    <xf borderId="1" fillId="2" fontId="15" numFmtId="0" xfId="0" applyAlignment="1" applyBorder="1" applyFont="1">
      <alignment vertical="center"/>
    </xf>
    <xf borderId="1" fillId="2" fontId="41" numFmtId="165" xfId="0" applyAlignment="1" applyBorder="1" applyFont="1" applyNumberFormat="1">
      <alignment horizontal="right" vertical="center"/>
    </xf>
    <xf borderId="1" fillId="2" fontId="71" numFmtId="165" xfId="0" applyAlignment="1" applyBorder="1" applyFont="1" applyNumberFormat="1">
      <alignment horizontal="right" vertical="center"/>
    </xf>
    <xf borderId="1" fillId="2" fontId="41" numFmtId="3" xfId="0" applyAlignment="1" applyBorder="1" applyFont="1" applyNumberFormat="1">
      <alignment horizontal="right" vertical="center"/>
    </xf>
    <xf borderId="1" fillId="2" fontId="78" numFmtId="165" xfId="0" applyAlignment="1" applyBorder="1" applyFont="1" applyNumberFormat="1">
      <alignment horizontal="right" vertical="center"/>
    </xf>
    <xf borderId="1" fillId="2" fontId="79" numFmtId="9" xfId="0" applyAlignment="1" applyBorder="1" applyFont="1" applyNumberFormat="1">
      <alignment horizontal="center" vertical="center"/>
    </xf>
    <xf borderId="1" fillId="2" fontId="71" numFmtId="165" xfId="0" applyAlignment="1" applyBorder="1" applyFont="1" applyNumberFormat="1">
      <alignment horizontal="center" vertical="center"/>
    </xf>
    <xf borderId="1" fillId="2" fontId="71" numFmtId="165" xfId="0" applyAlignment="1" applyBorder="1" applyFont="1" applyNumberFormat="1">
      <alignment vertical="center"/>
    </xf>
    <xf borderId="1" fillId="2" fontId="66" numFmtId="0" xfId="0" applyAlignment="1" applyBorder="1" applyFont="1">
      <alignment vertical="center"/>
    </xf>
    <xf borderId="0" fillId="0" fontId="66" numFmtId="0" xfId="0" applyAlignment="1" applyFont="1">
      <alignment horizontal="center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5" numFmtId="164" xfId="0" applyFont="1" applyNumberFormat="1"/>
    <xf borderId="0" fillId="0" fontId="17" numFmtId="0" xfId="0" applyFont="1"/>
    <xf borderId="1" fillId="8" fontId="4" numFmtId="0" xfId="0" applyAlignment="1" applyBorder="1" applyFont="1">
      <alignment horizontal="right"/>
    </xf>
    <xf borderId="1" fillId="8" fontId="17" numFmtId="0" xfId="0" applyAlignment="1" applyBorder="1" applyFont="1">
      <alignment horizontal="center"/>
    </xf>
    <xf borderId="0" fillId="0" fontId="4" numFmtId="0" xfId="0" applyAlignment="1" applyFont="1">
      <alignment horizontal="right"/>
    </xf>
    <xf borderId="0" fillId="0" fontId="42" numFmtId="0" xfId="0" applyFont="1"/>
    <xf borderId="0" fillId="0" fontId="44" numFmtId="0" xfId="0" applyFont="1"/>
    <xf borderId="0" fillId="0" fontId="43" numFmtId="0" xfId="0" applyAlignment="1" applyFont="1">
      <alignment horizontal="right"/>
    </xf>
    <xf borderId="0" fillId="0" fontId="68" numFmtId="0" xfId="0" applyAlignment="1" applyFont="1">
      <alignment horizontal="right"/>
    </xf>
    <xf borderId="1" fillId="2" fontId="42" numFmtId="0" xfId="0" applyBorder="1" applyFont="1"/>
    <xf borderId="1" fillId="2" fontId="45" numFmtId="0" xfId="0" applyAlignment="1" applyBorder="1" applyFont="1">
      <alignment horizontal="center"/>
    </xf>
    <xf borderId="1" fillId="2" fontId="42" numFmtId="0" xfId="0" applyAlignment="1" applyBorder="1" applyFont="1">
      <alignment horizontal="center"/>
    </xf>
    <xf borderId="1" fillId="2" fontId="44" numFmtId="165" xfId="0" applyAlignment="1" applyBorder="1" applyFont="1" applyNumberFormat="1">
      <alignment horizontal="center"/>
    </xf>
    <xf borderId="1" fillId="2" fontId="47" numFmtId="0" xfId="0" applyBorder="1" applyFont="1"/>
    <xf borderId="10" fillId="4" fontId="48" numFmtId="165" xfId="0" applyAlignment="1" applyBorder="1" applyFont="1" applyNumberFormat="1">
      <alignment horizontal="center" vertical="center"/>
    </xf>
    <xf borderId="0" fillId="0" fontId="47" numFmtId="0" xfId="0" applyFont="1"/>
    <xf borderId="0" fillId="0" fontId="47" numFmtId="0" xfId="0" applyAlignment="1" applyFont="1">
      <alignment shrinkToFit="0" vertical="top" wrapText="1"/>
    </xf>
    <xf borderId="0" fillId="0" fontId="2" numFmtId="0" xfId="0" applyFont="1"/>
    <xf borderId="27" fillId="0" fontId="80" numFmtId="0" xfId="0" applyAlignment="1" applyBorder="1" applyFont="1">
      <alignment vertical="center"/>
    </xf>
    <xf borderId="1" fillId="3" fontId="1" numFmtId="165" xfId="0" applyAlignment="1" applyBorder="1" applyFont="1" applyNumberFormat="1">
      <alignment horizontal="right"/>
    </xf>
    <xf borderId="1" fillId="3" fontId="2" numFmtId="165" xfId="0" applyAlignment="1" applyBorder="1" applyFont="1" applyNumberFormat="1">
      <alignment horizontal="right"/>
    </xf>
    <xf borderId="51" fillId="3" fontId="2" numFmtId="165" xfId="0" applyAlignment="1" applyBorder="1" applyFont="1" applyNumberFormat="1">
      <alignment horizontal="right"/>
    </xf>
    <xf borderId="27" fillId="0" fontId="2" numFmtId="165" xfId="0" applyBorder="1" applyFont="1" applyNumberFormat="1"/>
    <xf borderId="50" fillId="3" fontId="1" numFmtId="165" xfId="0" applyAlignment="1" applyBorder="1" applyFont="1" applyNumberFormat="1">
      <alignment vertical="center"/>
    </xf>
    <xf borderId="1" fillId="3" fontId="1" numFmtId="165" xfId="0" applyAlignment="1" applyBorder="1" applyFont="1" applyNumberFormat="1">
      <alignment vertical="center"/>
    </xf>
    <xf borderId="0" fillId="0" fontId="10" numFmtId="0" xfId="0" applyAlignment="1" applyFont="1">
      <alignment shrinkToFit="0" vertical="top" wrapText="1"/>
    </xf>
    <xf borderId="27" fillId="0" fontId="1" numFmtId="0" xfId="0" applyAlignment="1" applyBorder="1" applyFont="1">
      <alignment horizontal="right" vertical="center"/>
    </xf>
    <xf borderId="51" fillId="3" fontId="1" numFmtId="165" xfId="0" applyAlignment="1" applyBorder="1" applyFont="1" applyNumberFormat="1">
      <alignment horizontal="right"/>
    </xf>
    <xf borderId="1" fillId="3" fontId="1" numFmtId="165" xfId="0" applyAlignment="1" applyBorder="1" applyFont="1" applyNumberFormat="1">
      <alignment horizontal="right" readingOrder="0"/>
    </xf>
    <xf borderId="51" fillId="3" fontId="1" numFmtId="165" xfId="0" applyAlignment="1" applyBorder="1" applyFont="1" applyNumberFormat="1">
      <alignment horizontal="right" readingOrder="0"/>
    </xf>
    <xf borderId="50" fillId="3" fontId="1" numFmtId="165" xfId="0" applyAlignment="1" applyBorder="1" applyFont="1" applyNumberFormat="1">
      <alignment readingOrder="0" vertical="center"/>
    </xf>
    <xf borderId="1" fillId="3" fontId="1" numFmtId="165" xfId="0" applyAlignment="1" applyBorder="1" applyFont="1" applyNumberFormat="1">
      <alignment readingOrder="0" vertical="center"/>
    </xf>
    <xf borderId="0" fillId="0" fontId="2" numFmtId="0" xfId="0" applyAlignment="1" applyFont="1">
      <alignment horizontal="right"/>
    </xf>
    <xf borderId="28" fillId="3" fontId="1" numFmtId="165" xfId="0" applyAlignment="1" applyBorder="1" applyFont="1" applyNumberFormat="1">
      <alignment horizontal="right"/>
    </xf>
    <xf borderId="27" fillId="0" fontId="2" numFmtId="0" xfId="0" applyAlignment="1" applyBorder="1" applyFont="1">
      <alignment horizontal="right" vertical="center"/>
    </xf>
    <xf borderId="59" fillId="3" fontId="1" numFmtId="165" xfId="0" applyAlignment="1" applyBorder="1" applyFont="1" applyNumberFormat="1">
      <alignment horizontal="right"/>
    </xf>
    <xf borderId="27" fillId="0" fontId="1" numFmtId="0" xfId="0" applyAlignment="1" applyBorder="1" applyFont="1">
      <alignment horizontal="right"/>
    </xf>
    <xf borderId="1" fillId="3" fontId="77" numFmtId="165" xfId="0" applyAlignment="1" applyBorder="1" applyFont="1" applyNumberFormat="1">
      <alignment horizontal="right" vertical="bottom"/>
    </xf>
    <xf borderId="28" fillId="3" fontId="77" numFmtId="165" xfId="0" applyAlignment="1" applyBorder="1" applyFont="1" applyNumberFormat="1">
      <alignment horizontal="right" vertical="bottom"/>
    </xf>
    <xf borderId="1" fillId="3" fontId="76" numFmtId="165" xfId="0" applyAlignment="1" applyBorder="1" applyFont="1" applyNumberFormat="1">
      <alignment horizontal="right" vertical="bottom"/>
    </xf>
    <xf borderId="51" fillId="3" fontId="76" numFmtId="165" xfId="0" applyAlignment="1" applyBorder="1" applyFont="1" applyNumberFormat="1">
      <alignment horizontal="right" vertical="bottom"/>
    </xf>
    <xf borderId="51" fillId="3" fontId="2" numFmtId="165" xfId="0" applyAlignment="1" applyBorder="1" applyFont="1" applyNumberFormat="1">
      <alignment horizontal="right" readingOrder="0"/>
    </xf>
    <xf borderId="27" fillId="0" fontId="1" numFmtId="165" xfId="0" applyBorder="1" applyFont="1" applyNumberFormat="1"/>
    <xf borderId="27" fillId="13" fontId="1" numFmtId="0" xfId="0" applyAlignment="1" applyBorder="1" applyFont="1">
      <alignment horizontal="right" vertical="center"/>
    </xf>
    <xf borderId="0" fillId="0" fontId="81" numFmtId="0" xfId="0" applyFont="1"/>
    <xf borderId="1" fillId="3" fontId="1" numFmtId="170" xfId="0" applyAlignment="1" applyBorder="1" applyFont="1" applyNumberFormat="1">
      <alignment horizontal="right" readingOrder="0"/>
    </xf>
    <xf borderId="27" fillId="0" fontId="82" numFmtId="0" xfId="0" applyAlignment="1" applyBorder="1" applyFont="1">
      <alignment horizontal="right" vertical="center"/>
    </xf>
    <xf borderId="1" fillId="3" fontId="82" numFmtId="165" xfId="0" applyAlignment="1" applyBorder="1" applyFont="1" applyNumberFormat="1">
      <alignment horizontal="right"/>
    </xf>
    <xf borderId="27" fillId="0" fontId="82" numFmtId="165" xfId="0" applyBorder="1" applyFont="1" applyNumberFormat="1"/>
    <xf borderId="50" fillId="3" fontId="82" numFmtId="165" xfId="0" applyAlignment="1" applyBorder="1" applyFont="1" applyNumberFormat="1">
      <alignment vertical="center"/>
    </xf>
    <xf borderId="1" fillId="3" fontId="82" numFmtId="165" xfId="0" applyAlignment="1" applyBorder="1" applyFont="1" applyNumberFormat="1">
      <alignment vertical="center"/>
    </xf>
    <xf borderId="6" fillId="3" fontId="1" numFmtId="165" xfId="0" applyAlignment="1" applyBorder="1" applyFont="1" applyNumberFormat="1">
      <alignment horizontal="right"/>
    </xf>
    <xf borderId="60" fillId="0" fontId="1" numFmtId="0" xfId="0" applyAlignment="1" applyBorder="1" applyFont="1">
      <alignment horizontal="right"/>
    </xf>
    <xf borderId="27" fillId="0" fontId="80" numFmtId="0" xfId="0" applyBorder="1" applyFont="1"/>
    <xf borderId="27" fillId="0" fontId="2" numFmtId="0" xfId="0" applyAlignment="1" applyBorder="1" applyFont="1">
      <alignment horizontal="right"/>
    </xf>
    <xf borderId="27" fillId="11" fontId="1" numFmtId="0" xfId="0" applyAlignment="1" applyBorder="1" applyFont="1">
      <alignment horizontal="right" vertical="center"/>
    </xf>
    <xf borderId="27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61" fillId="3" fontId="2" numFmtId="165" xfId="0" applyAlignment="1" applyBorder="1" applyFont="1" applyNumberFormat="1">
      <alignment horizontal="right"/>
    </xf>
    <xf borderId="3" fillId="3" fontId="2" numFmtId="165" xfId="0" applyAlignment="1" applyBorder="1" applyFont="1" applyNumberFormat="1">
      <alignment horizontal="right"/>
    </xf>
    <xf borderId="32" fillId="3" fontId="2" numFmtId="165" xfId="0" applyAlignment="1" applyBorder="1" applyFont="1" applyNumberFormat="1">
      <alignment horizontal="right"/>
    </xf>
    <xf borderId="0" fillId="0" fontId="10" numFmtId="0" xfId="0" applyFont="1"/>
    <xf borderId="4" fillId="2" fontId="12" numFmtId="165" xfId="0" applyAlignment="1" applyBorder="1" applyFont="1" applyNumberFormat="1">
      <alignment vertical="center"/>
    </xf>
    <xf borderId="62" fillId="2" fontId="9" numFmtId="165" xfId="0" applyAlignment="1" applyBorder="1" applyFont="1" applyNumberFormat="1">
      <alignment horizontal="right"/>
    </xf>
    <xf borderId="4" fillId="2" fontId="9" numFmtId="165" xfId="0" applyAlignment="1" applyBorder="1" applyFont="1" applyNumberFormat="1">
      <alignment horizontal="right"/>
    </xf>
    <xf borderId="63" fillId="2" fontId="9" numFmtId="165" xfId="0" applyAlignment="1" applyBorder="1" applyFont="1" applyNumberFormat="1">
      <alignment horizontal="right"/>
    </xf>
    <xf borderId="64" fillId="2" fontId="12" numFmtId="165" xfId="0" applyAlignment="1" applyBorder="1" applyFont="1" applyNumberFormat="1">
      <alignment horizontal="right"/>
    </xf>
    <xf borderId="65" fillId="2" fontId="12" numFmtId="165" xfId="0" applyAlignment="1" applyBorder="1" applyFont="1" applyNumberFormat="1">
      <alignment horizontal="right"/>
    </xf>
    <xf borderId="0" fillId="0" fontId="12" numFmtId="165" xfId="0" applyFont="1" applyNumberFormat="1"/>
    <xf borderId="0" fillId="0" fontId="58" numFmtId="0" xfId="0" applyAlignment="1" applyFont="1">
      <alignment horizontal="right" vertical="center"/>
    </xf>
    <xf borderId="0" fillId="0" fontId="55" numFmtId="3" xfId="0" applyAlignment="1" applyFont="1" applyNumberFormat="1">
      <alignment horizontal="right"/>
    </xf>
    <xf borderId="0" fillId="0" fontId="58" numFmtId="0" xfId="0" applyAlignment="1" applyFont="1">
      <alignment horizontal="right"/>
    </xf>
    <xf borderId="0" fillId="2" fontId="42" numFmtId="0" xfId="0" applyFont="1"/>
    <xf borderId="33" fillId="4" fontId="48" numFmtId="165" xfId="0" applyAlignment="1" applyBorder="1" applyFont="1" applyNumberFormat="1">
      <alignment horizontal="right" vertical="center"/>
    </xf>
    <xf borderId="27" fillId="19" fontId="83" numFmtId="0" xfId="0" applyAlignment="1" applyBorder="1" applyFill="1" applyFont="1">
      <alignment vertical="center"/>
    </xf>
    <xf borderId="1" fillId="19" fontId="1" numFmtId="165" xfId="0" applyAlignment="1" applyBorder="1" applyFont="1" applyNumberFormat="1">
      <alignment horizontal="right"/>
    </xf>
    <xf borderId="1" fillId="19" fontId="2" numFmtId="165" xfId="0" applyAlignment="1" applyBorder="1" applyFont="1" applyNumberFormat="1">
      <alignment horizontal="right"/>
    </xf>
    <xf borderId="40" fillId="19" fontId="2" numFmtId="165" xfId="0" applyAlignment="1" applyBorder="1" applyFont="1" applyNumberFormat="1">
      <alignment horizontal="right"/>
    </xf>
    <xf borderId="51" fillId="19" fontId="2" numFmtId="165" xfId="0" applyAlignment="1" applyBorder="1" applyFont="1" applyNumberFormat="1">
      <alignment horizontal="right"/>
    </xf>
    <xf borderId="27" fillId="19" fontId="2" numFmtId="165" xfId="0" applyBorder="1" applyFont="1" applyNumberFormat="1"/>
    <xf borderId="50" fillId="19" fontId="1" numFmtId="165" xfId="0" applyAlignment="1" applyBorder="1" applyFont="1" applyNumberFormat="1">
      <alignment vertical="center"/>
    </xf>
    <xf borderId="1" fillId="19" fontId="1" numFmtId="165" xfId="0" applyAlignment="1" applyBorder="1" applyFont="1" applyNumberFormat="1">
      <alignment vertical="center"/>
    </xf>
    <xf borderId="1" fillId="3" fontId="2" numFmtId="165" xfId="0" applyAlignment="1" applyBorder="1" applyFont="1" applyNumberFormat="1">
      <alignment horizontal="right" readingOrder="0"/>
    </xf>
    <xf borderId="27" fillId="0" fontId="1" numFmtId="0" xfId="0" applyAlignment="1" applyBorder="1" applyFont="1">
      <alignment horizontal="right" readingOrder="0" vertical="center"/>
    </xf>
    <xf borderId="27" fillId="0" fontId="82" numFmtId="0" xfId="0" applyAlignment="1" applyBorder="1" applyFont="1">
      <alignment horizontal="right" readingOrder="0" vertical="center"/>
    </xf>
    <xf borderId="66" fillId="3" fontId="1" numFmtId="165" xfId="0" applyAlignment="1" applyBorder="1" applyFont="1" applyNumberFormat="1">
      <alignment horizontal="right"/>
    </xf>
    <xf borderId="67" fillId="3" fontId="2" numFmtId="165" xfId="0" applyAlignment="1" applyBorder="1" applyFont="1" applyNumberFormat="1">
      <alignment horizontal="right"/>
    </xf>
    <xf borderId="67" fillId="3" fontId="1" numFmtId="165" xfId="0" applyAlignment="1" applyBorder="1" applyFont="1" applyNumberFormat="1">
      <alignment horizontal="right" readingOrder="0"/>
    </xf>
    <xf borderId="68" fillId="3" fontId="2" numFmtId="165" xfId="0" applyAlignment="1" applyBorder="1" applyFont="1" applyNumberFormat="1">
      <alignment horizontal="right"/>
    </xf>
    <xf borderId="69" fillId="3" fontId="1" numFmtId="165" xfId="0" applyAlignment="1" applyBorder="1" applyFont="1" applyNumberFormat="1">
      <alignment vertical="center"/>
    </xf>
    <xf borderId="67" fillId="3" fontId="1" numFmtId="165" xfId="0" applyAlignment="1" applyBorder="1" applyFont="1" applyNumberFormat="1">
      <alignment vertical="center"/>
    </xf>
    <xf borderId="66" fillId="3" fontId="2" numFmtId="165" xfId="0" applyAlignment="1" applyBorder="1" applyFont="1" applyNumberFormat="1">
      <alignment horizontal="right"/>
    </xf>
    <xf borderId="67" fillId="3" fontId="2" numFmtId="165" xfId="0" applyAlignment="1" applyBorder="1" applyFont="1" applyNumberFormat="1">
      <alignment horizontal="right" readingOrder="0"/>
    </xf>
    <xf borderId="70" fillId="3" fontId="2" numFmtId="165" xfId="0" applyAlignment="1" applyBorder="1" applyFont="1" applyNumberFormat="1">
      <alignment horizontal="right"/>
    </xf>
    <xf borderId="71" fillId="11" fontId="12" numFmtId="165" xfId="0" applyBorder="1" applyFont="1" applyNumberFormat="1"/>
    <xf borderId="72" fillId="11" fontId="84" numFmtId="165" xfId="0" applyAlignment="1" applyBorder="1" applyFont="1" applyNumberFormat="1">
      <alignment horizontal="right" vertical="bottom"/>
    </xf>
    <xf borderId="73" fillId="11" fontId="84" numFmtId="165" xfId="0" applyAlignment="1" applyBorder="1" applyFont="1" applyNumberFormat="1">
      <alignment horizontal="right" vertical="bottom"/>
    </xf>
    <xf borderId="0" fillId="0" fontId="31" numFmtId="165" xfId="0" applyAlignment="1" applyFont="1" applyNumberFormat="1">
      <alignment vertical="bottom"/>
    </xf>
    <xf borderId="66" fillId="19" fontId="2" numFmtId="165" xfId="0" applyAlignment="1" applyBorder="1" applyFont="1" applyNumberFormat="1">
      <alignment horizontal="right"/>
    </xf>
    <xf borderId="67" fillId="19" fontId="2" numFmtId="165" xfId="0" applyAlignment="1" applyBorder="1" applyFont="1" applyNumberFormat="1">
      <alignment horizontal="right"/>
    </xf>
    <xf borderId="68" fillId="19" fontId="2" numFmtId="165" xfId="0" applyAlignment="1" applyBorder="1" applyFont="1" applyNumberFormat="1">
      <alignment horizontal="right"/>
    </xf>
    <xf borderId="69" fillId="19" fontId="1" numFmtId="165" xfId="0" applyAlignment="1" applyBorder="1" applyFont="1" applyNumberFormat="1">
      <alignment vertical="center"/>
    </xf>
    <xf borderId="67" fillId="19" fontId="1" numFmtId="165" xfId="0" applyAlignment="1" applyBorder="1" applyFont="1" applyNumberFormat="1">
      <alignment vertical="center"/>
    </xf>
    <xf borderId="27" fillId="0" fontId="80" numFmtId="165" xfId="0" applyBorder="1" applyFont="1" applyNumberFormat="1"/>
    <xf borderId="66" fillId="3" fontId="1" numFmtId="165" xfId="0" applyAlignment="1" applyBorder="1" applyFont="1" applyNumberFormat="1">
      <alignment horizontal="right" readingOrder="0"/>
    </xf>
    <xf borderId="4" fillId="15" fontId="54" numFmtId="165" xfId="0" applyAlignment="1" applyBorder="1" applyFont="1" applyNumberFormat="1">
      <alignment vertical="center"/>
    </xf>
    <xf borderId="62" fillId="15" fontId="9" numFmtId="165" xfId="0" applyAlignment="1" applyBorder="1" applyFont="1" applyNumberFormat="1">
      <alignment horizontal="right" vertical="center"/>
    </xf>
    <xf borderId="4" fillId="15" fontId="9" numFmtId="165" xfId="0" applyAlignment="1" applyBorder="1" applyFont="1" applyNumberFormat="1">
      <alignment horizontal="right" vertical="center"/>
    </xf>
    <xf borderId="63" fillId="15" fontId="9" numFmtId="165" xfId="0" applyAlignment="1" applyBorder="1" applyFont="1" applyNumberFormat="1">
      <alignment horizontal="right" vertical="center"/>
    </xf>
    <xf borderId="64" fillId="15" fontId="12" numFmtId="165" xfId="0" applyAlignment="1" applyBorder="1" applyFont="1" applyNumberFormat="1">
      <alignment horizontal="right" vertical="center"/>
    </xf>
    <xf borderId="65" fillId="15" fontId="12" numFmtId="165" xfId="0" applyAlignment="1" applyBorder="1" applyFont="1" applyNumberFormat="1">
      <alignment horizontal="right" vertical="center"/>
    </xf>
    <xf borderId="4" fillId="15" fontId="12" numFmtId="165" xfId="0" applyAlignment="1" applyBorder="1" applyFont="1" applyNumberFormat="1">
      <alignment horizontal="right" vertical="center"/>
    </xf>
    <xf borderId="0" fillId="0" fontId="1" numFmtId="0" xfId="0" applyFont="1"/>
    <xf borderId="0" fillId="0" fontId="26" numFmtId="0" xfId="0" applyAlignment="1" applyFont="1">
      <alignment vertical="center"/>
    </xf>
    <xf borderId="0" fillId="0" fontId="27" numFmtId="2" xfId="0" applyFont="1" applyNumberFormat="1"/>
    <xf borderId="0" fillId="0" fontId="38" numFmtId="0" xfId="0" applyFont="1"/>
    <xf borderId="0" fillId="5" fontId="31" numFmtId="0" xfId="0" applyFont="1"/>
    <xf borderId="0" fillId="12" fontId="31" numFmtId="0" xfId="0" applyFont="1"/>
    <xf borderId="0" fillId="12" fontId="31" numFmtId="9" xfId="0" applyFont="1" applyNumberFormat="1"/>
    <xf borderId="0" fillId="10" fontId="27" numFmtId="0" xfId="0" applyFont="1"/>
    <xf borderId="0" fillId="10" fontId="38" numFmtId="0" xfId="0" applyFont="1"/>
    <xf borderId="2" fillId="10" fontId="27" numFmtId="0" xfId="0" applyBorder="1" applyFont="1"/>
    <xf borderId="2" fillId="20" fontId="29" numFmtId="0" xfId="0" applyBorder="1" applyFill="1" applyFont="1"/>
    <xf borderId="2" fillId="20" fontId="29" numFmtId="0" xfId="0" applyAlignment="1" applyBorder="1" applyFont="1">
      <alignment shrinkToFit="0" wrapText="0"/>
    </xf>
    <xf borderId="0" fillId="11" fontId="29" numFmtId="0" xfId="0" applyFont="1"/>
    <xf borderId="2" fillId="0" fontId="27" numFmtId="0" xfId="0" applyAlignment="1" applyBorder="1" applyFont="1">
      <alignment shrinkToFit="0" wrapText="0"/>
    </xf>
    <xf borderId="0" fillId="11" fontId="27" numFmtId="9" xfId="0" applyFont="1" applyNumberFormat="1"/>
    <xf borderId="0" fillId="0" fontId="27" numFmtId="0" xfId="0" applyAlignment="1" applyFont="1">
      <alignment shrinkToFit="0" wrapText="0"/>
    </xf>
    <xf borderId="0" fillId="11" fontId="1" numFmtId="0" xfId="0" applyFont="1"/>
    <xf borderId="0" fillId="11" fontId="85" numFmtId="165" xfId="0" applyAlignment="1" applyFont="1" applyNumberFormat="1">
      <alignment horizontal="center" vertical="center"/>
    </xf>
    <xf borderId="0" fillId="0" fontId="27" numFmtId="173" xfId="0" applyFont="1" applyNumberFormat="1"/>
    <xf borderId="0" fillId="0" fontId="86" numFmtId="0" xfId="0" applyFont="1"/>
    <xf borderId="0" fillId="0" fontId="87" numFmtId="0" xfId="0" applyAlignment="1" applyFont="1">
      <alignment horizontal="center" vertical="center"/>
    </xf>
    <xf borderId="0" fillId="0" fontId="87" numFmtId="0" xfId="0" applyAlignment="1" applyFont="1">
      <alignment horizontal="center"/>
    </xf>
    <xf borderId="0" fillId="0" fontId="88" numFmtId="174" xfId="0" applyAlignment="1" applyFont="1" applyNumberFormat="1">
      <alignment horizontal="left"/>
    </xf>
    <xf borderId="0" fillId="0" fontId="88" numFmtId="175" xfId="0" applyAlignment="1" applyFont="1" applyNumberFormat="1">
      <alignment horizontal="left"/>
    </xf>
    <xf borderId="0" fillId="0" fontId="86" numFmtId="164" xfId="0" applyFont="1" applyNumberFormat="1"/>
    <xf borderId="6" fillId="8" fontId="17" numFmtId="0" xfId="0" applyBorder="1" applyFont="1"/>
    <xf borderId="1" fillId="8" fontId="17" numFmtId="0" xfId="0" applyAlignment="1" applyBorder="1" applyFont="1">
      <alignment horizontal="right"/>
    </xf>
    <xf borderId="0" fillId="0" fontId="17" numFmtId="0" xfId="0" applyAlignment="1" applyFont="1">
      <alignment horizontal="left"/>
    </xf>
    <xf borderId="0" fillId="0" fontId="89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89" numFmtId="0" xfId="0" applyAlignment="1" applyFont="1">
      <alignment horizontal="right" vertical="center"/>
    </xf>
    <xf borderId="27" fillId="0" fontId="89" numFmtId="0" xfId="0" applyAlignment="1" applyBorder="1" applyFont="1">
      <alignment vertical="center"/>
    </xf>
    <xf borderId="2" fillId="2" fontId="44" numFmtId="0" xfId="0" applyAlignment="1" applyBorder="1" applyFont="1">
      <alignment horizontal="center" vertical="center"/>
    </xf>
    <xf borderId="11" fillId="2" fontId="44" numFmtId="0" xfId="0" applyAlignment="1" applyBorder="1" applyFont="1">
      <alignment horizontal="center" vertical="center"/>
    </xf>
    <xf borderId="0" fillId="2" fontId="44" numFmtId="165" xfId="0" applyAlignment="1" applyFont="1" applyNumberFormat="1">
      <alignment horizontal="center" vertical="center"/>
    </xf>
    <xf borderId="40" fillId="2" fontId="44" numFmtId="165" xfId="0" applyAlignment="1" applyBorder="1" applyFont="1" applyNumberFormat="1">
      <alignment horizontal="center" vertical="center"/>
    </xf>
    <xf borderId="40" fillId="2" fontId="45" numFmtId="165" xfId="0" applyAlignment="1" applyBorder="1" applyFont="1" applyNumberFormat="1">
      <alignment horizontal="center" vertical="center"/>
    </xf>
    <xf borderId="1" fillId="2" fontId="45" numFmtId="165" xfId="0" applyAlignment="1" applyBorder="1" applyFont="1" applyNumberFormat="1">
      <alignment horizontal="center" vertical="center"/>
    </xf>
    <xf borderId="34" fillId="2" fontId="8" numFmtId="165" xfId="0" applyAlignment="1" applyBorder="1" applyFont="1" applyNumberFormat="1">
      <alignment horizontal="left"/>
    </xf>
    <xf borderId="34" fillId="2" fontId="8" numFmtId="165" xfId="0" applyAlignment="1" applyBorder="1" applyFont="1" applyNumberFormat="1">
      <alignment horizontal="right"/>
    </xf>
    <xf borderId="0" fillId="0" fontId="89" numFmtId="0" xfId="0" applyFont="1"/>
    <xf borderId="74" fillId="0" fontId="2" numFmtId="0" xfId="0" applyBorder="1" applyFont="1"/>
    <xf borderId="0" fillId="3" fontId="2" numFmtId="165" xfId="0" applyAlignment="1" applyFont="1" applyNumberFormat="1">
      <alignment horizontal="right"/>
    </xf>
    <xf borderId="53" fillId="3" fontId="1" numFmtId="165" xfId="0" applyAlignment="1" applyBorder="1" applyFont="1" applyNumberFormat="1">
      <alignment horizontal="right"/>
    </xf>
    <xf borderId="31" fillId="3" fontId="2" numFmtId="165" xfId="0" applyAlignment="1" applyBorder="1" applyFont="1" applyNumberFormat="1">
      <alignment horizontal="right"/>
    </xf>
    <xf borderId="14" fillId="2" fontId="2" numFmtId="165" xfId="0" applyAlignment="1" applyBorder="1" applyFont="1" applyNumberFormat="1">
      <alignment horizontal="right"/>
    </xf>
    <xf borderId="14" fillId="3" fontId="2" numFmtId="165" xfId="0" applyAlignment="1" applyBorder="1" applyFont="1" applyNumberFormat="1">
      <alignment horizontal="right"/>
    </xf>
    <xf borderId="1" fillId="2" fontId="74" numFmtId="165" xfId="0" applyAlignment="1" applyBorder="1" applyFont="1" applyNumberFormat="1">
      <alignment horizontal="right" vertical="center"/>
    </xf>
    <xf borderId="14" fillId="3" fontId="2" numFmtId="165" xfId="0" applyAlignment="1" applyBorder="1" applyFont="1" applyNumberFormat="1">
      <alignment horizontal="center"/>
    </xf>
    <xf borderId="7" fillId="2" fontId="90" numFmtId="165" xfId="0" applyAlignment="1" applyBorder="1" applyFont="1" applyNumberFormat="1">
      <alignment horizontal="right"/>
    </xf>
    <xf borderId="53" fillId="2" fontId="90" numFmtId="165" xfId="0" applyAlignment="1" applyBorder="1" applyFont="1" applyNumberFormat="1">
      <alignment horizontal="right"/>
    </xf>
    <xf borderId="1" fillId="2" fontId="90" numFmtId="165" xfId="0" applyAlignment="1" applyBorder="1" applyFont="1" applyNumberFormat="1">
      <alignment horizontal="right"/>
    </xf>
    <xf borderId="51" fillId="2" fontId="90" numFmtId="165" xfId="0" applyAlignment="1" applyBorder="1" applyFont="1" applyNumberFormat="1">
      <alignment horizontal="right"/>
    </xf>
    <xf borderId="14" fillId="2" fontId="91" numFmtId="165" xfId="0" applyAlignment="1" applyBorder="1" applyFont="1" applyNumberFormat="1">
      <alignment horizontal="right"/>
    </xf>
    <xf borderId="14" fillId="2" fontId="90" numFmtId="165" xfId="0" applyAlignment="1" applyBorder="1" applyFont="1" applyNumberFormat="1">
      <alignment horizontal="right"/>
    </xf>
    <xf borderId="14" fillId="2" fontId="92" numFmtId="165" xfId="0" applyAlignment="1" applyBorder="1" applyFont="1" applyNumberFormat="1">
      <alignment horizontal="center"/>
    </xf>
    <xf borderId="7" fillId="2" fontId="2" numFmtId="165" xfId="0" applyAlignment="1" applyBorder="1" applyFont="1" applyNumberFormat="1">
      <alignment horizontal="right"/>
    </xf>
    <xf borderId="53" fillId="2" fontId="2" numFmtId="165" xfId="0" applyAlignment="1" applyBorder="1" applyFont="1" applyNumberFormat="1">
      <alignment horizontal="right"/>
    </xf>
    <xf borderId="1" fillId="2" fontId="2" numFmtId="165" xfId="0" applyAlignment="1" applyBorder="1" applyFont="1" applyNumberFormat="1">
      <alignment horizontal="right"/>
    </xf>
    <xf borderId="51" fillId="2" fontId="2" numFmtId="165" xfId="0" applyAlignment="1" applyBorder="1" applyFont="1" applyNumberFormat="1">
      <alignment horizontal="right"/>
    </xf>
    <xf borderId="27" fillId="0" fontId="2" numFmtId="0" xfId="0" applyBorder="1" applyFont="1"/>
    <xf borderId="53" fillId="3" fontId="2" numFmtId="165" xfId="0" applyAlignment="1" applyBorder="1" applyFont="1" applyNumberFormat="1">
      <alignment horizontal="right"/>
    </xf>
    <xf borderId="0" fillId="3" fontId="1" numFmtId="165" xfId="0" applyAlignment="1" applyFont="1" applyNumberFormat="1">
      <alignment horizontal="right"/>
    </xf>
    <xf borderId="14" fillId="3" fontId="1" numFmtId="165" xfId="0" applyAlignment="1" applyBorder="1" applyFont="1" applyNumberFormat="1">
      <alignment horizontal="center"/>
    </xf>
    <xf borderId="33" fillId="2" fontId="2" numFmtId="0" xfId="0" applyAlignment="1" applyBorder="1" applyFont="1">
      <alignment horizontal="left" vertical="center"/>
    </xf>
    <xf borderId="33" fillId="3" fontId="2" numFmtId="165" xfId="0" applyAlignment="1" applyBorder="1" applyFont="1" applyNumberFormat="1">
      <alignment horizontal="right"/>
    </xf>
    <xf borderId="48" fillId="3" fontId="2" numFmtId="165" xfId="0" applyAlignment="1" applyBorder="1" applyFont="1" applyNumberFormat="1">
      <alignment horizontal="right"/>
    </xf>
    <xf borderId="21" fillId="2" fontId="2" numFmtId="165" xfId="0" applyAlignment="1" applyBorder="1" applyFont="1" applyNumberFormat="1">
      <alignment horizontal="right"/>
    </xf>
    <xf borderId="21" fillId="3" fontId="2" numFmtId="165" xfId="0" applyAlignment="1" applyBorder="1" applyFont="1" applyNumberFormat="1">
      <alignment horizontal="right"/>
    </xf>
    <xf borderId="0" fillId="11" fontId="77" numFmtId="165" xfId="0" applyAlignment="1" applyFont="1" applyNumberFormat="1">
      <alignment horizontal="left"/>
    </xf>
    <xf borderId="21" fillId="2" fontId="2" numFmtId="165" xfId="0" applyBorder="1" applyFont="1" applyNumberFormat="1"/>
    <xf borderId="75" fillId="3" fontId="1" numFmtId="165" xfId="0" applyAlignment="1" applyBorder="1" applyFont="1" applyNumberFormat="1">
      <alignment horizontal="right"/>
    </xf>
    <xf borderId="76" fillId="3" fontId="1" numFmtId="165" xfId="0" applyAlignment="1" applyBorder="1" applyFont="1" applyNumberFormat="1">
      <alignment horizontal="right"/>
    </xf>
    <xf borderId="33" fillId="2" fontId="74" numFmtId="165" xfId="0" applyAlignment="1" applyBorder="1" applyFont="1" applyNumberFormat="1">
      <alignment horizontal="right" vertical="center"/>
    </xf>
    <xf borderId="4" fillId="2" fontId="12" numFmtId="165" xfId="0" applyAlignment="1" applyBorder="1" applyFont="1" applyNumberFormat="1">
      <alignment horizontal="left" vertical="center"/>
    </xf>
    <xf borderId="64" fillId="2" fontId="10" numFmtId="165" xfId="0" applyAlignment="1" applyBorder="1" applyFont="1" applyNumberFormat="1">
      <alignment horizontal="right"/>
    </xf>
    <xf borderId="72" fillId="2" fontId="9" numFmtId="165" xfId="0" applyAlignment="1" applyBorder="1" applyFont="1" applyNumberFormat="1">
      <alignment horizontal="right"/>
    </xf>
    <xf borderId="77" fillId="2" fontId="9" numFmtId="165" xfId="0" applyAlignment="1" applyBorder="1" applyFont="1" applyNumberFormat="1">
      <alignment horizontal="right"/>
    </xf>
    <xf borderId="34" fillId="2" fontId="93" numFmtId="165" xfId="0" applyAlignment="1" applyBorder="1" applyFont="1" applyNumberFormat="1">
      <alignment vertical="center"/>
    </xf>
    <xf borderId="35" fillId="2" fontId="93" numFmtId="165" xfId="0" applyAlignment="1" applyBorder="1" applyFont="1" applyNumberFormat="1">
      <alignment vertical="center"/>
    </xf>
    <xf borderId="13" fillId="2" fontId="74" numFmtId="165" xfId="0" applyAlignment="1" applyBorder="1" applyFont="1" applyNumberFormat="1">
      <alignment horizontal="right"/>
    </xf>
    <xf borderId="15" fillId="2" fontId="74" numFmtId="165" xfId="0" applyAlignment="1" applyBorder="1" applyFont="1" applyNumberFormat="1">
      <alignment horizontal="right"/>
    </xf>
    <xf borderId="34" fillId="2" fontId="74" numFmtId="165" xfId="0" applyAlignment="1" applyBorder="1" applyFont="1" applyNumberFormat="1">
      <alignment horizontal="right"/>
    </xf>
    <xf borderId="36" fillId="2" fontId="74" numFmtId="165" xfId="0" applyAlignment="1" applyBorder="1" applyFont="1" applyNumberFormat="1">
      <alignment horizontal="right"/>
    </xf>
    <xf borderId="35" fillId="2" fontId="93" numFmtId="165" xfId="0" applyAlignment="1" applyBorder="1" applyFont="1" applyNumberFormat="1">
      <alignment horizontal="right"/>
    </xf>
    <xf borderId="34" fillId="2" fontId="93" numFmtId="165" xfId="0" applyAlignment="1" applyBorder="1" applyFont="1" applyNumberFormat="1">
      <alignment horizontal="right"/>
    </xf>
    <xf borderId="10" fillId="2" fontId="8" numFmtId="165" xfId="0" applyAlignment="1" applyBorder="1" applyFont="1" applyNumberFormat="1">
      <alignment horizontal="left"/>
    </xf>
    <xf borderId="10" fillId="2" fontId="8" numFmtId="165" xfId="0" applyAlignment="1" applyBorder="1" applyFont="1" applyNumberFormat="1">
      <alignment horizontal="right"/>
    </xf>
    <xf borderId="14" fillId="3" fontId="1" numFmtId="165" xfId="0" applyAlignment="1" applyBorder="1" applyFont="1" applyNumberFormat="1">
      <alignment horizontal="right"/>
    </xf>
    <xf borderId="0" fillId="0" fontId="86" numFmtId="0" xfId="0" applyAlignment="1" applyFont="1">
      <alignment vertical="center"/>
    </xf>
    <xf borderId="21" fillId="3" fontId="1" numFmtId="165" xfId="0" applyAlignment="1" applyBorder="1" applyFont="1" applyNumberFormat="1">
      <alignment horizontal="right"/>
    </xf>
    <xf borderId="33" fillId="3" fontId="1" numFmtId="165" xfId="0" applyAlignment="1" applyBorder="1" applyFont="1" applyNumberFormat="1">
      <alignment horizontal="right"/>
    </xf>
    <xf borderId="0" fillId="2" fontId="74" numFmtId="165" xfId="0" applyAlignment="1" applyFont="1" applyNumberFormat="1">
      <alignment horizontal="right" vertical="center"/>
    </xf>
    <xf borderId="28" fillId="2" fontId="12" numFmtId="165" xfId="0" applyAlignment="1" applyBorder="1" applyFont="1" applyNumberFormat="1">
      <alignment horizontal="right" vertical="center"/>
    </xf>
    <xf borderId="37" fillId="3" fontId="2" numFmtId="165" xfId="0" applyAlignment="1" applyBorder="1" applyFont="1" applyNumberFormat="1">
      <alignment horizontal="right"/>
    </xf>
    <xf borderId="43" fillId="3" fontId="2" numFmtId="165" xfId="0" applyAlignment="1" applyBorder="1" applyFont="1" applyNumberFormat="1">
      <alignment horizontal="right"/>
    </xf>
    <xf borderId="44" fillId="2" fontId="2" numFmtId="165" xfId="0" applyAlignment="1" applyBorder="1" applyFont="1" applyNumberFormat="1">
      <alignment horizontal="right"/>
    </xf>
    <xf borderId="37" fillId="3" fontId="1" numFmtId="165" xfId="0" applyAlignment="1" applyBorder="1" applyFont="1" applyNumberFormat="1">
      <alignment horizontal="right"/>
    </xf>
    <xf borderId="44" fillId="3" fontId="2" numFmtId="165" xfId="0" applyAlignment="1" applyBorder="1" applyFont="1" applyNumberFormat="1">
      <alignment horizontal="right"/>
    </xf>
    <xf borderId="3" fillId="2" fontId="74" numFmtId="165" xfId="0" applyAlignment="1" applyBorder="1" applyFont="1" applyNumberFormat="1">
      <alignment horizontal="right" vertical="center"/>
    </xf>
    <xf borderId="0" fillId="0" fontId="74" numFmtId="0" xfId="0" applyFont="1"/>
    <xf borderId="78" fillId="2" fontId="2" numFmtId="165" xfId="0" applyBorder="1" applyFont="1" applyNumberFormat="1"/>
    <xf borderId="69" fillId="3" fontId="1" numFmtId="165" xfId="0" applyAlignment="1" applyBorder="1" applyFont="1" applyNumberFormat="1">
      <alignment horizontal="right"/>
    </xf>
    <xf borderId="78" fillId="3" fontId="2" numFmtId="165" xfId="0" applyAlignment="1" applyBorder="1" applyFont="1" applyNumberFormat="1">
      <alignment horizontal="right"/>
    </xf>
    <xf borderId="79" fillId="3" fontId="2" numFmtId="165" xfId="0" applyAlignment="1" applyBorder="1" applyFont="1" applyNumberFormat="1">
      <alignment horizontal="right"/>
    </xf>
    <xf borderId="49" fillId="3" fontId="2" numFmtId="165" xfId="0" applyAlignment="1" applyBorder="1" applyFont="1" applyNumberFormat="1">
      <alignment horizontal="right"/>
    </xf>
    <xf borderId="0" fillId="2" fontId="64" numFmtId="165" xfId="0" applyAlignment="1" applyFont="1" applyNumberFormat="1">
      <alignment horizontal="right" vertical="center"/>
    </xf>
    <xf borderId="0" fillId="2" fontId="1" numFmtId="0" xfId="0" applyAlignment="1" applyFont="1">
      <alignment horizontal="left" vertical="center"/>
    </xf>
    <xf borderId="0" fillId="2" fontId="2" numFmtId="165" xfId="0" applyFont="1" applyNumberFormat="1"/>
    <xf borderId="27" fillId="2" fontId="2" numFmtId="165" xfId="0" applyAlignment="1" applyBorder="1" applyFont="1" applyNumberFormat="1">
      <alignment horizontal="right"/>
    </xf>
    <xf borderId="27" fillId="3" fontId="2" numFmtId="165" xfId="0" applyAlignment="1" applyBorder="1" applyFont="1" applyNumberFormat="1">
      <alignment horizontal="right"/>
    </xf>
    <xf borderId="80" fillId="2" fontId="1" numFmtId="165" xfId="0" applyAlignment="1" applyBorder="1" applyFont="1" applyNumberFormat="1">
      <alignment horizontal="left" vertical="center"/>
    </xf>
    <xf borderId="81" fillId="2" fontId="2" numFmtId="165" xfId="0" applyBorder="1" applyFont="1" applyNumberFormat="1"/>
    <xf borderId="24" fillId="3" fontId="1" numFmtId="165" xfId="0" applyAlignment="1" applyBorder="1" applyFont="1" applyNumberFormat="1">
      <alignment horizontal="right"/>
    </xf>
    <xf borderId="82" fillId="3" fontId="1" numFmtId="165" xfId="0" applyAlignment="1" applyBorder="1" applyFont="1" applyNumberFormat="1">
      <alignment horizontal="right"/>
    </xf>
    <xf borderId="80" fillId="3" fontId="2" numFmtId="165" xfId="0" applyAlignment="1" applyBorder="1" applyFont="1" applyNumberFormat="1">
      <alignment horizontal="right"/>
    </xf>
    <xf borderId="83" fillId="3" fontId="2" numFmtId="165" xfId="0" applyAlignment="1" applyBorder="1" applyFont="1" applyNumberFormat="1">
      <alignment horizontal="right"/>
    </xf>
    <xf borderId="81" fillId="2" fontId="2" numFmtId="165" xfId="0" applyAlignment="1" applyBorder="1" applyFont="1" applyNumberFormat="1">
      <alignment horizontal="right"/>
    </xf>
    <xf borderId="81" fillId="3" fontId="2" numFmtId="165" xfId="0" applyAlignment="1" applyBorder="1" applyFont="1" applyNumberFormat="1">
      <alignment horizontal="right"/>
    </xf>
    <xf borderId="1" fillId="2" fontId="64" numFmtId="165" xfId="0" applyAlignment="1" applyBorder="1" applyFont="1" applyNumberFormat="1">
      <alignment horizontal="right" vertical="center"/>
    </xf>
    <xf borderId="29" fillId="2" fontId="10" numFmtId="165" xfId="0" applyAlignment="1" applyBorder="1" applyFont="1" applyNumberFormat="1">
      <alignment horizontal="right"/>
    </xf>
    <xf borderId="9" fillId="2" fontId="9" numFmtId="165" xfId="0" applyAlignment="1" applyBorder="1" applyFont="1" applyNumberFormat="1">
      <alignment horizontal="right"/>
    </xf>
    <xf borderId="57" fillId="2" fontId="9" numFmtId="165" xfId="0" applyAlignment="1" applyBorder="1" applyFont="1" applyNumberFormat="1">
      <alignment horizontal="right"/>
    </xf>
    <xf borderId="10" fillId="2" fontId="9" numFmtId="165" xfId="0" applyAlignment="1" applyBorder="1" applyFont="1" applyNumberFormat="1">
      <alignment horizontal="right"/>
    </xf>
    <xf borderId="54" fillId="2" fontId="9" numFmtId="165" xfId="0" applyAlignment="1" applyBorder="1" applyFont="1" applyNumberFormat="1">
      <alignment horizontal="right"/>
    </xf>
    <xf borderId="29" fillId="2" fontId="12" numFmtId="165" xfId="0" applyAlignment="1" applyBorder="1" applyFont="1" applyNumberFormat="1">
      <alignment horizontal="right"/>
    </xf>
    <xf borderId="10" fillId="2" fontId="12" numFmtId="165" xfId="0" applyAlignment="1" applyBorder="1" applyFont="1" applyNumberFormat="1">
      <alignment horizontal="right"/>
    </xf>
    <xf borderId="55" fillId="2" fontId="12" numFmtId="165" xfId="0" applyAlignment="1" applyBorder="1" applyFont="1" applyNumberFormat="1">
      <alignment horizontal="right"/>
    </xf>
    <xf borderId="36" fillId="2" fontId="9" numFmtId="165" xfId="0" applyAlignment="1" applyBorder="1" applyFont="1" applyNumberFormat="1">
      <alignment horizontal="right"/>
    </xf>
    <xf borderId="35" fillId="2" fontId="93" numFmtId="165" xfId="0" applyBorder="1" applyFont="1" applyNumberFormat="1"/>
    <xf borderId="2" fillId="2" fontId="93" numFmtId="165" xfId="0" applyAlignment="1" applyBorder="1" applyFont="1" applyNumberFormat="1">
      <alignment horizontal="right"/>
    </xf>
    <xf borderId="1" fillId="2" fontId="10" numFmtId="165" xfId="0" applyBorder="1" applyFont="1" applyNumberFormat="1"/>
    <xf borderId="0" fillId="0" fontId="2" numFmtId="165" xfId="0" applyFont="1" applyNumberFormat="1"/>
    <xf borderId="0" fillId="0" fontId="10" numFmtId="165" xfId="0" applyFont="1" applyNumberFormat="1"/>
    <xf borderId="0" fillId="0" fontId="64" numFmtId="165" xfId="0" applyFont="1" applyNumberFormat="1"/>
    <xf borderId="0" fillId="0" fontId="12" numFmtId="165" xfId="0" applyAlignment="1" applyFont="1" applyNumberFormat="1">
      <alignment horizontal="center"/>
    </xf>
    <xf borderId="0" fillId="0" fontId="12" numFmtId="165" xfId="0" applyAlignment="1" applyFont="1" applyNumberFormat="1">
      <alignment horizontal="right"/>
    </xf>
    <xf borderId="1" fillId="2" fontId="94" numFmtId="165" xfId="0" applyAlignment="1" applyBorder="1" applyFont="1" applyNumberFormat="1">
      <alignment horizontal="center"/>
    </xf>
    <xf borderId="0" fillId="0" fontId="95" numFmtId="165" xfId="0" applyAlignment="1" applyFont="1" applyNumberFormat="1">
      <alignment horizontal="right"/>
    </xf>
    <xf borderId="0" fillId="0" fontId="86" numFmtId="165" xfId="0" applyFont="1" applyNumberFormat="1"/>
    <xf borderId="84" fillId="0" fontId="96" numFmtId="0" xfId="0" applyAlignment="1" applyBorder="1" applyFont="1">
      <alignment horizontal="center" vertical="center"/>
    </xf>
    <xf borderId="0" fillId="0" fontId="96" numFmtId="0" xfId="0" applyAlignment="1" applyFont="1">
      <alignment horizontal="center"/>
    </xf>
    <xf borderId="0" fillId="0" fontId="71" numFmtId="3" xfId="0" applyAlignment="1" applyFont="1" applyNumberFormat="1">
      <alignment horizontal="center"/>
    </xf>
    <xf borderId="0" fillId="0" fontId="95" numFmtId="0" xfId="0" applyFont="1"/>
    <xf borderId="0" fillId="0" fontId="97" numFmtId="0" xfId="0" applyAlignment="1" applyFont="1">
      <alignment horizontal="center"/>
    </xf>
    <xf borderId="0" fillId="0" fontId="95" numFmtId="3" xfId="0" applyAlignment="1" applyFont="1" applyNumberFormat="1">
      <alignment horizontal="center"/>
    </xf>
    <xf borderId="1" fillId="8" fontId="17" numFmtId="0" xfId="0" applyAlignment="1" applyBorder="1" applyFont="1">
      <alignment horizontal="left"/>
    </xf>
    <xf borderId="0" fillId="0" fontId="17" numFmtId="0" xfId="0" applyAlignment="1" applyFont="1">
      <alignment horizontal="center"/>
    </xf>
    <xf borderId="15" fillId="2" fontId="44" numFmtId="0" xfId="0" applyAlignment="1" applyBorder="1" applyFont="1">
      <alignment horizontal="center" vertical="center"/>
    </xf>
    <xf quotePrefix="1" borderId="0" fillId="0" fontId="2" numFmtId="0" xfId="0" applyAlignment="1" applyFont="1">
      <alignment vertical="center"/>
    </xf>
    <xf borderId="14" fillId="2" fontId="7" numFmtId="0" xfId="0" applyAlignment="1" applyBorder="1" applyFont="1">
      <alignment vertical="center"/>
    </xf>
    <xf borderId="31" fillId="2" fontId="2" numFmtId="165" xfId="0" applyAlignment="1" applyBorder="1" applyFont="1" applyNumberFormat="1">
      <alignment vertical="center"/>
    </xf>
    <xf borderId="27" fillId="0" fontId="2" numFmtId="165" xfId="0" applyAlignment="1" applyBorder="1" applyFont="1" applyNumberFormat="1">
      <alignment vertical="center"/>
    </xf>
    <xf borderId="69" fillId="0" fontId="2" numFmtId="165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  <xf borderId="51" fillId="2" fontId="2" numFmtId="165" xfId="0" applyAlignment="1" applyBorder="1" applyFont="1" applyNumberFormat="1">
      <alignment vertical="center"/>
    </xf>
    <xf quotePrefix="1" borderId="24" fillId="0" fontId="2" numFmtId="0" xfId="0" applyAlignment="1" applyBorder="1" applyFont="1">
      <alignment vertical="center"/>
    </xf>
    <xf borderId="26" fillId="2" fontId="7" numFmtId="0" xfId="0" applyAlignment="1" applyBorder="1" applyFont="1">
      <alignment vertical="center"/>
    </xf>
    <xf borderId="3" fillId="2" fontId="2" numFmtId="165" xfId="0" applyAlignment="1" applyBorder="1" applyFont="1" applyNumberFormat="1">
      <alignment vertical="center"/>
    </xf>
    <xf borderId="32" fillId="2" fontId="2" numFmtId="165" xfId="0" applyAlignment="1" applyBorder="1" applyFont="1" applyNumberFormat="1">
      <alignment vertical="center"/>
    </xf>
    <xf borderId="85" fillId="2" fontId="2" numFmtId="165" xfId="0" applyAlignment="1" applyBorder="1" applyFont="1" applyNumberFormat="1">
      <alignment vertical="center"/>
    </xf>
    <xf borderId="86" fillId="0" fontId="2" numFmtId="165" xfId="0" applyAlignment="1" applyBorder="1" applyFont="1" applyNumberFormat="1">
      <alignment vertical="center"/>
    </xf>
    <xf borderId="24" fillId="0" fontId="2" numFmtId="165" xfId="0" applyAlignment="1" applyBorder="1" applyFont="1" applyNumberFormat="1">
      <alignment vertical="center"/>
    </xf>
    <xf borderId="10" fillId="2" fontId="12" numFmtId="165" xfId="0" applyAlignment="1" applyBorder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12" numFmtId="165" xfId="0" applyAlignment="1" applyFont="1" applyNumberFormat="1">
      <alignment vertical="center"/>
    </xf>
    <xf borderId="87" fillId="2" fontId="2" numFmtId="165" xfId="0" applyAlignment="1" applyBorder="1" applyFont="1" applyNumberFormat="1">
      <alignment vertical="center"/>
    </xf>
    <xf borderId="20" fillId="0" fontId="2" numFmtId="0" xfId="0" applyAlignment="1" applyBorder="1" applyFont="1">
      <alignment vertical="center"/>
    </xf>
    <xf quotePrefix="1" borderId="0" fillId="0" fontId="1" numFmtId="0" xfId="0" applyAlignment="1" applyFont="1">
      <alignment vertical="center"/>
    </xf>
    <xf borderId="3" fillId="2" fontId="2" numFmtId="165" xfId="0" applyAlignment="1" applyBorder="1" applyFont="1" applyNumberFormat="1">
      <alignment horizontal="center" vertical="center"/>
    </xf>
    <xf borderId="32" fillId="2" fontId="2" numFmtId="165" xfId="0" applyAlignment="1" applyBorder="1" applyFont="1" applyNumberFormat="1">
      <alignment horizontal="center" vertical="center"/>
    </xf>
    <xf borderId="1" fillId="7" fontId="12" numFmtId="165" xfId="0" applyAlignment="1" applyBorder="1" applyFont="1" applyNumberFormat="1">
      <alignment vertical="center"/>
    </xf>
    <xf borderId="1" fillId="7" fontId="80" numFmtId="165" xfId="0" applyAlignment="1" applyBorder="1" applyFont="1" applyNumberFormat="1">
      <alignment horizontal="right" vertical="center"/>
    </xf>
    <xf borderId="14" fillId="7" fontId="12" numFmtId="165" xfId="0" applyAlignment="1" applyBorder="1" applyFont="1" applyNumberFormat="1">
      <alignment vertical="center"/>
    </xf>
    <xf borderId="50" fillId="7" fontId="12" numFmtId="165" xfId="0" applyAlignment="1" applyBorder="1" applyFont="1" applyNumberFormat="1">
      <alignment vertical="center"/>
    </xf>
    <xf borderId="88" fillId="2" fontId="10" numFmtId="0" xfId="0" applyAlignment="1" applyBorder="1" applyFont="1">
      <alignment vertical="center"/>
    </xf>
    <xf borderId="89" fillId="2" fontId="10" numFmtId="0" xfId="0" applyAlignment="1" applyBorder="1" applyFont="1">
      <alignment vertical="center"/>
    </xf>
    <xf borderId="89" fillId="2" fontId="10" numFmtId="165" xfId="0" applyAlignment="1" applyBorder="1" applyFont="1" applyNumberFormat="1">
      <alignment vertical="center"/>
    </xf>
    <xf borderId="90" fillId="2" fontId="10" numFmtId="165" xfId="0" applyAlignment="1" applyBorder="1" applyFont="1" applyNumberFormat="1">
      <alignment vertical="center"/>
    </xf>
    <xf borderId="91" fillId="2" fontId="12" numFmtId="165" xfId="0" applyAlignment="1" applyBorder="1" applyFont="1" applyNumberFormat="1">
      <alignment vertical="center"/>
    </xf>
    <xf borderId="92" fillId="0" fontId="12" numFmtId="165" xfId="0" applyAlignment="1" applyBorder="1" applyFont="1" applyNumberFormat="1">
      <alignment vertical="center"/>
    </xf>
    <xf borderId="93" fillId="2" fontId="10" numFmtId="0" xfId="0" applyAlignment="1" applyBorder="1" applyFont="1">
      <alignment horizontal="left" vertical="center"/>
    </xf>
    <xf borderId="94" fillId="2" fontId="98" numFmtId="165" xfId="0" applyAlignment="1" applyBorder="1" applyFont="1" applyNumberFormat="1">
      <alignment vertical="center"/>
    </xf>
    <xf borderId="94" fillId="2" fontId="10" numFmtId="165" xfId="0" applyAlignment="1" applyBorder="1" applyFont="1" applyNumberFormat="1">
      <alignment vertical="center"/>
    </xf>
    <xf borderId="95" fillId="2" fontId="10" numFmtId="165" xfId="0" applyAlignment="1" applyBorder="1" applyFont="1" applyNumberFormat="1">
      <alignment vertical="center"/>
    </xf>
    <xf borderId="96" fillId="2" fontId="12" numFmtId="165" xfId="0" applyAlignment="1" applyBorder="1" applyFont="1" applyNumberFormat="1">
      <alignment vertical="center"/>
    </xf>
    <xf borderId="97" fillId="0" fontId="12" numFmtId="165" xfId="0" applyAlignment="1" applyBorder="1" applyFont="1" applyNumberFormat="1">
      <alignment vertical="center"/>
    </xf>
    <xf borderId="37" fillId="2" fontId="2" numFmtId="165" xfId="0" applyAlignment="1" applyBorder="1" applyFont="1" applyNumberFormat="1">
      <alignment vertical="center"/>
    </xf>
    <xf borderId="1" fillId="2" fontId="99" numFmtId="165" xfId="0" applyAlignment="1" applyBorder="1" applyFont="1" applyNumberFormat="1">
      <alignment horizontal="center" vertical="center"/>
    </xf>
    <xf borderId="1" fillId="2" fontId="65" numFmtId="165" xfId="0" applyAlignment="1" applyBorder="1" applyFont="1" applyNumberFormat="1">
      <alignment horizontal="right"/>
    </xf>
    <xf borderId="0" fillId="0" fontId="15" numFmtId="165" xfId="0" applyFont="1" applyNumberFormat="1"/>
    <xf borderId="0" fillId="0" fontId="15" numFmtId="0" xfId="0" applyFont="1"/>
    <xf borderId="1" fillId="8" fontId="100" numFmtId="0" xfId="0" applyBorder="1" applyFont="1"/>
    <xf borderId="1" fillId="8" fontId="17" numFmtId="176" xfId="0" applyBorder="1" applyFont="1" applyNumberFormat="1"/>
    <xf borderId="0" fillId="0" fontId="4" numFmtId="0" xfId="0" applyAlignment="1" applyFont="1">
      <alignment horizontal="right" vertical="center"/>
    </xf>
    <xf borderId="0" fillId="0" fontId="4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89" numFmtId="0" xfId="0" applyAlignment="1" applyFont="1">
      <alignment horizontal="center" vertical="center"/>
    </xf>
    <xf borderId="0" fillId="0" fontId="68" numFmtId="0" xfId="0" applyAlignment="1" applyFont="1">
      <alignment horizontal="center" vertical="center"/>
    </xf>
    <xf borderId="1" fillId="2" fontId="4" numFmtId="0" xfId="0" applyAlignment="1" applyBorder="1" applyFont="1">
      <alignment horizontal="right" vertical="center"/>
    </xf>
    <xf borderId="14" fillId="2" fontId="89" numFmtId="0" xfId="0" applyAlignment="1" applyBorder="1" applyFont="1">
      <alignment vertical="center"/>
    </xf>
    <xf borderId="1" fillId="2" fontId="89" numFmtId="0" xfId="0" applyAlignment="1" applyBorder="1" applyFont="1">
      <alignment vertical="center"/>
    </xf>
    <xf borderId="1" fillId="2" fontId="42" numFmtId="165" xfId="0" applyAlignment="1" applyBorder="1" applyFont="1" applyNumberFormat="1">
      <alignment horizontal="center" vertical="center"/>
    </xf>
    <xf borderId="1" fillId="2" fontId="89" numFmtId="0" xfId="0" applyAlignment="1" applyBorder="1" applyFont="1">
      <alignment horizontal="center" vertical="center"/>
    </xf>
    <xf borderId="47" fillId="2" fontId="2" numFmtId="165" xfId="0" applyAlignment="1" applyBorder="1" applyFont="1" applyNumberFormat="1">
      <alignment horizontal="right" vertical="center"/>
    </xf>
    <xf borderId="10" fillId="2" fontId="12" numFmtId="165" xfId="0" applyAlignment="1" applyBorder="1" applyFont="1" applyNumberFormat="1">
      <alignment horizontal="right" vertical="center"/>
    </xf>
    <xf borderId="1" fillId="2" fontId="55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center"/>
    </xf>
    <xf borderId="0" fillId="0" fontId="93" numFmtId="165" xfId="0" applyAlignment="1" applyFont="1" applyNumberFormat="1">
      <alignment horizontal="center" vertical="center"/>
    </xf>
    <xf borderId="0" fillId="0" fontId="64" numFmtId="165" xfId="0" applyAlignment="1" applyFont="1" applyNumberFormat="1">
      <alignment horizontal="center" vertical="center"/>
    </xf>
    <xf borderId="27" fillId="11" fontId="76" numFmtId="165" xfId="0" applyAlignment="1" applyBorder="1" applyFont="1" applyNumberFormat="1">
      <alignment horizontal="right"/>
    </xf>
    <xf borderId="0" fillId="0" fontId="55" numFmtId="165" xfId="0" applyAlignment="1" applyFont="1" applyNumberFormat="1">
      <alignment horizontal="center" vertical="center"/>
    </xf>
    <xf borderId="69" fillId="0" fontId="2" numFmtId="165" xfId="0" applyAlignment="1" applyBorder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0" fillId="0" fontId="12" numFmtId="165" xfId="0" applyAlignment="1" applyFont="1" applyNumberFormat="1">
      <alignment horizontal="right" vertical="center"/>
    </xf>
    <xf borderId="98" fillId="2" fontId="10" numFmtId="0" xfId="0" applyAlignment="1" applyBorder="1" applyFont="1">
      <alignment vertical="center"/>
    </xf>
    <xf borderId="99" fillId="2" fontId="12" numFmtId="165" xfId="0" applyAlignment="1" applyBorder="1" applyFont="1" applyNumberFormat="1">
      <alignment horizontal="right" vertical="center"/>
    </xf>
    <xf borderId="100" fillId="2" fontId="9" numFmtId="165" xfId="0" applyAlignment="1" applyBorder="1" applyFont="1" applyNumberFormat="1">
      <alignment horizontal="right" vertical="center"/>
    </xf>
    <xf borderId="101" fillId="2" fontId="9" numFmtId="165" xfId="0" applyAlignment="1" applyBorder="1" applyFont="1" applyNumberFormat="1">
      <alignment horizontal="right" vertical="center"/>
    </xf>
    <xf borderId="101" fillId="2" fontId="12" numFmtId="165" xfId="0" applyAlignment="1" applyBorder="1" applyFont="1" applyNumberFormat="1">
      <alignment horizontal="right" vertical="center"/>
    </xf>
    <xf borderId="102" fillId="2" fontId="10" numFmtId="0" xfId="0" applyAlignment="1" applyBorder="1" applyFont="1">
      <alignment horizontal="left" vertical="center"/>
    </xf>
    <xf borderId="103" fillId="2" fontId="12" numFmtId="165" xfId="0" applyAlignment="1" applyBorder="1" applyFont="1" applyNumberFormat="1">
      <alignment horizontal="right" vertical="center"/>
    </xf>
    <xf borderId="104" fillId="2" fontId="9" numFmtId="165" xfId="0" applyAlignment="1" applyBorder="1" applyFont="1" applyNumberFormat="1">
      <alignment horizontal="right" vertical="center"/>
    </xf>
    <xf borderId="105" fillId="2" fontId="9" numFmtId="165" xfId="0" applyAlignment="1" applyBorder="1" applyFont="1" applyNumberFormat="1">
      <alignment horizontal="right" vertical="center"/>
    </xf>
    <xf borderId="105" fillId="2" fontId="12" numFmtId="165" xfId="0" applyAlignment="1" applyBorder="1" applyFont="1" applyNumberFormat="1">
      <alignment horizontal="right" vertical="center"/>
    </xf>
    <xf borderId="106" fillId="2" fontId="59" numFmtId="0" xfId="0" applyAlignment="1" applyBorder="1" applyFont="1">
      <alignment horizontal="right" vertical="center"/>
    </xf>
    <xf borderId="107" fillId="0" fontId="59" numFmtId="9" xfId="0" applyAlignment="1" applyBorder="1" applyFont="1" applyNumberFormat="1">
      <alignment horizontal="right" vertical="center"/>
    </xf>
    <xf borderId="0" fillId="0" fontId="88" numFmtId="0" xfId="0" applyAlignment="1" applyFont="1">
      <alignment horizontal="center"/>
    </xf>
    <xf borderId="0" fillId="0" fontId="100" numFmtId="0" xfId="0" applyAlignment="1" applyFont="1">
      <alignment horizontal="center"/>
    </xf>
    <xf borderId="1" fillId="2" fontId="4" numFmtId="0" xfId="0" applyAlignment="1" applyBorder="1" applyFont="1">
      <alignment horizontal="right"/>
    </xf>
    <xf borderId="14" fillId="2" fontId="7" numFmtId="0" xfId="0" applyBorder="1" applyFont="1"/>
    <xf borderId="31" fillId="2" fontId="2" numFmtId="165" xfId="0" applyAlignment="1" applyBorder="1" applyFont="1" applyNumberFormat="1">
      <alignment horizontal="right"/>
    </xf>
    <xf borderId="50" fillId="2" fontId="2" numFmtId="165" xfId="0" applyAlignment="1" applyBorder="1" applyFont="1" applyNumberFormat="1">
      <alignment horizontal="right"/>
    </xf>
    <xf borderId="26" fillId="2" fontId="7" numFmtId="0" xfId="0" applyBorder="1" applyFont="1"/>
    <xf borderId="3" fillId="2" fontId="2" numFmtId="165" xfId="0" applyAlignment="1" applyBorder="1" applyFont="1" applyNumberFormat="1">
      <alignment horizontal="right"/>
    </xf>
    <xf borderId="32" fillId="2" fontId="2" numFmtId="165" xfId="0" applyAlignment="1" applyBorder="1" applyFont="1" applyNumberFormat="1">
      <alignment horizontal="right"/>
    </xf>
    <xf borderId="26" fillId="2" fontId="2" numFmtId="165" xfId="0" applyAlignment="1" applyBorder="1" applyFont="1" applyNumberFormat="1">
      <alignment horizontal="right"/>
    </xf>
    <xf borderId="47" fillId="2" fontId="2" numFmtId="165" xfId="0" applyAlignment="1" applyBorder="1" applyFont="1" applyNumberFormat="1">
      <alignment horizontal="right"/>
    </xf>
    <xf borderId="0" fillId="0" fontId="58" numFmtId="3" xfId="0" applyAlignment="1" applyFont="1" applyNumberFormat="1">
      <alignment horizontal="right"/>
    </xf>
    <xf borderId="1" fillId="2" fontId="58" numFmtId="165" xfId="0" applyAlignment="1" applyBorder="1" applyFont="1" applyNumberFormat="1">
      <alignment horizontal="right"/>
    </xf>
    <xf quotePrefix="1" borderId="1" fillId="2" fontId="2" numFmtId="0" xfId="0" applyAlignment="1" applyBorder="1" applyFont="1">
      <alignment horizontal="left" vertical="center"/>
    </xf>
    <xf quotePrefix="1" borderId="1" fillId="2" fontId="1" numFmtId="0" xfId="0" applyAlignment="1" applyBorder="1" applyFont="1">
      <alignment horizontal="left" vertical="center"/>
    </xf>
    <xf quotePrefix="1" borderId="3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vertical="center"/>
    </xf>
    <xf quotePrefix="1" borderId="1" fillId="2" fontId="1" numFmtId="0" xfId="0" applyAlignment="1" applyBorder="1" applyFont="1">
      <alignment vertical="center"/>
    </xf>
    <xf borderId="3" fillId="2" fontId="1" numFmtId="165" xfId="0" applyAlignment="1" applyBorder="1" applyFont="1" applyNumberFormat="1">
      <alignment vertical="center"/>
    </xf>
    <xf borderId="0" fillId="0" fontId="55" numFmtId="0" xfId="0" applyFont="1"/>
    <xf borderId="1" fillId="2" fontId="59" numFmtId="0" xfId="0" applyAlignment="1" applyBorder="1" applyFont="1">
      <alignment horizontal="right" vertical="center"/>
    </xf>
    <xf borderId="1" fillId="2" fontId="59" numFmtId="9" xfId="0" applyAlignment="1" applyBorder="1" applyFont="1" applyNumberFormat="1">
      <alignment horizontal="right"/>
    </xf>
    <xf borderId="1" fillId="2" fontId="12" numFmtId="165" xfId="0" applyAlignment="1" applyBorder="1" applyFont="1" applyNumberFormat="1">
      <alignment horizontal="right"/>
    </xf>
    <xf quotePrefix="1" borderId="3" fillId="2" fontId="2" numFmtId="165" xfId="0" applyAlignment="1" applyBorder="1" applyFont="1" applyNumberFormat="1">
      <alignment vertical="center"/>
    </xf>
    <xf borderId="0" fillId="0" fontId="9" numFmtId="165" xfId="0" applyAlignment="1" applyFont="1" applyNumberFormat="1">
      <alignment horizontal="right" vertical="center"/>
    </xf>
    <xf borderId="36" fillId="2" fontId="9" numFmtId="165" xfId="0" applyAlignment="1" applyBorder="1" applyFont="1" applyNumberFormat="1">
      <alignment horizontal="right" vertical="center"/>
    </xf>
    <xf quotePrefix="1" borderId="3" fillId="2" fontId="2" numFmtId="0" xfId="0" applyAlignment="1" applyBorder="1" applyFont="1">
      <alignment horizontal="left" vertical="center"/>
    </xf>
    <xf borderId="0" fillId="2" fontId="2" numFmtId="0" xfId="0" applyFont="1"/>
    <xf borderId="26" fillId="3" fontId="2" numFmtId="165" xfId="0" applyAlignment="1" applyBorder="1" applyFont="1" applyNumberFormat="1">
      <alignment horizontal="right"/>
    </xf>
    <xf borderId="3" fillId="2" fontId="2" numFmtId="165" xfId="0" applyBorder="1" applyFont="1" applyNumberFormat="1"/>
    <xf borderId="108" fillId="2" fontId="2" numFmtId="165" xfId="0" applyBorder="1" applyFont="1" applyNumberFormat="1"/>
    <xf borderId="26" fillId="2" fontId="2" numFmtId="165" xfId="0" applyBorder="1" applyFont="1" applyNumberFormat="1"/>
    <xf borderId="47" fillId="2" fontId="2" numFmtId="165" xfId="0" applyBorder="1" applyFont="1" applyNumberFormat="1"/>
    <xf borderId="0" fillId="2" fontId="10" numFmtId="0" xfId="0" applyFont="1"/>
    <xf borderId="1" fillId="2" fontId="10" numFmtId="0" xfId="0" applyBorder="1" applyFont="1"/>
    <xf borderId="50" fillId="3" fontId="2" numFmtId="165" xfId="0" applyAlignment="1" applyBorder="1" applyFont="1" applyNumberFormat="1">
      <alignment horizontal="right"/>
    </xf>
    <xf borderId="47" fillId="3" fontId="2" numFmtId="165" xfId="0" applyAlignment="1" applyBorder="1" applyFont="1" applyNumberFormat="1">
      <alignment horizontal="right"/>
    </xf>
    <xf borderId="14" fillId="3" fontId="2" numFmtId="0" xfId="0" applyAlignment="1" applyBorder="1" applyFont="1">
      <alignment horizontal="right"/>
    </xf>
    <xf borderId="0" fillId="0" fontId="10" numFmtId="0" xfId="0" applyAlignment="1" applyFont="1">
      <alignment horizontal="right"/>
    </xf>
    <xf borderId="0" fillId="0" fontId="64" numFmtId="165" xfId="0" applyAlignment="1" applyFont="1" applyNumberFormat="1">
      <alignment horizontal="right"/>
    </xf>
    <xf borderId="0" fillId="0" fontId="66" numFmtId="0" xfId="0" applyAlignment="1" applyFont="1">
      <alignment horizontal="right"/>
    </xf>
    <xf borderId="0" fillId="0" fontId="101" numFmtId="165" xfId="0" applyAlignment="1" applyFont="1" applyNumberFormat="1">
      <alignment horizontal="right"/>
    </xf>
    <xf borderId="0" fillId="0" fontId="102" numFmtId="165" xfId="0" applyAlignment="1" applyFont="1" applyNumberFormat="1">
      <alignment horizontal="right"/>
    </xf>
    <xf borderId="0" fillId="0" fontId="103" numFmtId="165" xfId="0" applyAlignment="1" applyFont="1" applyNumberFormat="1">
      <alignment horizontal="right"/>
    </xf>
    <xf borderId="0" fillId="0" fontId="66" numFmtId="0" xfId="0" applyFont="1"/>
    <xf borderId="0" fillId="0" fontId="101" numFmtId="0" xfId="0" applyAlignment="1" applyFont="1">
      <alignment horizontal="left"/>
    </xf>
    <xf borderId="0" fillId="0" fontId="101" numFmtId="0" xfId="0" applyFont="1"/>
    <xf borderId="0" fillId="0" fontId="103" numFmtId="10" xfId="0" applyFont="1" applyNumberFormat="1"/>
    <xf borderId="0" fillId="0" fontId="103" numFmtId="0" xfId="0" applyFont="1"/>
    <xf borderId="0" fillId="0" fontId="103" numFmtId="1" xfId="0" applyFont="1" applyNumberFormat="1"/>
    <xf borderId="0" fillId="0" fontId="101" numFmtId="1" xfId="0" applyFont="1" applyNumberFormat="1"/>
    <xf borderId="0" fillId="0" fontId="66" numFmtId="0" xfId="0" applyAlignment="1" applyFont="1">
      <alignment horizontal="center"/>
    </xf>
    <xf borderId="0" fillId="0" fontId="104" numFmtId="0" xfId="0" applyFont="1"/>
    <xf borderId="0" fillId="0" fontId="66" numFmtId="1" xfId="0" applyFont="1" applyNumberFormat="1"/>
    <xf borderId="0" fillId="0" fontId="31" numFmtId="1" xfId="0" applyFont="1" applyNumberFormat="1"/>
    <xf borderId="0" fillId="0" fontId="1" numFmtId="167" xfId="0" applyFont="1" applyNumberFormat="1"/>
    <xf borderId="0" fillId="0" fontId="31" numFmtId="167" xfId="0" applyFont="1" applyNumberFormat="1"/>
    <xf borderId="0" fillId="0" fontId="2" numFmtId="167" xfId="0" applyFont="1" applyNumberFormat="1"/>
    <xf borderId="0" fillId="0" fontId="30" numFmtId="9" xfId="0" applyFont="1" applyNumberFormat="1"/>
    <xf borderId="0" fillId="0" fontId="31" numFmtId="10" xfId="0" applyFont="1" applyNumberFormat="1"/>
    <xf borderId="0" fillId="0" fontId="30" numFmtId="10" xfId="0" applyFont="1" applyNumberFormat="1"/>
    <xf borderId="1" fillId="8" fontId="18" numFmtId="0" xfId="0" applyAlignment="1" applyBorder="1" applyFont="1">
      <alignment vertical="center"/>
    </xf>
    <xf borderId="0" fillId="0" fontId="4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89" numFmtId="0" xfId="0" applyAlignment="1" applyFont="1">
      <alignment horizontal="center"/>
    </xf>
    <xf borderId="0" fillId="0" fontId="68" numFmtId="0" xfId="0" applyAlignment="1" applyFont="1">
      <alignment horizontal="center"/>
    </xf>
    <xf borderId="14" fillId="2" fontId="44" numFmtId="165" xfId="0" applyAlignment="1" applyBorder="1" applyFont="1" applyNumberFormat="1">
      <alignment vertical="center"/>
    </xf>
    <xf borderId="0" fillId="0" fontId="8" numFmtId="0" xfId="0" applyFont="1"/>
    <xf borderId="10" fillId="4" fontId="48" numFmtId="165" xfId="0" applyAlignment="1" applyBorder="1" applyFont="1" applyNumberFormat="1">
      <alignment vertical="center"/>
    </xf>
    <xf borderId="10" fillId="4" fontId="48" numFmtId="0" xfId="0" applyAlignment="1" applyBorder="1" applyFont="1">
      <alignment horizontal="center" vertical="center"/>
    </xf>
    <xf borderId="34" fillId="2" fontId="10" numFmtId="165" xfId="0" applyAlignment="1" applyBorder="1" applyFont="1" applyNumberFormat="1">
      <alignment vertical="center"/>
    </xf>
    <xf borderId="34" fillId="2" fontId="8" numFmtId="165" xfId="0" applyAlignment="1" applyBorder="1" applyFont="1" applyNumberFormat="1">
      <alignment horizontal="center" vertical="center"/>
    </xf>
    <xf borderId="34" fillId="2" fontId="8" numFmtId="0" xfId="0" applyAlignment="1" applyBorder="1" applyFont="1">
      <alignment horizontal="center" vertical="center"/>
    </xf>
    <xf borderId="1" fillId="2" fontId="4" numFmtId="0" xfId="0" applyBorder="1" applyFont="1"/>
    <xf borderId="1" fillId="2" fontId="89" numFmtId="0" xfId="0" applyBorder="1" applyFont="1"/>
    <xf borderId="58" fillId="2" fontId="2" numFmtId="165" xfId="0" applyAlignment="1" applyBorder="1" applyFont="1" applyNumberFormat="1">
      <alignment horizontal="right"/>
    </xf>
    <xf borderId="55" fillId="2" fontId="12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vertical="center"/>
    </xf>
    <xf borderId="0" fillId="0" fontId="8" numFmtId="165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10" fillId="2" fontId="8" numFmtId="165" xfId="0" applyAlignment="1" applyBorder="1" applyFont="1" applyNumberFormat="1">
      <alignment horizontal="center" vertical="center"/>
    </xf>
    <xf borderId="10" fillId="2" fontId="8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0" fillId="0" fontId="3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left"/>
    </xf>
    <xf borderId="14" fillId="3" fontId="105" numFmtId="165" xfId="0" applyAlignment="1" applyBorder="1" applyFont="1" applyNumberFormat="1">
      <alignment horizontal="right"/>
    </xf>
    <xf borderId="3" fillId="2" fontId="2" numFmtId="0" xfId="0" applyAlignment="1" applyBorder="1" applyFont="1">
      <alignment vertical="center"/>
    </xf>
    <xf borderId="0" fillId="0" fontId="106" numFmtId="0" xfId="0" applyAlignment="1" applyFont="1">
      <alignment vertical="center"/>
    </xf>
    <xf borderId="1" fillId="8" fontId="67" numFmtId="0" xfId="0" applyAlignment="1" applyBorder="1" applyFont="1">
      <alignment vertical="center"/>
    </xf>
    <xf borderId="0" fillId="0" fontId="4" numFmtId="0" xfId="0" applyAlignment="1" applyFont="1">
      <alignment horizontal="center"/>
    </xf>
    <xf borderId="0" fillId="0" fontId="43" numFmtId="0" xfId="0" applyAlignment="1" applyFont="1">
      <alignment horizontal="center" vertical="center"/>
    </xf>
    <xf borderId="10" fillId="4" fontId="107" numFmtId="165" xfId="0" applyAlignment="1" applyBorder="1" applyFont="1" applyNumberFormat="1">
      <alignment horizontal="left" vertical="center"/>
    </xf>
    <xf borderId="10" fillId="4" fontId="47" numFmtId="165" xfId="0" applyAlignment="1" applyBorder="1" applyFont="1" applyNumberFormat="1">
      <alignment horizontal="right" vertical="center"/>
    </xf>
    <xf borderId="0" fillId="0" fontId="47" numFmtId="165" xfId="0" applyFont="1" applyNumberFormat="1"/>
    <xf borderId="1" fillId="2" fontId="10" numFmtId="0" xfId="0" applyAlignment="1" applyBorder="1" applyFont="1">
      <alignment shrinkToFit="0" vertical="top" wrapText="1"/>
    </xf>
    <xf borderId="1" fillId="2" fontId="2" numFmtId="165" xfId="0" applyBorder="1" applyFont="1" applyNumberFormat="1"/>
    <xf borderId="14" fillId="2" fontId="2" numFmtId="165" xfId="0" applyBorder="1" applyFont="1" applyNumberFormat="1"/>
    <xf borderId="109" fillId="3" fontId="2" numFmtId="165" xfId="0" applyAlignment="1" applyBorder="1" applyFont="1" applyNumberFormat="1">
      <alignment horizontal="right"/>
    </xf>
    <xf borderId="1" fillId="2" fontId="1" numFmtId="165" xfId="0" applyBorder="1" applyFont="1" applyNumberFormat="1"/>
    <xf borderId="3" fillId="3" fontId="1" numFmtId="165" xfId="0" applyAlignment="1" applyBorder="1" applyFont="1" applyNumberFormat="1">
      <alignment horizontal="right"/>
    </xf>
    <xf borderId="65" fillId="2" fontId="9" numFmtId="165" xfId="0" applyAlignment="1" applyBorder="1" applyFont="1" applyNumberFormat="1">
      <alignment horizontal="right"/>
    </xf>
    <xf borderId="0" fillId="0" fontId="12" numFmtId="165" xfId="0" applyAlignment="1" applyFont="1" applyNumberFormat="1">
      <alignment horizontal="left" vertical="center"/>
    </xf>
    <xf borderId="0" fillId="0" fontId="10" numFmtId="165" xfId="0" applyAlignment="1" applyFont="1" applyNumberFormat="1">
      <alignment horizontal="right"/>
    </xf>
    <xf borderId="0" fillId="0" fontId="58" numFmtId="165" xfId="0" applyAlignment="1" applyFont="1" applyNumberFormat="1">
      <alignment horizontal="center"/>
    </xf>
    <xf borderId="0" fillId="0" fontId="55" numFmtId="165" xfId="0" applyAlignment="1" applyFont="1" applyNumberFormat="1">
      <alignment horizontal="right"/>
    </xf>
    <xf borderId="110" fillId="3" fontId="1" numFmtId="165" xfId="0" applyAlignment="1" applyBorder="1" applyFont="1" applyNumberFormat="1">
      <alignment horizontal="right"/>
    </xf>
    <xf borderId="3" fillId="2" fontId="108" numFmtId="0" xfId="0" applyBorder="1" applyFont="1"/>
    <xf borderId="108" fillId="2" fontId="108" numFmtId="0" xfId="0" applyBorder="1" applyFont="1"/>
    <xf borderId="111" fillId="2" fontId="2" numFmtId="165" xfId="0" applyAlignment="1" applyBorder="1" applyFont="1" applyNumberFormat="1">
      <alignment horizontal="right"/>
    </xf>
    <xf borderId="26" fillId="2" fontId="108" numFmtId="0" xfId="0" applyBorder="1" applyFont="1"/>
    <xf borderId="4" fillId="2" fontId="10" numFmtId="165" xfId="0" applyAlignment="1" applyBorder="1" applyFont="1" applyNumberFormat="1">
      <alignment horizontal="right"/>
    </xf>
    <xf borderId="112" fillId="2" fontId="12" numFmtId="165" xfId="0" applyAlignment="1" applyBorder="1" applyFont="1" applyNumberFormat="1">
      <alignment horizontal="right"/>
    </xf>
    <xf borderId="14" fillId="2" fontId="9" numFmtId="165" xfId="0" applyAlignment="1" applyBorder="1" applyFont="1" applyNumberFormat="1">
      <alignment horizontal="right"/>
    </xf>
    <xf borderId="1" fillId="2" fontId="109" numFmtId="0" xfId="0" applyBorder="1" applyFont="1"/>
    <xf borderId="31" fillId="2" fontId="109" numFmtId="0" xfId="0" applyBorder="1" applyFont="1"/>
    <xf borderId="14" fillId="2" fontId="109" numFmtId="0" xfId="0" applyBorder="1" applyFont="1"/>
    <xf borderId="113" fillId="2" fontId="109" numFmtId="0" xfId="0" applyBorder="1" applyFont="1"/>
    <xf borderId="1" fillId="2" fontId="2" numFmtId="0" xfId="0" applyAlignment="1" applyBorder="1" applyFont="1">
      <alignment shrinkToFit="0" vertical="top" wrapText="1"/>
    </xf>
    <xf borderId="50" fillId="2" fontId="2" numFmtId="0" xfId="0" applyBorder="1" applyFont="1"/>
    <xf borderId="113" fillId="2" fontId="2" numFmtId="165" xfId="0" applyAlignment="1" applyBorder="1" applyFont="1" applyNumberFormat="1">
      <alignment horizontal="right"/>
    </xf>
    <xf borderId="10" fillId="2" fontId="2" numFmtId="165" xfId="0" applyAlignment="1" applyBorder="1" applyFont="1" applyNumberFormat="1">
      <alignment horizontal="left" vertical="center"/>
    </xf>
    <xf borderId="29" fillId="2" fontId="2" numFmtId="165" xfId="0" applyBorder="1" applyFont="1" applyNumberFormat="1"/>
    <xf borderId="47" fillId="2" fontId="2" numFmtId="0" xfId="0" applyBorder="1" applyFont="1"/>
    <xf borderId="114" fillId="2" fontId="2" numFmtId="165" xfId="0" applyAlignment="1" applyBorder="1" applyFont="1" applyNumberFormat="1">
      <alignment horizontal="right"/>
    </xf>
    <xf borderId="65" fillId="2" fontId="10" numFmtId="165" xfId="0" applyAlignment="1" applyBorder="1" applyFont="1" applyNumberFormat="1">
      <alignment horizontal="right"/>
    </xf>
    <xf borderId="1" fillId="2" fontId="7" numFmtId="165" xfId="0" applyAlignment="1" applyBorder="1" applyFont="1" applyNumberFormat="1">
      <alignment horizontal="left" vertical="center"/>
    </xf>
    <xf borderId="1" fillId="2" fontId="7" numFmtId="165" xfId="0" applyAlignment="1" applyBorder="1" applyFont="1" applyNumberFormat="1">
      <alignment horizontal="right"/>
    </xf>
    <xf borderId="1" fillId="4" fontId="48" numFmtId="165" xfId="0" applyAlignment="1" applyBorder="1" applyFont="1" applyNumberFormat="1">
      <alignment horizontal="left" vertical="center"/>
    </xf>
    <xf borderId="1" fillId="4" fontId="107" numFmtId="165" xfId="0" applyAlignment="1" applyBorder="1" applyFont="1" applyNumberFormat="1">
      <alignment horizontal="left" vertical="center"/>
    </xf>
    <xf borderId="1" fillId="4" fontId="47" numFmtId="165" xfId="0" applyAlignment="1" applyBorder="1" applyFont="1" applyNumberFormat="1">
      <alignment horizontal="right" vertical="center"/>
    </xf>
    <xf borderId="10" fillId="2" fontId="8" numFmtId="165" xfId="0" applyAlignment="1" applyBorder="1" applyFont="1" applyNumberFormat="1">
      <alignment horizontal="left" vertical="center"/>
    </xf>
    <xf borderId="0" fillId="0" fontId="8" numFmtId="165" xfId="0" applyFont="1" applyNumberFormat="1"/>
    <xf borderId="41" fillId="2" fontId="2" numFmtId="165" xfId="0" applyBorder="1" applyFont="1" applyNumberFormat="1"/>
    <xf borderId="109" fillId="2" fontId="2" numFmtId="165" xfId="0" applyBorder="1" applyFont="1" applyNumberFormat="1"/>
    <xf borderId="19" fillId="0" fontId="2" numFmtId="165" xfId="0" applyAlignment="1" applyBorder="1" applyFont="1" applyNumberFormat="1">
      <alignment horizontal="right"/>
    </xf>
    <xf borderId="20" fillId="0" fontId="2" numFmtId="165" xfId="0" applyAlignment="1" applyBorder="1" applyFont="1" applyNumberFormat="1">
      <alignment horizontal="right"/>
    </xf>
    <xf borderId="39" fillId="2" fontId="2" numFmtId="165" xfId="0" applyBorder="1" applyFont="1" applyNumberFormat="1"/>
    <xf borderId="50" fillId="2" fontId="2" numFmtId="165" xfId="0" applyBorder="1" applyFont="1" applyNumberFormat="1"/>
    <xf borderId="69" fillId="0" fontId="2" numFmtId="165" xfId="0" applyAlignment="1" applyBorder="1" applyFont="1" applyNumberFormat="1">
      <alignment horizontal="right"/>
    </xf>
    <xf borderId="10" fillId="2" fontId="2" numFmtId="165" xfId="0" applyBorder="1" applyFont="1" applyNumberFormat="1"/>
    <xf borderId="55" fillId="2" fontId="2" numFmtId="165" xfId="0" applyBorder="1" applyFont="1" applyNumberFormat="1"/>
    <xf borderId="115" fillId="0" fontId="2" numFmtId="165" xfId="0" applyAlignment="1" applyBorder="1" applyFont="1" applyNumberFormat="1">
      <alignment horizontal="right"/>
    </xf>
    <xf borderId="107" fillId="0" fontId="2" numFmtId="165" xfId="0" applyAlignment="1" applyBorder="1" applyFont="1" applyNumberFormat="1">
      <alignment horizontal="right"/>
    </xf>
    <xf borderId="116" fillId="0" fontId="2" numFmtId="165" xfId="0" applyAlignment="1" applyBorder="1" applyFont="1" applyNumberFormat="1">
      <alignment horizontal="right"/>
    </xf>
    <xf borderId="29" fillId="2" fontId="2" numFmtId="165" xfId="0" applyAlignment="1" applyBorder="1" applyFont="1" applyNumberFormat="1">
      <alignment horizontal="right"/>
    </xf>
    <xf borderId="10" fillId="2" fontId="2" numFmtId="165" xfId="0" applyAlignment="1" applyBorder="1" applyFont="1" applyNumberFormat="1">
      <alignment horizontal="right"/>
    </xf>
    <xf borderId="117" fillId="0" fontId="2" numFmtId="165" xfId="0" applyAlignment="1" applyBorder="1" applyFont="1" applyNumberFormat="1">
      <alignment horizontal="right"/>
    </xf>
    <xf borderId="0" fillId="0" fontId="20" numFmtId="0" xfId="0" applyAlignment="1" applyFont="1">
      <alignment horizontal="center" vertical="center"/>
    </xf>
    <xf borderId="0" fillId="0" fontId="55" numFmtId="165" xfId="0" applyAlignment="1" applyFont="1" applyNumberFormat="1">
      <alignment horizontal="center"/>
    </xf>
    <xf borderId="6" fillId="2" fontId="2" numFmtId="165" xfId="0" applyAlignment="1" applyBorder="1" applyFont="1" applyNumberFormat="1">
      <alignment horizontal="left"/>
    </xf>
    <xf borderId="118" fillId="0" fontId="19" numFmtId="0" xfId="0" applyBorder="1" applyFont="1"/>
    <xf borderId="0" fillId="0" fontId="2" numFmtId="164" xfId="0" applyFont="1" applyNumberFormat="1"/>
    <xf borderId="8" fillId="2" fontId="2" numFmtId="165" xfId="0" applyAlignment="1" applyBorder="1" applyFont="1" applyNumberFormat="1">
      <alignment horizontal="left"/>
    </xf>
    <xf borderId="30" fillId="0" fontId="19" numFmtId="0" xfId="0" applyBorder="1" applyFont="1"/>
    <xf borderId="1" fillId="2" fontId="10" numFmtId="164" xfId="0" applyAlignment="1" applyBorder="1" applyFont="1" applyNumberFormat="1">
      <alignment shrinkToFit="0" vertical="top" wrapText="1"/>
    </xf>
    <xf borderId="6" fillId="2" fontId="1" numFmtId="165" xfId="0" applyAlignment="1" applyBorder="1" applyFont="1" applyNumberFormat="1">
      <alignment horizontal="left"/>
    </xf>
    <xf borderId="119" fillId="0" fontId="20" numFmtId="0" xfId="0" applyAlignment="1" applyBorder="1" applyFont="1">
      <alignment horizontal="center" vertical="center"/>
    </xf>
    <xf borderId="119" fillId="0" fontId="7" numFmtId="0" xfId="0" applyAlignment="1" applyBorder="1" applyFont="1">
      <alignment horizontal="center"/>
    </xf>
    <xf borderId="119" fillId="0" fontId="12" numFmtId="165" xfId="0" applyAlignment="1" applyBorder="1" applyFont="1" applyNumberFormat="1">
      <alignment horizontal="center"/>
    </xf>
    <xf borderId="119" fillId="0" fontId="55" numFmtId="165" xfId="0" applyAlignment="1" applyBorder="1" applyFont="1" applyNumberFormat="1">
      <alignment horizontal="center"/>
    </xf>
    <xf borderId="120" fillId="2" fontId="57" numFmtId="165" xfId="0" applyAlignment="1" applyBorder="1" applyFont="1" applyNumberFormat="1">
      <alignment horizontal="right" vertical="center"/>
    </xf>
    <xf borderId="119" fillId="0" fontId="10" numFmtId="165" xfId="0" applyAlignment="1" applyBorder="1" applyFont="1" applyNumberFormat="1">
      <alignment horizontal="right"/>
    </xf>
    <xf borderId="119" fillId="0" fontId="55" numFmtId="165" xfId="0" applyAlignment="1" applyBorder="1" applyFont="1" applyNumberFormat="1">
      <alignment horizontal="right"/>
    </xf>
    <xf borderId="119" fillId="0" fontId="10" numFmtId="165" xfId="0" applyBorder="1" applyFont="1" applyNumberFormat="1"/>
    <xf borderId="121" fillId="0" fontId="2" numFmtId="165" xfId="0" applyBorder="1" applyFont="1" applyNumberFormat="1"/>
    <xf borderId="122" fillId="0" fontId="2" numFmtId="165" xfId="0" applyBorder="1" applyFont="1" applyNumberFormat="1"/>
    <xf borderId="18" fillId="0" fontId="2" numFmtId="165" xfId="0" applyBorder="1" applyFont="1" applyNumberFormat="1"/>
    <xf borderId="69" fillId="0" fontId="2" numFmtId="165" xfId="0" applyBorder="1" applyFont="1" applyNumberFormat="1"/>
    <xf borderId="0" fillId="0" fontId="10" numFmtId="0" xfId="0" applyAlignment="1" applyFont="1">
      <alignment horizontal="left"/>
    </xf>
    <xf borderId="27" fillId="0" fontId="19" numFmtId="0" xfId="0" applyBorder="1" applyFont="1"/>
    <xf borderId="69" fillId="0" fontId="10" numFmtId="0" xfId="0" applyAlignment="1" applyBorder="1" applyFont="1">
      <alignment horizontal="left"/>
    </xf>
    <xf borderId="20" fillId="0" fontId="2" numFmtId="165" xfId="0" applyBorder="1" applyFont="1" applyNumberFormat="1"/>
    <xf borderId="19" fillId="0" fontId="2" numFmtId="165" xfId="0" applyBorder="1" applyFont="1" applyNumberFormat="1"/>
    <xf borderId="24" fillId="0" fontId="10" numFmtId="0" xfId="0" applyAlignment="1" applyBorder="1" applyFont="1">
      <alignment horizontal="left"/>
    </xf>
    <xf borderId="56" fillId="0" fontId="19" numFmtId="0" xfId="0" applyBorder="1" applyFont="1"/>
    <xf borderId="86" fillId="0" fontId="10" numFmtId="0" xfId="0" applyAlignment="1" applyBorder="1" applyFont="1">
      <alignment horizontal="left"/>
    </xf>
    <xf borderId="24" fillId="0" fontId="2" numFmtId="165" xfId="0" applyBorder="1" applyFont="1" applyNumberFormat="1"/>
    <xf borderId="25" fillId="0" fontId="2" numFmtId="165" xfId="0" applyBorder="1" applyFont="1" applyNumberFormat="1"/>
    <xf borderId="23" fillId="0" fontId="2" numFmtId="165" xfId="0" applyBorder="1" applyFont="1" applyNumberFormat="1"/>
    <xf borderId="86" fillId="0" fontId="2" numFmtId="165" xfId="0" applyBorder="1" applyFont="1" applyNumberFormat="1"/>
    <xf borderId="64" fillId="2" fontId="10" numFmtId="165" xfId="0" applyAlignment="1" applyBorder="1" applyFont="1" applyNumberFormat="1">
      <alignment horizontal="right" vertical="center"/>
    </xf>
    <xf borderId="65" fillId="2" fontId="10" numFmtId="165" xfId="0" applyAlignment="1" applyBorder="1" applyFont="1" applyNumberFormat="1">
      <alignment horizontal="right" vertical="center"/>
    </xf>
    <xf borderId="4" fillId="2" fontId="9" numFmtId="165" xfId="0" applyAlignment="1" applyBorder="1" applyFont="1" applyNumberFormat="1">
      <alignment horizontal="right" vertical="center"/>
    </xf>
    <xf borderId="63" fillId="2" fontId="9" numFmtId="165" xfId="0" applyAlignment="1" applyBorder="1" applyFont="1" applyNumberFormat="1">
      <alignment horizontal="right" vertical="center"/>
    </xf>
    <xf borderId="64" fillId="2" fontId="12" numFmtId="165" xfId="0" applyAlignment="1" applyBorder="1" applyFont="1" applyNumberFormat="1">
      <alignment horizontal="right" vertical="center"/>
    </xf>
    <xf borderId="4" fillId="2" fontId="12" numFmtId="165" xfId="0" applyAlignment="1" applyBorder="1" applyFont="1" applyNumberFormat="1">
      <alignment horizontal="right" vertical="center"/>
    </xf>
    <xf borderId="0" fillId="0" fontId="12" numFmtId="0" xfId="0" applyAlignment="1" applyFont="1">
      <alignment horizontal="right"/>
    </xf>
    <xf borderId="0" fillId="0" fontId="9" numFmtId="165" xfId="0" applyFont="1" applyNumberFormat="1"/>
    <xf borderId="0" fillId="0" fontId="110" numFmtId="0" xfId="0" applyAlignment="1" applyFont="1">
      <alignment vertical="center"/>
    </xf>
    <xf borderId="0" fillId="0" fontId="111" numFmtId="0" xfId="0" applyAlignment="1" applyFont="1">
      <alignment vertical="center"/>
    </xf>
    <xf borderId="0" fillId="0" fontId="112" numFmtId="0" xfId="0" applyAlignment="1" applyFont="1">
      <alignment vertical="center"/>
    </xf>
    <xf borderId="0" fillId="0" fontId="113" numFmtId="0" xfId="0" applyAlignment="1" applyFont="1">
      <alignment vertical="center"/>
    </xf>
    <xf borderId="0" fillId="0" fontId="114" numFmtId="0" xfId="0" applyAlignment="1" applyFont="1">
      <alignment vertical="center"/>
    </xf>
    <xf borderId="1" fillId="8" fontId="114" numFmtId="0" xfId="0" applyAlignment="1" applyBorder="1" applyFont="1">
      <alignment vertical="center"/>
    </xf>
    <xf borderId="107" fillId="0" fontId="2" numFmtId="0" xfId="0" applyAlignment="1" applyBorder="1" applyFont="1">
      <alignment vertical="center"/>
    </xf>
    <xf borderId="0" fillId="0" fontId="115" numFmtId="0" xfId="0" applyAlignment="1" applyFont="1">
      <alignment vertical="center"/>
    </xf>
    <xf borderId="0" fillId="0" fontId="74" numFmtId="0" xfId="0" applyAlignment="1" applyFont="1">
      <alignment vertical="center"/>
    </xf>
    <xf borderId="1" fillId="11" fontId="2" numFmtId="0" xfId="0" applyAlignment="1" applyBorder="1" applyFont="1">
      <alignment vertical="center"/>
    </xf>
    <xf borderId="1" fillId="3" fontId="1" numFmtId="166" xfId="0" applyAlignment="1" applyBorder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vertical="center"/>
    </xf>
    <xf borderId="0" fillId="0" fontId="53" numFmtId="0" xfId="0" applyAlignment="1" applyFont="1">
      <alignment vertical="center"/>
    </xf>
    <xf borderId="0" fillId="0" fontId="55" numFmtId="0" xfId="0" applyAlignment="1" applyFont="1">
      <alignment vertical="center"/>
    </xf>
    <xf borderId="1" fillId="3" fontId="1" numFmtId="164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1" numFmtId="10" xfId="0" applyAlignment="1" applyBorder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116" numFmtId="0" xfId="0" applyAlignment="1" applyFont="1">
      <alignment vertical="center"/>
    </xf>
    <xf borderId="1" fillId="3" fontId="1" numFmtId="167" xfId="0" applyAlignment="1" applyBorder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11" fontId="1" numFmtId="4" xfId="0" applyAlignment="1" applyBorder="1" applyFont="1" applyNumberFormat="1">
      <alignment horizontal="center" readingOrder="0" vertical="center"/>
    </xf>
    <xf borderId="1" fillId="11" fontId="2" numFmtId="3" xfId="0" applyAlignment="1" applyBorder="1" applyFont="1" applyNumberFormat="1">
      <alignment horizontal="center" vertical="center"/>
    </xf>
    <xf borderId="1" fillId="11" fontId="2" numFmtId="177" xfId="0" applyAlignment="1" applyBorder="1" applyFont="1" applyNumberFormat="1">
      <alignment horizontal="center" vertical="center"/>
    </xf>
    <xf borderId="29" fillId="2" fontId="2" numFmtId="0" xfId="0" applyAlignment="1" applyBorder="1" applyFont="1">
      <alignment vertical="center"/>
    </xf>
    <xf borderId="55" fillId="2" fontId="9" numFmtId="0" xfId="0" applyAlignment="1" applyBorder="1" applyFont="1">
      <alignment horizontal="right" shrinkToFit="0" vertical="center" wrapText="1"/>
    </xf>
    <xf borderId="10" fillId="2" fontId="9" numFmtId="0" xfId="0" applyAlignment="1" applyBorder="1" applyFont="1">
      <alignment horizontal="right" shrinkToFit="0" vertical="center" wrapText="1"/>
    </xf>
    <xf borderId="14" fillId="2" fontId="55" numFmtId="0" xfId="0" applyAlignment="1" applyBorder="1" applyFont="1">
      <alignment vertical="center"/>
    </xf>
    <xf borderId="50" fillId="2" fontId="9" numFmtId="167" xfId="0" applyAlignment="1" applyBorder="1" applyFont="1" applyNumberFormat="1">
      <alignment vertical="center"/>
    </xf>
    <xf borderId="1" fillId="2" fontId="9" numFmtId="167" xfId="0" applyAlignment="1" applyBorder="1" applyFont="1" applyNumberFormat="1">
      <alignment vertical="center"/>
    </xf>
    <xf borderId="1" fillId="2" fontId="2" numFmtId="167" xfId="0" applyAlignment="1" applyBorder="1" applyFont="1" applyNumberFormat="1">
      <alignment shrinkToFit="0" vertical="center" wrapText="1"/>
    </xf>
    <xf borderId="0" fillId="0" fontId="2" numFmtId="1" xfId="0" applyAlignment="1" applyFont="1" applyNumberFormat="1">
      <alignment vertical="center"/>
    </xf>
    <xf borderId="10" fillId="2" fontId="2" numFmtId="0" xfId="0" applyAlignment="1" applyBorder="1" applyFont="1">
      <alignment horizontal="center" shrinkToFit="0" vertical="center" wrapText="1"/>
    </xf>
    <xf borderId="55" fillId="2" fontId="2" numFmtId="0" xfId="0" applyAlignment="1" applyBorder="1" applyFont="1">
      <alignment horizontal="center" shrinkToFit="0" vertical="center" wrapText="1"/>
    </xf>
    <xf borderId="55" fillId="2" fontId="2" numFmtId="1" xfId="0" applyAlignment="1" applyBorder="1" applyFont="1" applyNumberFormat="1">
      <alignment horizontal="center" shrinkToFit="0" vertical="center" wrapText="1"/>
    </xf>
    <xf borderId="57" fillId="2" fontId="2" numFmtId="1" xfId="0" applyAlignment="1" applyBorder="1" applyFont="1" applyNumberFormat="1">
      <alignment horizontal="center" shrinkToFit="0" vertical="center" wrapText="1"/>
    </xf>
    <xf borderId="69" fillId="0" fontId="2" numFmtId="164" xfId="0" applyAlignment="1" applyBorder="1" applyFont="1" applyNumberFormat="1">
      <alignment horizontal="center" vertical="center"/>
    </xf>
    <xf borderId="69" fillId="0" fontId="2" numFmtId="0" xfId="0" applyAlignment="1" applyBorder="1" applyFont="1">
      <alignment horizontal="center" vertical="center"/>
    </xf>
    <xf borderId="69" fillId="0" fontId="2" numFmtId="1" xfId="0" applyAlignment="1" applyBorder="1" applyFont="1" applyNumberFormat="1">
      <alignment horizontal="center" vertical="center"/>
    </xf>
    <xf borderId="19" fillId="0" fontId="2" numFmtId="1" xfId="0" applyAlignment="1" applyBorder="1" applyFont="1" applyNumberFormat="1">
      <alignment horizontal="center" vertical="center"/>
    </xf>
    <xf borderId="0" fillId="0" fontId="117" numFmtId="0" xfId="0" applyAlignment="1" applyFont="1">
      <alignment vertical="center"/>
    </xf>
    <xf borderId="1" fillId="3" fontId="1" numFmtId="166" xfId="0" applyAlignment="1" applyBorder="1" applyFont="1" applyNumberForma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" fillId="3" fontId="1" numFmtId="167" xfId="0" applyAlignment="1" applyBorder="1" applyFont="1" applyNumberFormat="1">
      <alignment horizontal="center" vertical="center"/>
    </xf>
    <xf borderId="0" fillId="0" fontId="27" numFmtId="0" xfId="0" applyAlignment="1" applyFont="1">
      <alignment vertical="center"/>
    </xf>
    <xf borderId="10" fillId="8" fontId="18" numFmtId="0" xfId="0" applyAlignment="1" applyBorder="1" applyFont="1">
      <alignment horizontal="left" vertical="center"/>
    </xf>
    <xf borderId="10" fillId="8" fontId="114" numFmtId="0" xfId="0" applyAlignment="1" applyBorder="1" applyFont="1">
      <alignment vertical="center"/>
    </xf>
    <xf borderId="0" fillId="0" fontId="82" numFmtId="0" xfId="0" applyAlignment="1" applyFont="1">
      <alignment vertical="center"/>
    </xf>
    <xf borderId="1" fillId="2" fontId="118" numFmtId="0" xfId="0" applyAlignment="1" applyBorder="1" applyFont="1">
      <alignment vertical="center"/>
    </xf>
    <xf borderId="10" fillId="4" fontId="119" numFmtId="165" xfId="0" applyAlignment="1" applyBorder="1" applyFont="1" applyNumberFormat="1">
      <alignment horizontal="left" vertical="center"/>
    </xf>
    <xf borderId="12" fillId="0" fontId="2" numFmtId="0" xfId="0" applyAlignment="1" applyBorder="1" applyFont="1">
      <alignment vertical="center"/>
    </xf>
    <xf borderId="15" fillId="2" fontId="42" numFmtId="0" xfId="0" applyAlignment="1" applyBorder="1" applyFont="1">
      <alignment horizontal="center" vertical="center"/>
    </xf>
    <xf quotePrefix="1" borderId="1" fillId="2" fontId="2" numFmtId="0" xfId="0" applyAlignment="1" applyBorder="1" applyFont="1">
      <alignment vertical="center"/>
    </xf>
    <xf borderId="57" fillId="2" fontId="51" numFmtId="176" xfId="0" applyAlignment="1" applyBorder="1" applyFont="1" applyNumberFormat="1">
      <alignment horizontal="right" vertical="center"/>
    </xf>
    <xf borderId="57" fillId="3" fontId="25" numFmtId="176" xfId="0" applyAlignment="1" applyBorder="1" applyFont="1" applyNumberFormat="1">
      <alignment horizontal="right" vertical="center"/>
    </xf>
    <xf borderId="24" fillId="0" fontId="51" numFmtId="0" xfId="0" applyAlignment="1" applyBorder="1" applyFont="1">
      <alignment horizontal="right" vertical="center"/>
    </xf>
    <xf borderId="58" fillId="2" fontId="51" numFmtId="176" xfId="0" applyAlignment="1" applyBorder="1" applyFont="1" applyNumberFormat="1">
      <alignment horizontal="right" vertical="center"/>
    </xf>
    <xf borderId="58" fillId="3" fontId="53" numFmtId="176" xfId="0" applyAlignment="1" applyBorder="1" applyFont="1" applyNumberFormat="1">
      <alignment horizontal="right" vertical="center"/>
    </xf>
    <xf borderId="1" fillId="2" fontId="10" numFmtId="176" xfId="0" applyAlignment="1" applyBorder="1" applyFont="1" applyNumberFormat="1">
      <alignment horizontal="center" vertical="center"/>
    </xf>
    <xf borderId="77" fillId="2" fontId="12" numFmtId="165" xfId="0" applyAlignment="1" applyBorder="1" applyFont="1" applyNumberFormat="1">
      <alignment horizontal="right" vertical="center"/>
    </xf>
    <xf borderId="77" fillId="2" fontId="12" numFmtId="165" xfId="0" applyAlignment="1" applyBorder="1" applyFont="1" applyNumberFormat="1">
      <alignment vertical="center"/>
    </xf>
    <xf borderId="0" fillId="0" fontId="120" numFmtId="0" xfId="0" applyAlignment="1" applyFont="1">
      <alignment vertical="center"/>
    </xf>
    <xf borderId="57" fillId="2" fontId="55" numFmtId="176" xfId="0" applyAlignment="1" applyBorder="1" applyFont="1" applyNumberFormat="1">
      <alignment horizontal="right" vertical="center"/>
    </xf>
    <xf borderId="0" fillId="0" fontId="1" numFmtId="0" xfId="0" applyAlignment="1" applyFont="1">
      <alignment vertical="center"/>
    </xf>
    <xf quotePrefix="1" borderId="40" fillId="2" fontId="2" numFmtId="0" xfId="0" applyAlignment="1" applyBorder="1" applyFont="1">
      <alignment vertical="center"/>
    </xf>
    <xf borderId="39" fillId="2" fontId="2" numFmtId="165" xfId="0" applyAlignment="1" applyBorder="1" applyFont="1" applyNumberFormat="1">
      <alignment horizontal="right" vertical="center"/>
    </xf>
    <xf borderId="3" fillId="2" fontId="53" numFmtId="0" xfId="0" applyAlignment="1" applyBorder="1" applyFont="1">
      <alignment horizontal="right" vertical="center"/>
    </xf>
    <xf borderId="58" fillId="3" fontId="25" numFmtId="176" xfId="0" applyAlignment="1" applyBorder="1" applyFont="1" applyNumberFormat="1">
      <alignment horizontal="right" vertical="center"/>
    </xf>
    <xf borderId="58" fillId="3" fontId="55" numFmtId="176" xfId="0" applyAlignment="1" applyBorder="1" applyFont="1" applyNumberFormat="1">
      <alignment horizontal="right" vertical="center"/>
    </xf>
    <xf borderId="33" fillId="2" fontId="12" numFmtId="165" xfId="0" applyAlignment="1" applyBorder="1" applyFont="1" applyNumberFormat="1">
      <alignment horizontal="left" vertical="center"/>
    </xf>
    <xf borderId="33" fillId="2" fontId="12" numFmtId="165" xfId="0" applyAlignment="1" applyBorder="1" applyFont="1" applyNumberFormat="1">
      <alignment horizontal="right" vertical="center"/>
    </xf>
    <xf borderId="2" fillId="7" fontId="12" numFmtId="165" xfId="0" applyAlignment="1" applyBorder="1" applyFont="1" applyNumberFormat="1">
      <alignment horizontal="left" vertical="center"/>
    </xf>
    <xf borderId="2" fillId="7" fontId="12" numFmtId="165" xfId="0" applyAlignment="1" applyBorder="1" applyFont="1" applyNumberFormat="1">
      <alignment horizontal="right" vertical="center"/>
    </xf>
    <xf borderId="28" fillId="2" fontId="12" numFmtId="165" xfId="0" applyAlignment="1" applyBorder="1" applyFont="1" applyNumberFormat="1">
      <alignment vertical="center"/>
    </xf>
    <xf borderId="37" fillId="2" fontId="12" numFmtId="165" xfId="0" applyAlignment="1" applyBorder="1" applyFont="1" applyNumberFormat="1">
      <alignment vertical="center"/>
    </xf>
    <xf borderId="37" fillId="2" fontId="12" numFmtId="165" xfId="0" applyAlignment="1" applyBorder="1" applyFont="1" applyNumberFormat="1">
      <alignment horizontal="right" vertical="center"/>
    </xf>
    <xf borderId="1" fillId="3" fontId="1" numFmtId="178" xfId="0" applyAlignment="1" applyBorder="1" applyFont="1" applyNumberFormat="1">
      <alignment horizontal="center" vertical="center"/>
    </xf>
    <xf borderId="1" fillId="3" fontId="25" numFmtId="179" xfId="0" applyAlignment="1" applyBorder="1" applyFont="1" applyNumberFormat="1">
      <alignment horizontal="center" vertical="center"/>
    </xf>
    <xf borderId="1" fillId="2" fontId="121" numFmtId="0" xfId="0" applyAlignment="1" applyBorder="1" applyFont="1">
      <alignment horizontal="center" vertical="center"/>
    </xf>
    <xf borderId="1" fillId="3" fontId="25" numFmtId="9" xfId="0" applyAlignment="1" applyBorder="1" applyFont="1" applyNumberFormat="1">
      <alignment horizontal="center" vertical="center"/>
    </xf>
    <xf borderId="1" fillId="2" fontId="10" numFmtId="2" xfId="0" applyAlignment="1" applyBorder="1" applyFont="1" applyNumberFormat="1">
      <alignment horizontal="center" vertical="center"/>
    </xf>
    <xf borderId="1" fillId="3" fontId="55" numFmtId="9" xfId="0" applyAlignment="1" applyBorder="1" applyFont="1" applyNumberFormat="1">
      <alignment horizontal="center" vertical="center"/>
    </xf>
    <xf borderId="1" fillId="2" fontId="10" numFmtId="180" xfId="0" applyAlignment="1" applyBorder="1" applyFont="1" applyNumberFormat="1">
      <alignment vertical="center"/>
    </xf>
    <xf borderId="1" fillId="3" fontId="25" numFmtId="0" xfId="0" applyAlignment="1" applyBorder="1" applyFont="1">
      <alignment horizontal="center" vertical="center"/>
    </xf>
    <xf borderId="1" fillId="2" fontId="2" numFmtId="1" xfId="0" applyAlignment="1" applyBorder="1" applyFont="1" applyNumberFormat="1">
      <alignment horizontal="center" vertical="center"/>
    </xf>
    <xf borderId="39" fillId="2" fontId="2" numFmtId="180" xfId="0" applyAlignment="1" applyBorder="1" applyFont="1" applyNumberFormat="1">
      <alignment horizontal="right" vertical="center"/>
    </xf>
    <xf borderId="1" fillId="2" fontId="2" numFmtId="9" xfId="0" applyAlignment="1" applyBorder="1" applyFont="1" applyNumberFormat="1">
      <alignment horizontal="right" vertical="center"/>
    </xf>
    <xf borderId="1" fillId="2" fontId="74" numFmtId="0" xfId="0" applyAlignment="1" applyBorder="1" applyFont="1">
      <alignment horizontal="left" vertical="center"/>
    </xf>
    <xf borderId="34" fillId="2" fontId="10" numFmtId="0" xfId="0" applyAlignment="1" applyBorder="1" applyFont="1">
      <alignment vertical="center"/>
    </xf>
    <xf borderId="34" fillId="2" fontId="48" numFmtId="165" xfId="0" applyAlignment="1" applyBorder="1" applyFont="1" applyNumberFormat="1">
      <alignment horizontal="left" vertical="center"/>
    </xf>
    <xf borderId="10" fillId="2" fontId="74" numFmtId="0" xfId="0" applyAlignment="1" applyBorder="1" applyFont="1">
      <alignment horizontal="left" vertical="center"/>
    </xf>
    <xf borderId="57" fillId="2" fontId="74" numFmtId="180" xfId="0" applyAlignment="1" applyBorder="1" applyFont="1" applyNumberFormat="1">
      <alignment horizontal="right" vertical="center"/>
    </xf>
    <xf borderId="6" fillId="2" fontId="9" numFmtId="0" xfId="0" applyAlignment="1" applyBorder="1" applyFont="1">
      <alignment horizontal="center" vertical="center"/>
    </xf>
    <xf borderId="40" fillId="2" fontId="2" numFmtId="0" xfId="0" applyAlignment="1" applyBorder="1" applyFont="1">
      <alignment vertical="center"/>
    </xf>
    <xf borderId="1" fillId="2" fontId="74" numFmtId="0" xfId="0" applyAlignment="1" applyBorder="1" applyFont="1">
      <alignment vertical="center"/>
    </xf>
    <xf borderId="1" fillId="7" fontId="2" numFmtId="179" xfId="0" applyAlignment="1" applyBorder="1" applyFont="1" applyNumberFormat="1">
      <alignment horizontal="center" vertical="center"/>
    </xf>
    <xf borderId="103" fillId="2" fontId="74" numFmtId="0" xfId="0" applyAlignment="1" applyBorder="1" applyFont="1">
      <alignment vertical="center"/>
    </xf>
    <xf borderId="123" fillId="2" fontId="74" numFmtId="180" xfId="0" applyAlignment="1" applyBorder="1" applyFont="1" applyNumberFormat="1">
      <alignment horizontal="right" vertical="center"/>
    </xf>
    <xf borderId="1" fillId="2" fontId="10" numFmtId="0" xfId="0" applyAlignment="1" applyBorder="1" applyFont="1">
      <alignment shrinkToFit="0" vertical="center" wrapText="1"/>
    </xf>
    <xf borderId="1" fillId="2" fontId="2" numFmtId="3" xfId="0" applyAlignment="1" applyBorder="1" applyFont="1" applyNumberFormat="1">
      <alignment vertical="center"/>
    </xf>
    <xf borderId="1" fillId="3" fontId="2" numFmtId="9" xfId="0" applyAlignment="1" applyBorder="1" applyFont="1" applyNumberFormat="1">
      <alignment horizontal="center" vertical="center"/>
    </xf>
    <xf borderId="1" fillId="3" fontId="2" numFmtId="9" xfId="0" applyAlignment="1" applyBorder="1" applyFont="1" applyNumberFormat="1">
      <alignment horizontal="center" shrinkToFit="0" vertical="center" wrapText="1"/>
    </xf>
    <xf borderId="14" fillId="2" fontId="2" numFmtId="0" xfId="0" applyAlignment="1" applyBorder="1" applyFont="1">
      <alignment vertical="center"/>
    </xf>
    <xf borderId="1" fillId="7" fontId="2" numFmtId="0" xfId="0" applyAlignment="1" applyBorder="1" applyFont="1">
      <alignment horizontal="center" vertical="center"/>
    </xf>
    <xf borderId="1" fillId="2" fontId="2" numFmtId="180" xfId="0" applyAlignment="1" applyBorder="1" applyFont="1" applyNumberFormat="1">
      <alignment horizontal="center" vertical="center"/>
    </xf>
    <xf borderId="10" fillId="2" fontId="74" numFmtId="0" xfId="0" applyAlignment="1" applyBorder="1" applyFont="1">
      <alignment vertical="center"/>
    </xf>
    <xf borderId="1" fillId="2" fontId="1" numFmtId="180" xfId="0" applyAlignment="1" applyBorder="1" applyFont="1" applyNumberFormat="1">
      <alignment horizontal="center" vertical="center"/>
    </xf>
    <xf borderId="1" fillId="7" fontId="80" numFmtId="180" xfId="0" applyAlignment="1" applyBorder="1" applyFont="1" applyNumberFormat="1">
      <alignment horizontal="center" vertical="center"/>
    </xf>
    <xf borderId="124" fillId="2" fontId="2" numFmtId="0" xfId="0" applyAlignment="1" applyBorder="1" applyFont="1">
      <alignment vertical="center"/>
    </xf>
    <xf borderId="3" fillId="2" fontId="2" numFmtId="180" xfId="0" applyAlignment="1" applyBorder="1" applyFont="1" applyNumberFormat="1">
      <alignment horizontal="right" vertical="center"/>
    </xf>
    <xf borderId="120" fillId="2" fontId="2" numFmtId="9" xfId="0" applyAlignment="1" applyBorder="1" applyFont="1" applyNumberFormat="1">
      <alignment horizontal="right" vertical="center"/>
    </xf>
    <xf borderId="1" fillId="7" fontId="9" numFmtId="181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vertical="center"/>
    </xf>
    <xf borderId="4" fillId="2" fontId="9" numFmtId="180" xfId="0" applyAlignment="1" applyBorder="1" applyFont="1" applyNumberFormat="1">
      <alignment horizontal="right" vertical="center"/>
    </xf>
    <xf borderId="4" fillId="2" fontId="9" numFmtId="9" xfId="0" applyAlignment="1" applyBorder="1" applyFont="1" applyNumberFormat="1">
      <alignment horizontal="right" vertical="center"/>
    </xf>
    <xf borderId="1" fillId="2" fontId="2" numFmtId="181" xfId="0" applyAlignment="1" applyBorder="1" applyFont="1" applyNumberFormat="1">
      <alignment horizontal="right" vertical="center"/>
    </xf>
    <xf borderId="10" fillId="2" fontId="10" numFmtId="0" xfId="0" applyAlignment="1" applyBorder="1" applyFont="1">
      <alignment vertical="center"/>
    </xf>
    <xf borderId="10" fillId="2" fontId="48" numFmtId="165" xfId="0" applyAlignment="1" applyBorder="1" applyFont="1" applyNumberFormat="1">
      <alignment horizontal="left" vertical="center"/>
    </xf>
    <xf borderId="1" fillId="2" fontId="55" numFmtId="0" xfId="0" applyAlignment="1" applyBorder="1" applyFont="1">
      <alignment horizontal="left" vertical="center"/>
    </xf>
    <xf borderId="3" fillId="2" fontId="55" numFmtId="0" xfId="0" applyAlignment="1" applyBorder="1" applyFont="1">
      <alignment horizontal="left" vertical="center"/>
    </xf>
    <xf borderId="3" fillId="2" fontId="2" numFmtId="181" xfId="0" applyAlignment="1" applyBorder="1" applyFont="1" applyNumberFormat="1">
      <alignment horizontal="right" vertical="center"/>
    </xf>
    <xf borderId="1" fillId="2" fontId="9" numFmtId="0" xfId="0" applyAlignment="1" applyBorder="1" applyFont="1">
      <alignment horizontal="right" vertical="center"/>
    </xf>
    <xf borderId="1" fillId="2" fontId="10" numFmtId="177" xfId="0" applyAlignment="1" applyBorder="1" applyFont="1" applyNumberFormat="1">
      <alignment vertical="center"/>
    </xf>
    <xf borderId="10" fillId="2" fontId="9" numFmtId="0" xfId="0" applyAlignment="1" applyBorder="1" applyFont="1">
      <alignment vertical="center"/>
    </xf>
    <xf borderId="10" fillId="2" fontId="9" numFmtId="180" xfId="0" applyAlignment="1" applyBorder="1" applyFont="1" applyNumberFormat="1">
      <alignment horizontal="right" vertical="center"/>
    </xf>
    <xf borderId="1" fillId="21" fontId="2" numFmtId="9" xfId="0" applyAlignment="1" applyBorder="1" applyFill="1" applyFont="1" applyNumberFormat="1">
      <alignment horizontal="center" vertical="center"/>
    </xf>
    <xf borderId="1" fillId="21" fontId="2" numFmtId="9" xfId="0" applyAlignment="1" applyBorder="1" applyFont="1" applyNumberFormat="1">
      <alignment horizontal="center" shrinkToFit="0" vertical="center" wrapText="1"/>
    </xf>
    <xf borderId="1" fillId="2" fontId="55" numFmtId="0" xfId="0" applyAlignment="1" applyBorder="1" applyFont="1">
      <alignment horizontal="right" vertical="center"/>
    </xf>
    <xf borderId="1" fillId="7" fontId="9" numFmtId="180" xfId="0" applyAlignment="1" applyBorder="1" applyFont="1" applyNumberFormat="1">
      <alignment horizontal="center" vertical="center"/>
    </xf>
    <xf borderId="1" fillId="3" fontId="1" numFmtId="181" xfId="0" applyAlignment="1" applyBorder="1" applyFont="1" applyNumberFormat="1">
      <alignment horizontal="right" vertical="center"/>
    </xf>
    <xf borderId="1" fillId="3" fontId="2" numFmtId="9" xfId="0" applyAlignment="1" applyBorder="1" applyFont="1" applyNumberFormat="1">
      <alignment horizontal="right" vertical="center"/>
    </xf>
    <xf borderId="10" fillId="2" fontId="2" numFmtId="0" xfId="0" applyAlignment="1" applyBorder="1" applyFont="1">
      <alignment vertical="center"/>
    </xf>
    <xf borderId="10" fillId="2" fontId="2" numFmtId="0" xfId="0" applyAlignment="1" applyBorder="1" applyFont="1">
      <alignment horizontal="right" vertical="center"/>
    </xf>
    <xf borderId="10" fillId="2" fontId="9" numFmtId="179" xfId="0" applyAlignment="1" applyBorder="1" applyFont="1" applyNumberFormat="1">
      <alignment horizontal="right" vertical="center"/>
    </xf>
    <xf borderId="10" fillId="2" fontId="9" numFmtId="176" xfId="0" applyAlignment="1" applyBorder="1" applyFont="1" applyNumberFormat="1">
      <alignment horizontal="right" vertical="center"/>
    </xf>
    <xf borderId="10" fillId="2" fontId="74" numFmtId="0" xfId="0" applyAlignment="1" applyBorder="1" applyFont="1">
      <alignment horizontal="right" vertical="center"/>
    </xf>
    <xf borderId="10" fillId="2" fontId="74" numFmtId="176" xfId="0" applyAlignment="1" applyBorder="1" applyFont="1" applyNumberFormat="1">
      <alignment horizontal="right" vertical="center"/>
    </xf>
    <xf borderId="1" fillId="2" fontId="10" numFmtId="0" xfId="0" applyAlignment="1" applyBorder="1" applyFont="1">
      <alignment horizontal="left" vertical="center"/>
    </xf>
    <xf borderId="1" fillId="2" fontId="12" numFmtId="0" xfId="0" applyAlignment="1" applyBorder="1" applyFont="1">
      <alignment shrinkToFit="0" vertical="center" wrapText="1"/>
    </xf>
    <xf borderId="1" fillId="2" fontId="10" numFmtId="180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horizontal="center" vertical="center"/>
    </xf>
    <xf borderId="1" fillId="2" fontId="10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theme="4"/>
          <bgColor theme="4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26670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1</xdr:row>
      <xdr:rowOff>0</xdr:rowOff>
    </xdr:from>
    <xdr:ext cx="26670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1</xdr:row>
      <xdr:rowOff>0</xdr:rowOff>
    </xdr:from>
    <xdr:ext cx="3143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0</xdr:colOff>
      <xdr:row>1</xdr:row>
      <xdr:rowOff>0</xdr:rowOff>
    </xdr:from>
    <xdr:ext cx="3143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0</xdr:colOff>
      <xdr:row>1</xdr:row>
      <xdr:rowOff>0</xdr:rowOff>
    </xdr:from>
    <xdr:ext cx="3143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266700</xdr:colOff>
      <xdr:row>1</xdr:row>
      <xdr:rowOff>47625</xdr:rowOff>
    </xdr:from>
    <xdr:ext cx="26670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1</xdr:row>
      <xdr:rowOff>0</xdr:rowOff>
    </xdr:from>
    <xdr:ext cx="3143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3143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64646"/>
      </a:dk1>
      <a:lt1>
        <a:srgbClr val="FFFFFF"/>
      </a:lt1>
      <a:dk2>
        <a:srgbClr val="464646"/>
      </a:dk2>
      <a:lt2>
        <a:srgbClr val="FFFFFF"/>
      </a:lt2>
      <a:accent1>
        <a:srgbClr val="FF4C40"/>
      </a:accent1>
      <a:accent2>
        <a:srgbClr val="97C8C3"/>
      </a:accent2>
      <a:accent3>
        <a:srgbClr val="C8C0A8"/>
      </a:accent3>
      <a:accent4>
        <a:srgbClr val="00B0F0"/>
      </a:accent4>
      <a:accent5>
        <a:srgbClr val="C0DDDA"/>
      </a:accent5>
      <a:accent6>
        <a:srgbClr val="F8F7F4"/>
      </a:accent6>
      <a:hlink>
        <a:srgbClr val="FF4C40"/>
      </a:hlink>
      <a:folHlink>
        <a:srgbClr val="FF4C4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6.88"/>
    <col customWidth="1" min="3" max="7" width="10.88"/>
    <col customWidth="1" min="8" max="8" width="34.13"/>
    <col customWidth="1" min="9" max="13" width="10.88"/>
    <col customWidth="1" min="14" max="14" width="11.38"/>
    <col customWidth="1" min="15" max="19" width="10.88"/>
    <col customWidth="1" min="20" max="26" width="10.75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2"/>
      <c r="B2" s="2"/>
      <c r="C2" s="2"/>
      <c r="D2" s="2"/>
      <c r="E2" s="2"/>
      <c r="F2" s="2"/>
      <c r="G2" s="3"/>
      <c r="H2" s="4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2"/>
      <c r="B3" s="2"/>
      <c r="C3" s="2"/>
      <c r="D3" s="2"/>
      <c r="E3" s="2"/>
      <c r="F3" s="2"/>
      <c r="G3" s="3"/>
      <c r="H3" s="4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3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2"/>
      <c r="B5" s="2"/>
      <c r="C5" s="2"/>
      <c r="D5" s="2"/>
      <c r="E5" s="2"/>
      <c r="F5" s="2"/>
      <c r="G5" s="3"/>
      <c r="H5" s="6"/>
      <c r="I5" s="2"/>
      <c r="J5" s="2"/>
      <c r="K5" s="2"/>
      <c r="L5" s="2"/>
      <c r="M5" s="2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1">
      <c r="A7" s="8"/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2"/>
      <c r="B8" s="3"/>
      <c r="C8" s="9"/>
      <c r="D8" s="9"/>
      <c r="E8" s="9"/>
      <c r="F8" s="9"/>
      <c r="G8" s="9"/>
      <c r="H8" s="9"/>
      <c r="I8" s="9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9"/>
      <c r="C9" s="9" t="s">
        <v>4</v>
      </c>
      <c r="D9" s="9"/>
      <c r="E9" s="9"/>
      <c r="F9" s="9"/>
      <c r="G9" s="9"/>
      <c r="H9" s="9"/>
      <c r="I9" s="9"/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9"/>
      <c r="C10" s="10" t="s">
        <v>5</v>
      </c>
      <c r="D10" s="9"/>
      <c r="E10" s="9"/>
      <c r="F10" s="9"/>
      <c r="G10" s="9"/>
      <c r="H10" s="9"/>
      <c r="I10" s="9"/>
      <c r="J10" s="9"/>
      <c r="K10" s="2"/>
      <c r="L10" s="2"/>
      <c r="M10" s="2"/>
      <c r="N10" s="2"/>
      <c r="O10" s="2"/>
      <c r="P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9"/>
      <c r="C11" s="10" t="s">
        <v>6</v>
      </c>
      <c r="D11" s="9"/>
      <c r="E11" s="9"/>
      <c r="F11" s="9"/>
      <c r="G11" s="9"/>
      <c r="H11" s="9"/>
      <c r="I11" s="9"/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9"/>
      <c r="C12" s="10" t="s">
        <v>7</v>
      </c>
      <c r="D12" s="9"/>
      <c r="E12" s="9"/>
      <c r="F12" s="9"/>
      <c r="G12" s="9"/>
      <c r="H12" s="9"/>
      <c r="I12" s="9"/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9"/>
      <c r="C13" s="10" t="s">
        <v>8</v>
      </c>
      <c r="D13" s="9"/>
      <c r="E13" s="9"/>
      <c r="F13" s="9"/>
      <c r="G13" s="9"/>
      <c r="H13" s="9"/>
      <c r="I13" s="9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9"/>
      <c r="C14" s="9"/>
      <c r="D14" s="9"/>
      <c r="E14" s="9"/>
      <c r="F14" s="9"/>
      <c r="G14" s="9"/>
      <c r="H14" s="9"/>
      <c r="I14" s="9"/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2"/>
      <c r="B15" s="2"/>
      <c r="C15" s="9" t="s">
        <v>9</v>
      </c>
      <c r="D15" s="9"/>
      <c r="E15" s="9"/>
      <c r="F15" s="9"/>
      <c r="G15" s="9"/>
      <c r="H15" s="9"/>
      <c r="I15" s="9"/>
      <c r="J15" s="9"/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9"/>
      <c r="D16" s="9"/>
      <c r="E16" s="9"/>
      <c r="F16" s="9"/>
      <c r="G16" s="9"/>
      <c r="H16" s="9"/>
      <c r="I16" s="9"/>
      <c r="J16" s="9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12"/>
      <c r="C17" s="10" t="s">
        <v>10</v>
      </c>
      <c r="D17" s="9"/>
      <c r="E17" s="9"/>
      <c r="F17" s="9"/>
      <c r="G17" s="9"/>
      <c r="H17" s="9"/>
      <c r="I17" s="9"/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13"/>
      <c r="C18" s="10" t="s">
        <v>11</v>
      </c>
      <c r="D18" s="9"/>
      <c r="E18" s="9"/>
      <c r="F18" s="9"/>
      <c r="G18" s="9"/>
      <c r="H18" s="9"/>
      <c r="I18" s="9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13"/>
      <c r="C19" s="10" t="s">
        <v>12</v>
      </c>
      <c r="D19" s="9"/>
      <c r="E19" s="9"/>
      <c r="F19" s="9"/>
      <c r="G19" s="9"/>
      <c r="H19" s="9"/>
      <c r="I19" s="9"/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13"/>
      <c r="C20" s="10" t="s">
        <v>13</v>
      </c>
      <c r="D20" s="9"/>
      <c r="E20" s="9"/>
      <c r="F20" s="9"/>
      <c r="G20" s="9"/>
      <c r="H20" s="9"/>
      <c r="I20" s="9"/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14"/>
      <c r="C21" s="10" t="s">
        <v>14</v>
      </c>
      <c r="D21" s="9"/>
      <c r="E21" s="9"/>
      <c r="F21" s="9"/>
      <c r="G21" s="9"/>
      <c r="H21" s="9"/>
      <c r="I21" s="9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14"/>
      <c r="C22" s="10" t="s">
        <v>15</v>
      </c>
      <c r="D22" s="9"/>
      <c r="E22" s="9"/>
      <c r="F22" s="9"/>
      <c r="G22" s="9"/>
      <c r="H22" s="9"/>
      <c r="I22" s="9"/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15"/>
      <c r="C23" s="10" t="s">
        <v>16</v>
      </c>
      <c r="D23" s="9"/>
      <c r="E23" s="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15"/>
      <c r="C24" s="10" t="s">
        <v>17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9"/>
      <c r="Q24" s="9"/>
      <c r="R24" s="9"/>
      <c r="S24" s="9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16"/>
      <c r="C25" s="10" t="s">
        <v>18</v>
      </c>
      <c r="D25" s="9"/>
      <c r="E25" s="9"/>
      <c r="F25" s="9"/>
      <c r="G25" s="9"/>
      <c r="H25" s="9"/>
      <c r="I25" s="9"/>
      <c r="J25" s="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16"/>
      <c r="C26" s="10" t="s">
        <v>19</v>
      </c>
      <c r="D26" s="9"/>
      <c r="E26" s="9"/>
      <c r="F26" s="9"/>
      <c r="G26" s="9"/>
      <c r="H26" s="9"/>
      <c r="I26" s="9"/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5"/>
      <c r="C27" s="10" t="s">
        <v>20</v>
      </c>
      <c r="D27" s="9"/>
      <c r="E27" s="9"/>
      <c r="F27" s="9"/>
      <c r="G27" s="9"/>
      <c r="H27" s="9"/>
      <c r="I27" s="9"/>
      <c r="J27" s="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7"/>
      <c r="C28" s="10" t="s">
        <v>21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10" t="s">
        <v>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10" t="s">
        <v>23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8.25" customHeight="1">
      <c r="A33" s="8"/>
      <c r="B33" s="8" t="s">
        <v>24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2"/>
      <c r="B34" s="9"/>
      <c r="C34" s="9"/>
      <c r="D34" s="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9"/>
      <c r="C35" s="9" t="s">
        <v>25</v>
      </c>
      <c r="D35" s="9"/>
      <c r="E35" s="11"/>
      <c r="F35" s="11"/>
      <c r="G35" s="11"/>
      <c r="H35" s="11"/>
      <c r="I35" s="11"/>
      <c r="J35" s="1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9"/>
      <c r="C36" s="10"/>
      <c r="D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9"/>
      <c r="C37" s="10" t="s">
        <v>26</v>
      </c>
      <c r="D37" s="10"/>
      <c r="E37" s="9"/>
      <c r="F37" s="9"/>
      <c r="G37" s="9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9"/>
      <c r="C38" s="10" t="s">
        <v>27</v>
      </c>
      <c r="D38" s="10"/>
      <c r="E38" s="9"/>
      <c r="F38" s="9"/>
      <c r="G38" s="9"/>
      <c r="H38" s="9"/>
      <c r="I38" s="18" t="s">
        <v>28</v>
      </c>
      <c r="J38" s="18" t="s">
        <v>29</v>
      </c>
      <c r="K38" s="2"/>
      <c r="L38" s="10" t="s">
        <v>30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9"/>
      <c r="C39" s="10"/>
      <c r="D39" s="10"/>
      <c r="E39" s="9"/>
      <c r="F39" s="9"/>
      <c r="G39" s="9"/>
      <c r="H39" s="9"/>
      <c r="I39" s="9"/>
      <c r="J39" s="9"/>
      <c r="K39" s="2"/>
      <c r="L39" s="10" t="s">
        <v>31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19"/>
      <c r="J40" s="1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0" t="s">
        <v>32</v>
      </c>
      <c r="D41" s="10"/>
      <c r="E41" s="9"/>
      <c r="F41" s="9"/>
      <c r="G41" s="9"/>
      <c r="H41" s="9"/>
      <c r="I41" s="20" t="s">
        <v>33</v>
      </c>
      <c r="J41" s="20" t="s">
        <v>34</v>
      </c>
      <c r="K41" s="9"/>
      <c r="L41" s="21" t="s">
        <v>35</v>
      </c>
      <c r="M41" s="22" t="s">
        <v>35</v>
      </c>
      <c r="N41" s="22" t="s">
        <v>35</v>
      </c>
      <c r="O41" s="9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10"/>
      <c r="D42" s="10"/>
      <c r="E42" s="9"/>
      <c r="F42" s="9"/>
      <c r="G42" s="9"/>
      <c r="H42" s="9"/>
      <c r="I42" s="23"/>
      <c r="J42" s="23"/>
      <c r="K42" s="9"/>
      <c r="L42" s="10"/>
      <c r="M42" s="9"/>
      <c r="N42" s="9"/>
      <c r="O42" s="9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10" t="s">
        <v>36</v>
      </c>
      <c r="D43" s="10"/>
      <c r="E43" s="9"/>
      <c r="F43" s="9"/>
      <c r="G43" s="9"/>
      <c r="H43" s="9"/>
      <c r="I43" s="24" t="s">
        <v>28</v>
      </c>
      <c r="J43" s="24" t="s">
        <v>29</v>
      </c>
      <c r="K43" s="9"/>
      <c r="L43" s="21" t="s">
        <v>35</v>
      </c>
      <c r="M43" s="22" t="s">
        <v>35</v>
      </c>
      <c r="N43" s="22" t="s">
        <v>35</v>
      </c>
      <c r="O43" s="9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10"/>
      <c r="D44" s="10"/>
      <c r="E44" s="9"/>
      <c r="F44" s="9"/>
      <c r="G44" s="9"/>
      <c r="H44" s="9"/>
      <c r="I44" s="25"/>
      <c r="J44" s="25"/>
      <c r="K44" s="9"/>
      <c r="L44" s="10"/>
      <c r="M44" s="9"/>
      <c r="N44" s="9"/>
      <c r="O44" s="9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10"/>
      <c r="D45" s="10"/>
      <c r="E45" s="9"/>
      <c r="F45" s="9"/>
      <c r="G45" s="9"/>
      <c r="H45" s="9"/>
      <c r="I45" s="9"/>
      <c r="J45" s="9"/>
      <c r="K45" s="9"/>
      <c r="L45" s="10"/>
      <c r="M45" s="9"/>
      <c r="N45" s="9"/>
      <c r="O45" s="9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10" t="s">
        <v>37</v>
      </c>
      <c r="D46" s="10"/>
      <c r="E46" s="9"/>
      <c r="F46" s="9"/>
      <c r="G46" s="9"/>
      <c r="H46" s="9"/>
      <c r="I46" s="26" t="s">
        <v>28</v>
      </c>
      <c r="J46" s="26" t="s">
        <v>28</v>
      </c>
      <c r="K46" s="9"/>
      <c r="L46" s="10" t="s">
        <v>38</v>
      </c>
      <c r="M46" s="9"/>
      <c r="N46" s="9"/>
      <c r="O46" s="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10"/>
      <c r="D47" s="10"/>
      <c r="E47" s="9"/>
      <c r="F47" s="9"/>
      <c r="G47" s="9"/>
      <c r="H47" s="9"/>
      <c r="I47" s="27"/>
      <c r="J47" s="27"/>
      <c r="K47" s="9"/>
      <c r="L47" s="10"/>
      <c r="M47" s="9"/>
      <c r="N47" s="9"/>
      <c r="O47" s="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10" t="s">
        <v>39</v>
      </c>
      <c r="D48" s="10"/>
      <c r="E48" s="9"/>
      <c r="F48" s="9"/>
      <c r="G48" s="9"/>
      <c r="H48" s="9"/>
      <c r="I48" s="9"/>
      <c r="J48" s="9"/>
      <c r="K48" s="9"/>
      <c r="L48" s="10"/>
      <c r="M48" s="9"/>
      <c r="N48" s="9"/>
      <c r="O48" s="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10" t="s">
        <v>40</v>
      </c>
      <c r="D49" s="10"/>
      <c r="E49" s="9"/>
      <c r="F49" s="9"/>
      <c r="G49" s="9"/>
      <c r="H49" s="9"/>
      <c r="I49" s="9"/>
      <c r="J49" s="9"/>
      <c r="K49" s="9"/>
      <c r="L49" s="10" t="s">
        <v>41</v>
      </c>
      <c r="M49" s="9"/>
      <c r="N49" s="9"/>
      <c r="O49" s="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10"/>
      <c r="D50" s="10"/>
      <c r="E50" s="9"/>
      <c r="F50" s="9"/>
      <c r="G50" s="9"/>
      <c r="H50" s="9"/>
      <c r="I50" s="9"/>
      <c r="J50" s="9"/>
      <c r="K50" s="9"/>
      <c r="L50" s="10"/>
      <c r="M50" s="9"/>
      <c r="N50" s="9"/>
      <c r="O50" s="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10" t="s">
        <v>42</v>
      </c>
      <c r="D51" s="10"/>
      <c r="E51" s="9"/>
      <c r="F51" s="9"/>
      <c r="G51" s="9"/>
      <c r="H51" s="9"/>
      <c r="I51" s="28">
        <v>0.0</v>
      </c>
      <c r="J51" s="28">
        <v>0.0</v>
      </c>
      <c r="K51" s="9"/>
      <c r="L51" s="10" t="s">
        <v>43</v>
      </c>
      <c r="M51" s="9"/>
      <c r="N51" s="9"/>
      <c r="O51" s="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10" t="s">
        <v>40</v>
      </c>
      <c r="D52" s="10"/>
      <c r="E52" s="9"/>
      <c r="F52" s="9"/>
      <c r="G52" s="9"/>
      <c r="H52" s="9"/>
      <c r="I52" s="2" t="s">
        <v>44</v>
      </c>
      <c r="J52" s="29">
        <v>0.0</v>
      </c>
      <c r="K52" s="9"/>
      <c r="L52" s="10" t="s">
        <v>45</v>
      </c>
      <c r="M52" s="9"/>
      <c r="N52" s="9"/>
      <c r="O52" s="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10"/>
      <c r="D53" s="10"/>
      <c r="E53" s="9"/>
      <c r="F53" s="9"/>
      <c r="G53" s="9"/>
      <c r="H53" s="9"/>
      <c r="I53" s="9"/>
      <c r="J53" s="9"/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10" t="s">
        <v>46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75" customHeight="1">
      <c r="A57" s="8"/>
      <c r="B57" s="8" t="s">
        <v>47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10" t="s">
        <v>48</v>
      </c>
      <c r="D59" s="9"/>
      <c r="E59" s="9"/>
      <c r="F59" s="9"/>
      <c r="G59" s="9"/>
      <c r="H59" s="9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10" t="s">
        <v>49</v>
      </c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10" t="s">
        <v>50</v>
      </c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10" t="s">
        <v>51</v>
      </c>
      <c r="D62" s="9"/>
      <c r="E62" s="9"/>
      <c r="F62" s="9"/>
      <c r="G62" s="9"/>
      <c r="H62" s="9"/>
      <c r="I62" s="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10"/>
      <c r="D63" s="9"/>
      <c r="E63" s="9"/>
      <c r="F63" s="9"/>
      <c r="G63" s="9"/>
      <c r="H63" s="9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3"/>
      <c r="C68" s="1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10"/>
      <c r="C69" s="1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3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3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3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3"/>
      <c r="C75" s="10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3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3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3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3"/>
      <c r="C79" s="30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3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251969" footer="0.0" header="0.0" left="0.787401575" right="0.787401575" top="0.98425196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6.38"/>
    <col customWidth="1" min="3" max="3" width="15.25"/>
    <col customWidth="1" min="4" max="4" width="4.38"/>
    <col customWidth="1" min="5" max="5" width="38.88"/>
    <col customWidth="1" min="6" max="6" width="14.75"/>
    <col customWidth="1" min="7" max="7" width="5.75"/>
    <col customWidth="1" min="8" max="8" width="35.63"/>
    <col customWidth="1" min="9" max="11" width="11.13"/>
    <col customWidth="1" min="12" max="12" width="10.88"/>
    <col customWidth="1" min="13" max="13" width="39.63"/>
    <col customWidth="1" min="14" max="25" width="10.88"/>
  </cols>
  <sheetData>
    <row r="1" ht="6.75" customHeight="1">
      <c r="A1" s="31"/>
      <c r="B1" s="32"/>
      <c r="C1" s="32"/>
      <c r="D1" s="32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ht="21.0" customHeight="1">
      <c r="A2" s="33"/>
      <c r="B2" s="34" t="s">
        <v>52</v>
      </c>
      <c r="C2" s="35"/>
      <c r="D2" s="36"/>
      <c r="E2" s="37"/>
      <c r="F2" s="38"/>
      <c r="G2" s="39"/>
      <c r="H2" s="39"/>
      <c r="I2" s="39"/>
      <c r="J2" s="39"/>
      <c r="K2" s="39"/>
      <c r="L2" s="39"/>
      <c r="M2" s="39"/>
      <c r="N2" s="40"/>
      <c r="O2" s="41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ht="6.75" customHeight="1">
      <c r="A3" s="2"/>
      <c r="B3" s="42"/>
      <c r="C3" s="43"/>
      <c r="D3" s="43"/>
      <c r="E3" s="2"/>
      <c r="F3" s="22"/>
      <c r="G3" s="44"/>
      <c r="H3" s="44"/>
      <c r="I3" s="44"/>
      <c r="J3" s="44"/>
      <c r="K3" s="44"/>
      <c r="L3" s="44"/>
      <c r="M3" s="44"/>
      <c r="N3" s="44"/>
      <c r="O3" s="45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2.75" customHeight="1">
      <c r="A5" s="2"/>
      <c r="B5" s="46"/>
      <c r="C5" s="47"/>
      <c r="D5" s="48"/>
      <c r="E5" s="46" t="s">
        <v>53</v>
      </c>
      <c r="F5" s="49">
        <v>45658.0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1.0" customHeight="1">
      <c r="A7" s="50"/>
      <c r="B7" s="51" t="s">
        <v>54</v>
      </c>
      <c r="C7" s="52"/>
      <c r="D7" s="2"/>
      <c r="E7" s="51" t="s">
        <v>55</v>
      </c>
      <c r="F7" s="52"/>
      <c r="G7" s="2"/>
      <c r="H7" s="51" t="s">
        <v>56</v>
      </c>
      <c r="I7" s="52"/>
      <c r="J7" s="2"/>
      <c r="K7" s="2"/>
      <c r="L7" s="2"/>
      <c r="M7" s="2"/>
      <c r="N7" s="2"/>
      <c r="O7" s="2"/>
      <c r="P7" s="53"/>
      <c r="Q7" s="53"/>
      <c r="R7" s="53"/>
      <c r="S7" s="2"/>
      <c r="T7" s="2"/>
      <c r="U7" s="2"/>
      <c r="V7" s="2"/>
      <c r="W7" s="2"/>
      <c r="X7" s="2"/>
      <c r="Y7" s="2"/>
    </row>
    <row r="8" ht="15.0" customHeight="1">
      <c r="A8" s="50"/>
      <c r="B8" s="54" t="s">
        <v>57</v>
      </c>
      <c r="C8" s="54"/>
      <c r="D8" s="2"/>
      <c r="E8" s="55" t="s">
        <v>58</v>
      </c>
      <c r="F8" s="56" t="s">
        <v>59</v>
      </c>
      <c r="G8" s="2"/>
      <c r="H8" s="57" t="s">
        <v>60</v>
      </c>
      <c r="I8" s="58" t="s">
        <v>61</v>
      </c>
      <c r="J8" s="56" t="s">
        <v>62</v>
      </c>
      <c r="K8" s="58" t="s">
        <v>63</v>
      </c>
      <c r="L8" s="56" t="s">
        <v>64</v>
      </c>
      <c r="M8" s="58" t="s">
        <v>65</v>
      </c>
      <c r="N8" s="2"/>
      <c r="O8" s="2"/>
      <c r="P8" s="53"/>
      <c r="Q8" s="53"/>
      <c r="R8" s="53"/>
      <c r="S8" s="2"/>
      <c r="T8" s="2"/>
      <c r="U8" s="2"/>
      <c r="V8" s="2"/>
      <c r="W8" s="2"/>
      <c r="X8" s="2"/>
      <c r="Y8" s="2"/>
    </row>
    <row r="9" ht="15.0" customHeight="1">
      <c r="A9" s="50"/>
      <c r="B9" s="1" t="s">
        <v>66</v>
      </c>
      <c r="C9" s="59">
        <v>0.45</v>
      </c>
      <c r="D9" s="2"/>
      <c r="E9" s="1" t="s">
        <v>67</v>
      </c>
      <c r="F9" s="60">
        <v>0.0</v>
      </c>
      <c r="G9" s="2"/>
      <c r="H9" s="1" t="s">
        <v>68</v>
      </c>
      <c r="I9" s="61" t="s">
        <v>69</v>
      </c>
      <c r="J9" s="2"/>
      <c r="K9" s="1"/>
      <c r="L9" s="1"/>
      <c r="M9" s="2"/>
      <c r="N9" s="2"/>
      <c r="O9" s="2"/>
      <c r="P9" s="53"/>
      <c r="Q9" s="53"/>
      <c r="R9" s="53"/>
      <c r="S9" s="2"/>
      <c r="T9" s="2"/>
      <c r="U9" s="2"/>
      <c r="V9" s="2"/>
      <c r="W9" s="2"/>
      <c r="X9" s="2"/>
      <c r="Y9" s="2"/>
    </row>
    <row r="10" ht="15.0" customHeight="1">
      <c r="A10" s="50"/>
      <c r="B10" s="2" t="s">
        <v>70</v>
      </c>
      <c r="C10" s="59">
        <v>0.0</v>
      </c>
      <c r="D10" s="2"/>
      <c r="E10" s="1" t="s">
        <v>71</v>
      </c>
      <c r="F10" s="60">
        <v>1.0</v>
      </c>
      <c r="G10" s="2"/>
      <c r="H10" s="1" t="s">
        <v>72</v>
      </c>
      <c r="I10" s="62">
        <f t="shared" ref="I10:I15" si="1">(L10/(1+K10))*J10</f>
        <v>5</v>
      </c>
      <c r="J10" s="63">
        <v>1.0</v>
      </c>
      <c r="K10" s="59">
        <v>0.1</v>
      </c>
      <c r="L10" s="64">
        <v>5.5</v>
      </c>
      <c r="M10" s="63" t="s">
        <v>73</v>
      </c>
      <c r="N10" s="1"/>
      <c r="O10" s="2"/>
      <c r="P10" s="53"/>
      <c r="Q10" s="53"/>
      <c r="R10" s="53"/>
      <c r="S10" s="2"/>
      <c r="T10" s="2"/>
      <c r="U10" s="2"/>
      <c r="V10" s="2"/>
      <c r="W10" s="2"/>
      <c r="X10" s="2"/>
      <c r="Y10" s="2"/>
    </row>
    <row r="11" ht="15.0" customHeight="1">
      <c r="A11" s="2"/>
      <c r="B11" s="2" t="s">
        <v>74</v>
      </c>
      <c r="C11" s="59">
        <v>0.25</v>
      </c>
      <c r="D11" s="2"/>
      <c r="E11" s="1" t="s">
        <v>75</v>
      </c>
      <c r="F11" s="60">
        <v>1.0</v>
      </c>
      <c r="G11" s="2"/>
      <c r="H11" s="1" t="s">
        <v>76</v>
      </c>
      <c r="I11" s="62">
        <f t="shared" si="1"/>
        <v>9.181818182</v>
      </c>
      <c r="J11" s="63">
        <v>1.0</v>
      </c>
      <c r="K11" s="59">
        <v>0.1</v>
      </c>
      <c r="L11" s="64">
        <v>10.1</v>
      </c>
      <c r="M11" s="60" t="s">
        <v>77</v>
      </c>
      <c r="N11" s="2"/>
      <c r="O11" s="2"/>
      <c r="P11" s="53"/>
      <c r="Q11" s="53"/>
      <c r="R11" s="53"/>
      <c r="S11" s="2"/>
      <c r="T11" s="2"/>
      <c r="U11" s="2"/>
      <c r="V11" s="2"/>
      <c r="W11" s="2"/>
      <c r="X11" s="2"/>
      <c r="Y11" s="2"/>
    </row>
    <row r="12" ht="15.0" customHeight="1">
      <c r="A12" s="2"/>
      <c r="B12" s="2" t="s">
        <v>78</v>
      </c>
      <c r="C12" s="65">
        <v>0.05</v>
      </c>
      <c r="D12" s="2"/>
      <c r="E12" s="2" t="s">
        <v>79</v>
      </c>
      <c r="F12" s="63">
        <v>0.0</v>
      </c>
      <c r="G12" s="2"/>
      <c r="H12" s="1" t="s">
        <v>80</v>
      </c>
      <c r="I12" s="62">
        <f t="shared" si="1"/>
        <v>12.72727273</v>
      </c>
      <c r="J12" s="63">
        <v>1.0</v>
      </c>
      <c r="K12" s="59">
        <v>0.1</v>
      </c>
      <c r="L12" s="64">
        <v>14.0</v>
      </c>
      <c r="M12" s="60" t="s">
        <v>81</v>
      </c>
      <c r="N12" s="2"/>
      <c r="O12" s="2"/>
      <c r="P12" s="53"/>
      <c r="Q12" s="53"/>
      <c r="R12" s="53"/>
      <c r="S12" s="2"/>
      <c r="T12" s="2"/>
      <c r="U12" s="2"/>
      <c r="V12" s="2"/>
      <c r="W12" s="2"/>
      <c r="X12" s="2"/>
      <c r="Y12" s="2"/>
    </row>
    <row r="13" ht="15.0" customHeight="1">
      <c r="A13" s="2"/>
      <c r="B13" s="11" t="s">
        <v>82</v>
      </c>
      <c r="C13" s="2"/>
      <c r="D13" s="2"/>
      <c r="E13" s="2"/>
      <c r="F13" s="2"/>
      <c r="G13" s="2"/>
      <c r="H13" s="1" t="s">
        <v>83</v>
      </c>
      <c r="I13" s="62">
        <f t="shared" si="1"/>
        <v>16.36363636</v>
      </c>
      <c r="J13" s="63">
        <v>1.0</v>
      </c>
      <c r="K13" s="59">
        <v>0.1</v>
      </c>
      <c r="L13" s="64">
        <v>18.0</v>
      </c>
      <c r="M13" s="60" t="s">
        <v>84</v>
      </c>
      <c r="N13" s="2"/>
      <c r="O13" s="2"/>
      <c r="P13" s="53"/>
      <c r="Q13" s="53"/>
      <c r="R13" s="53"/>
      <c r="S13" s="2"/>
      <c r="T13" s="2"/>
      <c r="U13" s="2"/>
      <c r="V13" s="2"/>
      <c r="W13" s="2"/>
      <c r="X13" s="2"/>
      <c r="Y13" s="2"/>
    </row>
    <row r="14" ht="15.0" customHeight="1">
      <c r="A14" s="2"/>
      <c r="B14" s="2" t="s">
        <v>85</v>
      </c>
      <c r="C14" s="59">
        <v>0.0</v>
      </c>
      <c r="D14" s="2"/>
      <c r="E14" s="55" t="s">
        <v>86</v>
      </c>
      <c r="F14" s="56" t="s">
        <v>59</v>
      </c>
      <c r="G14" s="2"/>
      <c r="H14" s="1" t="s">
        <v>87</v>
      </c>
      <c r="I14" s="62">
        <f t="shared" si="1"/>
        <v>20.59090909</v>
      </c>
      <c r="J14" s="63">
        <v>1.0</v>
      </c>
      <c r="K14" s="59">
        <v>0.1</v>
      </c>
      <c r="L14" s="64">
        <v>22.65</v>
      </c>
      <c r="M14" s="60" t="s">
        <v>88</v>
      </c>
      <c r="N14" s="66"/>
      <c r="O14" s="2"/>
      <c r="P14" s="53"/>
      <c r="Q14" s="53"/>
      <c r="R14" s="53"/>
      <c r="S14" s="2"/>
      <c r="T14" s="2"/>
      <c r="U14" s="2"/>
      <c r="V14" s="2"/>
      <c r="W14" s="2"/>
      <c r="X14" s="2"/>
      <c r="Y14" s="2"/>
    </row>
    <row r="15" ht="15.0" customHeight="1">
      <c r="A15" s="2"/>
      <c r="B15" s="2" t="s">
        <v>89</v>
      </c>
      <c r="C15" s="59">
        <v>0.0</v>
      </c>
      <c r="D15" s="2"/>
      <c r="E15" s="2" t="s">
        <v>90</v>
      </c>
      <c r="F15" s="60">
        <v>30.0</v>
      </c>
      <c r="G15" s="2"/>
      <c r="H15" s="1"/>
      <c r="I15" s="62">
        <f t="shared" si="1"/>
        <v>0</v>
      </c>
      <c r="J15" s="63"/>
      <c r="K15" s="59"/>
      <c r="L15" s="60"/>
      <c r="M15" s="60"/>
      <c r="N15" s="66"/>
      <c r="O15" s="2"/>
      <c r="P15" s="53"/>
      <c r="Q15" s="53"/>
      <c r="R15" s="53"/>
      <c r="S15" s="2"/>
      <c r="T15" s="2"/>
      <c r="U15" s="2"/>
      <c r="V15" s="2"/>
      <c r="W15" s="2"/>
      <c r="X15" s="2"/>
      <c r="Y15" s="2"/>
    </row>
    <row r="16" ht="15.0" customHeight="1">
      <c r="A16" s="2"/>
      <c r="B16" s="2"/>
      <c r="C16" s="67"/>
      <c r="D16" s="2"/>
      <c r="E16" s="1" t="s">
        <v>91</v>
      </c>
      <c r="F16" s="60">
        <v>60.0</v>
      </c>
      <c r="G16" s="2"/>
      <c r="H16" s="2"/>
      <c r="I16" s="2"/>
      <c r="J16" s="2"/>
      <c r="K16" s="2"/>
      <c r="L16" s="2"/>
      <c r="M16" s="2"/>
      <c r="N16" s="2"/>
      <c r="O16" s="2"/>
      <c r="P16" s="53"/>
      <c r="Q16" s="53"/>
      <c r="R16" s="53"/>
      <c r="S16" s="2"/>
      <c r="T16" s="2"/>
      <c r="U16" s="2"/>
      <c r="V16" s="2"/>
      <c r="W16" s="2"/>
      <c r="X16" s="2"/>
      <c r="Y16" s="2"/>
    </row>
    <row r="17" ht="15.0" customHeight="1">
      <c r="A17" s="2"/>
      <c r="B17" s="2"/>
      <c r="C17" s="2"/>
      <c r="D17" s="2"/>
      <c r="E17" s="1" t="s">
        <v>92</v>
      </c>
      <c r="F17" s="60">
        <v>90.0</v>
      </c>
      <c r="G17" s="2"/>
      <c r="H17" s="57" t="s">
        <v>93</v>
      </c>
      <c r="I17" s="58" t="s">
        <v>94</v>
      </c>
      <c r="J17" s="2"/>
      <c r="K17" s="2"/>
      <c r="L17" s="2"/>
      <c r="M17" s="2"/>
      <c r="N17" s="2"/>
      <c r="O17" s="2"/>
      <c r="P17" s="53"/>
      <c r="Q17" s="53"/>
      <c r="R17" s="53"/>
      <c r="S17" s="2"/>
      <c r="T17" s="2"/>
      <c r="U17" s="2"/>
      <c r="V17" s="2"/>
      <c r="W17" s="2"/>
      <c r="X17" s="2"/>
      <c r="Y17" s="2"/>
    </row>
    <row r="18" ht="15.0" customHeight="1">
      <c r="A18" s="2"/>
      <c r="B18" s="54" t="s">
        <v>95</v>
      </c>
      <c r="C18" s="54"/>
      <c r="D18" s="2"/>
      <c r="E18" s="2" t="s">
        <v>79</v>
      </c>
      <c r="F18" s="63">
        <v>0.0</v>
      </c>
      <c r="G18" s="2"/>
      <c r="H18" s="31" t="s">
        <v>96</v>
      </c>
      <c r="I18" s="63">
        <v>365.0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0" customHeight="1">
      <c r="A19" s="2"/>
      <c r="B19" s="2" t="s">
        <v>97</v>
      </c>
      <c r="C19" s="68">
        <v>0.25</v>
      </c>
      <c r="D19" s="2"/>
      <c r="E19" s="2"/>
      <c r="F19" s="2"/>
      <c r="G19" s="2"/>
      <c r="H19" s="69" t="s">
        <v>98</v>
      </c>
      <c r="I19" s="60">
        <v>10.0</v>
      </c>
      <c r="J19" s="7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0" customHeight="1">
      <c r="A20" s="2"/>
      <c r="B20" s="2" t="s">
        <v>99</v>
      </c>
      <c r="C20" s="59">
        <v>0.2</v>
      </c>
      <c r="D20" s="2"/>
      <c r="E20" s="55" t="s">
        <v>100</v>
      </c>
      <c r="F20" s="56" t="s">
        <v>59</v>
      </c>
      <c r="G20" s="2"/>
      <c r="H20" s="31" t="s">
        <v>101</v>
      </c>
      <c r="I20" s="63">
        <v>11.0</v>
      </c>
      <c r="J20" s="70"/>
      <c r="K20" s="2"/>
      <c r="L20" s="2"/>
      <c r="M20" s="71"/>
      <c r="N20" s="71"/>
      <c r="O20" s="71"/>
      <c r="P20" s="71"/>
      <c r="Q20" s="71"/>
      <c r="R20" s="2"/>
      <c r="S20" s="2"/>
      <c r="T20" s="2"/>
      <c r="U20" s="2"/>
      <c r="V20" s="2"/>
      <c r="W20" s="2"/>
      <c r="X20" s="2"/>
      <c r="Y20" s="2"/>
    </row>
    <row r="21" ht="15.0" customHeight="1">
      <c r="A21" s="2"/>
      <c r="B21" s="1" t="s">
        <v>102</v>
      </c>
      <c r="C21" s="65">
        <v>0.12</v>
      </c>
      <c r="D21" s="2"/>
      <c r="E21" s="2" t="s">
        <v>79</v>
      </c>
      <c r="F21" s="63">
        <v>0.0</v>
      </c>
      <c r="G21" s="2"/>
      <c r="H21" s="31" t="s">
        <v>103</v>
      </c>
      <c r="I21" s="63">
        <v>52.0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0" customHeight="1">
      <c r="A22" s="2"/>
      <c r="B22" s="2"/>
      <c r="C22" s="2"/>
      <c r="D22" s="2"/>
      <c r="E22" s="2" t="s">
        <v>79</v>
      </c>
      <c r="F22" s="63">
        <v>0.0</v>
      </c>
      <c r="G22" s="2"/>
      <c r="H22" s="31" t="s">
        <v>104</v>
      </c>
      <c r="I22" s="63">
        <v>15.0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0" customHeight="1">
      <c r="A23" s="2"/>
      <c r="B23" s="54" t="s">
        <v>105</v>
      </c>
      <c r="C23" s="54"/>
      <c r="D23" s="2"/>
      <c r="E23" s="2"/>
      <c r="F23" s="2"/>
      <c r="G23" s="2"/>
      <c r="H23" s="31"/>
      <c r="I23" s="6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0" customHeight="1">
      <c r="A24" s="2"/>
      <c r="B24" s="2" t="s">
        <v>106</v>
      </c>
      <c r="C24" s="63">
        <v>0.0</v>
      </c>
      <c r="D24" s="2"/>
      <c r="E24" s="57" t="s">
        <v>107</v>
      </c>
      <c r="F24" s="58" t="s">
        <v>108</v>
      </c>
      <c r="G24" s="2"/>
      <c r="H24" s="31" t="s">
        <v>109</v>
      </c>
      <c r="I24" s="63">
        <f>I18-I19-I21-I22</f>
        <v>288</v>
      </c>
      <c r="J24" s="70"/>
      <c r="K24" s="2"/>
      <c r="L24" s="2"/>
      <c r="M24" s="3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0" customHeight="1">
      <c r="A25" s="2"/>
      <c r="B25" s="2" t="s">
        <v>110</v>
      </c>
      <c r="C25" s="59">
        <v>0.0</v>
      </c>
      <c r="D25" s="2"/>
      <c r="E25" s="1"/>
      <c r="F25" s="63">
        <v>0.0</v>
      </c>
      <c r="G25" s="2"/>
      <c r="H25" s="31"/>
      <c r="I25" s="31"/>
      <c r="J25" s="31"/>
      <c r="K25" s="31"/>
      <c r="L25" s="31"/>
      <c r="M25" s="3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0" customHeight="1">
      <c r="A26" s="31"/>
      <c r="B26" s="2" t="s">
        <v>111</v>
      </c>
      <c r="C26" s="60">
        <v>0.0</v>
      </c>
      <c r="D26" s="2"/>
      <c r="E26" s="1"/>
      <c r="F26" s="63">
        <v>0.0</v>
      </c>
      <c r="G26" s="31"/>
      <c r="H26" s="57" t="s">
        <v>112</v>
      </c>
      <c r="I26" s="58" t="s">
        <v>113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5.0" customHeight="1">
      <c r="A27" s="31"/>
      <c r="B27" s="2" t="s">
        <v>114</v>
      </c>
      <c r="C27" s="68">
        <f>IF(C26=1,30%,0%)</f>
        <v>0</v>
      </c>
      <c r="D27" s="2"/>
      <c r="E27" s="1"/>
      <c r="F27" s="63">
        <v>0.0</v>
      </c>
      <c r="G27" s="31"/>
      <c r="H27" s="69" t="s">
        <v>115</v>
      </c>
      <c r="I27" s="72">
        <v>1.0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5.0" customHeight="1">
      <c r="A28" s="31"/>
      <c r="B28" s="2"/>
      <c r="C28" s="2"/>
      <c r="D28" s="2"/>
      <c r="E28" s="1"/>
      <c r="F28" s="63">
        <v>0.0</v>
      </c>
      <c r="G28" s="31"/>
      <c r="H28" s="69" t="s">
        <v>116</v>
      </c>
      <c r="I28" s="72">
        <v>1.5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5.0" customHeight="1">
      <c r="A29" s="31"/>
      <c r="B29" s="73" t="s">
        <v>117</v>
      </c>
      <c r="C29" s="74" t="s">
        <v>108</v>
      </c>
      <c r="D29" s="31"/>
      <c r="E29" s="69"/>
      <c r="F29" s="63">
        <v>0.0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2.75" customHeight="1">
      <c r="A30" s="31"/>
      <c r="B30" s="2" t="s">
        <v>118</v>
      </c>
      <c r="C30" s="60">
        <v>0.0</v>
      </c>
      <c r="D30" s="31"/>
      <c r="E30" s="69"/>
      <c r="F30" s="63">
        <v>0.0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2.75" customHeight="1">
      <c r="A31" s="31"/>
      <c r="B31" s="2" t="s">
        <v>118</v>
      </c>
      <c r="C31" s="75">
        <v>0.0</v>
      </c>
      <c r="D31" s="31"/>
      <c r="E31" s="69"/>
      <c r="F31" s="63">
        <v>0.0</v>
      </c>
      <c r="G31" s="31"/>
      <c r="H31" s="57" t="s">
        <v>119</v>
      </c>
      <c r="I31" s="58" t="s">
        <v>120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3.5" customHeight="1">
      <c r="A32" s="31"/>
      <c r="B32" s="2" t="s">
        <v>118</v>
      </c>
      <c r="C32" s="60">
        <v>0.0</v>
      </c>
      <c r="D32" s="31"/>
      <c r="E32" s="69"/>
      <c r="F32" s="63">
        <v>0.0</v>
      </c>
      <c r="G32" s="31"/>
      <c r="H32" s="69" t="s">
        <v>121</v>
      </c>
      <c r="I32" s="69">
        <v>18.0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2.75" customHeight="1">
      <c r="A33" s="31"/>
      <c r="B33" s="2" t="s">
        <v>118</v>
      </c>
      <c r="C33" s="60">
        <v>0.0</v>
      </c>
      <c r="D33" s="31"/>
      <c r="E33" s="31"/>
      <c r="F33" s="31"/>
      <c r="G33" s="31"/>
      <c r="H33" s="69" t="s">
        <v>122</v>
      </c>
      <c r="I33" s="69">
        <v>0.0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2.75" customHeight="1">
      <c r="A34" s="31"/>
      <c r="B34" s="1" t="s">
        <v>123</v>
      </c>
      <c r="C34" s="60">
        <f>SUM(C30:C33)</f>
        <v>0</v>
      </c>
      <c r="D34" s="31"/>
      <c r="E34" s="31"/>
      <c r="F34" s="31"/>
      <c r="G34" s="31"/>
      <c r="H34" s="69" t="s">
        <v>124</v>
      </c>
      <c r="I34" s="69">
        <v>24.0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ht="12.75" customHeight="1">
      <c r="A36" s="31"/>
      <c r="B36" s="31"/>
      <c r="C36" s="31"/>
      <c r="D36" s="31"/>
      <c r="E36" s="31"/>
      <c r="F36" s="31"/>
      <c r="G36" s="31"/>
      <c r="H36" s="57" t="s">
        <v>125</v>
      </c>
      <c r="I36" s="58" t="s">
        <v>126</v>
      </c>
      <c r="J36" s="58" t="s">
        <v>127</v>
      </c>
      <c r="K36" s="58" t="s">
        <v>128</v>
      </c>
      <c r="L36" s="58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ht="12.75" customHeight="1">
      <c r="A37" s="31"/>
      <c r="B37" s="31"/>
      <c r="C37" s="31"/>
      <c r="D37" s="31"/>
      <c r="E37" s="31"/>
      <c r="F37" s="31"/>
      <c r="G37" s="31"/>
      <c r="H37" s="31" t="s">
        <v>129</v>
      </c>
      <c r="I37" s="31">
        <v>17.0</v>
      </c>
      <c r="J37" s="31">
        <v>23.0</v>
      </c>
      <c r="K37" s="31"/>
      <c r="L37" s="31">
        <v>29.0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2.75" customHeight="1">
      <c r="A38" s="31"/>
      <c r="B38" s="31"/>
      <c r="C38" s="31"/>
      <c r="D38" s="31"/>
      <c r="E38" s="31"/>
      <c r="F38" s="31"/>
      <c r="G38" s="31"/>
      <c r="H38" s="31" t="s">
        <v>130</v>
      </c>
      <c r="I38" s="31">
        <v>5.0</v>
      </c>
      <c r="J38" s="31">
        <v>8.0</v>
      </c>
      <c r="K38" s="31"/>
      <c r="L38" s="31">
        <v>14.0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2.75" customHeight="1">
      <c r="A39" s="31"/>
      <c r="B39" s="31"/>
      <c r="C39" s="31"/>
      <c r="D39" s="31"/>
      <c r="E39" s="31"/>
      <c r="F39" s="31"/>
      <c r="G39" s="31"/>
      <c r="H39" s="31" t="s">
        <v>131</v>
      </c>
      <c r="I39" s="31">
        <v>17.0</v>
      </c>
      <c r="J39" s="31">
        <v>23.0</v>
      </c>
      <c r="K39" s="31"/>
      <c r="L39" s="31">
        <v>29.0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2.75" customHeight="1">
      <c r="A40" s="31"/>
      <c r="B40" s="31"/>
      <c r="C40" s="31"/>
      <c r="D40" s="31"/>
      <c r="E40" s="31"/>
      <c r="F40" s="31"/>
      <c r="G40" s="31"/>
      <c r="H40" s="31" t="s">
        <v>132</v>
      </c>
      <c r="I40" s="31">
        <v>5.0</v>
      </c>
      <c r="J40" s="31">
        <v>8.0</v>
      </c>
      <c r="K40" s="31"/>
      <c r="L40" s="31">
        <v>14.0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2.75" customHeight="1">
      <c r="A41" s="31"/>
      <c r="B41" s="31"/>
      <c r="C41" s="31"/>
      <c r="D41" s="31"/>
      <c r="E41" s="31"/>
      <c r="F41" s="31"/>
      <c r="G41" s="31"/>
      <c r="H41" s="31" t="s">
        <v>133</v>
      </c>
      <c r="I41" s="31">
        <v>5.0</v>
      </c>
      <c r="J41" s="31">
        <v>10.0</v>
      </c>
      <c r="K41" s="31"/>
      <c r="L41" s="31">
        <v>15.0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2.75" customHeight="1">
      <c r="A42" s="31"/>
      <c r="B42" s="31"/>
      <c r="C42" s="31"/>
      <c r="D42" s="31"/>
      <c r="E42" s="31"/>
      <c r="F42" s="31"/>
      <c r="G42" s="31"/>
      <c r="H42" s="31" t="s">
        <v>134</v>
      </c>
      <c r="I42" s="31">
        <v>200.0</v>
      </c>
      <c r="J42" s="31">
        <v>300.0</v>
      </c>
      <c r="K42" s="31"/>
      <c r="L42" s="31">
        <v>500.0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ht="12.75" customHeight="1">
      <c r="A44" s="31"/>
      <c r="B44" s="31"/>
      <c r="C44" s="31"/>
      <c r="D44" s="31"/>
      <c r="E44" s="31"/>
      <c r="F44" s="31"/>
      <c r="G44" s="31"/>
      <c r="H44" s="57" t="s">
        <v>135</v>
      </c>
      <c r="I44" s="58" t="s">
        <v>113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ht="12.75" customHeight="1">
      <c r="A45" s="31"/>
      <c r="B45" s="31"/>
      <c r="C45" s="31"/>
      <c r="D45" s="31"/>
      <c r="E45" s="31"/>
      <c r="F45" s="31"/>
      <c r="G45" s="31"/>
      <c r="H45" s="1" t="s">
        <v>136</v>
      </c>
      <c r="I45" s="65">
        <v>0.03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7:C7"/>
    <mergeCell ref="E7:F7"/>
    <mergeCell ref="H7:I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18.38"/>
    <col customWidth="1" min="4" max="112" width="7.63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</row>
    <row r="2" ht="23.25" customHeight="1">
      <c r="A2" s="78" t="s">
        <v>137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 t="s">
        <v>138</v>
      </c>
      <c r="N2" s="76" t="s">
        <v>139</v>
      </c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</row>
    <row r="3" ht="12.75" customHeight="1">
      <c r="A3" s="79"/>
      <c r="B3" s="76"/>
      <c r="C3" s="80" t="s">
        <v>140</v>
      </c>
      <c r="D3" s="81">
        <v>2025.0</v>
      </c>
      <c r="J3" s="76"/>
      <c r="K3" s="81">
        <v>2026.0</v>
      </c>
      <c r="Q3" s="76"/>
      <c r="R3" s="81">
        <v>2027.0</v>
      </c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</row>
    <row r="4" ht="12.75" customHeight="1">
      <c r="A4" s="79"/>
      <c r="B4" s="76"/>
      <c r="C4" s="82" t="s">
        <v>141</v>
      </c>
      <c r="D4" s="83" t="s">
        <v>142</v>
      </c>
      <c r="E4" s="83" t="s">
        <v>143</v>
      </c>
      <c r="F4" s="83" t="s">
        <v>144</v>
      </c>
      <c r="G4" s="83" t="s">
        <v>145</v>
      </c>
      <c r="H4" s="83" t="s">
        <v>146</v>
      </c>
      <c r="I4" s="83" t="s">
        <v>147</v>
      </c>
      <c r="J4" s="76"/>
      <c r="K4" s="83" t="s">
        <v>142</v>
      </c>
      <c r="L4" s="83" t="s">
        <v>143</v>
      </c>
      <c r="M4" s="83" t="s">
        <v>144</v>
      </c>
      <c r="N4" s="83" t="s">
        <v>145</v>
      </c>
      <c r="O4" s="83" t="s">
        <v>146</v>
      </c>
      <c r="P4" s="83" t="s">
        <v>147</v>
      </c>
      <c r="Q4" s="76"/>
      <c r="R4" s="83" t="s">
        <v>142</v>
      </c>
      <c r="S4" s="83" t="s">
        <v>143</v>
      </c>
      <c r="T4" s="83" t="s">
        <v>144</v>
      </c>
      <c r="U4" s="83" t="s">
        <v>145</v>
      </c>
      <c r="V4" s="83" t="s">
        <v>146</v>
      </c>
      <c r="W4" s="83" t="s">
        <v>147</v>
      </c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</row>
    <row r="5" ht="12.75" customHeight="1">
      <c r="A5" s="79"/>
      <c r="B5" s="76"/>
      <c r="C5" s="76" t="s">
        <v>148</v>
      </c>
      <c r="D5" s="84">
        <v>0.3</v>
      </c>
      <c r="E5" s="84">
        <v>0.1</v>
      </c>
      <c r="F5" s="84"/>
      <c r="G5" s="84">
        <v>0.05</v>
      </c>
      <c r="H5" s="84">
        <v>0.3</v>
      </c>
      <c r="I5" s="84">
        <v>0.4</v>
      </c>
      <c r="J5" s="76"/>
      <c r="K5" s="84">
        <v>0.3</v>
      </c>
      <c r="L5" s="84">
        <v>0.1</v>
      </c>
      <c r="M5" s="84"/>
      <c r="N5" s="84">
        <v>0.05</v>
      </c>
      <c r="O5" s="84">
        <v>0.3</v>
      </c>
      <c r="P5" s="84">
        <v>0.4</v>
      </c>
      <c r="Q5" s="76"/>
      <c r="R5" s="84">
        <v>0.3</v>
      </c>
      <c r="S5" s="84">
        <v>0.1</v>
      </c>
      <c r="T5" s="84"/>
      <c r="U5" s="84">
        <v>0.05</v>
      </c>
      <c r="V5" s="84">
        <v>0.3</v>
      </c>
      <c r="W5" s="84">
        <v>0.4</v>
      </c>
      <c r="X5" s="85"/>
      <c r="Y5" s="76"/>
      <c r="Z5" s="76"/>
      <c r="AA5" s="76"/>
      <c r="AB5" s="76"/>
      <c r="AC5" s="76"/>
      <c r="AD5" s="60"/>
      <c r="AE5" s="63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</row>
    <row r="6" ht="12.75" customHeight="1">
      <c r="A6" s="79"/>
      <c r="B6" s="76"/>
      <c r="C6" s="76" t="s">
        <v>76</v>
      </c>
      <c r="D6" s="84">
        <v>0.4</v>
      </c>
      <c r="E6" s="84">
        <v>0.35</v>
      </c>
      <c r="F6" s="84"/>
      <c r="G6" s="86">
        <v>0.05</v>
      </c>
      <c r="H6" s="84">
        <v>0.5</v>
      </c>
      <c r="I6" s="84">
        <v>0.55</v>
      </c>
      <c r="J6" s="76"/>
      <c r="K6" s="84">
        <v>0.4</v>
      </c>
      <c r="L6" s="84">
        <v>0.35</v>
      </c>
      <c r="M6" s="84"/>
      <c r="N6" s="86">
        <v>0.05</v>
      </c>
      <c r="O6" s="84">
        <v>0.5</v>
      </c>
      <c r="P6" s="84">
        <v>0.55</v>
      </c>
      <c r="Q6" s="76"/>
      <c r="R6" s="84">
        <v>0.4</v>
      </c>
      <c r="S6" s="84">
        <v>0.35</v>
      </c>
      <c r="T6" s="84"/>
      <c r="U6" s="86">
        <v>0.05</v>
      </c>
      <c r="V6" s="84">
        <v>0.5</v>
      </c>
      <c r="W6" s="84">
        <v>0.55</v>
      </c>
      <c r="X6" s="85"/>
      <c r="Y6" s="76"/>
      <c r="Z6" s="76"/>
      <c r="AA6" s="76"/>
      <c r="AB6" s="76"/>
      <c r="AC6" s="76"/>
      <c r="AD6" s="60"/>
      <c r="AE6" s="60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</row>
    <row r="7" ht="12.75" customHeight="1">
      <c r="A7" s="79"/>
      <c r="B7" s="76"/>
      <c r="C7" s="76" t="s">
        <v>80</v>
      </c>
      <c r="D7" s="84">
        <v>0.15</v>
      </c>
      <c r="E7" s="84">
        <v>0.3</v>
      </c>
      <c r="F7" s="84">
        <v>0.05</v>
      </c>
      <c r="G7" s="87">
        <v>0.0</v>
      </c>
      <c r="H7" s="84">
        <v>0.0</v>
      </c>
      <c r="I7" s="84">
        <v>0.05</v>
      </c>
      <c r="J7" s="76"/>
      <c r="K7" s="84">
        <v>0.15</v>
      </c>
      <c r="L7" s="84">
        <v>0.3</v>
      </c>
      <c r="M7" s="84">
        <v>0.05</v>
      </c>
      <c r="N7" s="87">
        <v>0.0</v>
      </c>
      <c r="O7" s="84">
        <v>0.0</v>
      </c>
      <c r="P7" s="84">
        <v>0.05</v>
      </c>
      <c r="Q7" s="76"/>
      <c r="R7" s="84">
        <v>0.15</v>
      </c>
      <c r="S7" s="84">
        <v>0.3</v>
      </c>
      <c r="T7" s="84">
        <v>0.05</v>
      </c>
      <c r="U7" s="87">
        <v>0.0</v>
      </c>
      <c r="V7" s="84">
        <v>0.0</v>
      </c>
      <c r="W7" s="84">
        <v>0.05</v>
      </c>
      <c r="X7" s="85"/>
      <c r="Y7" s="76"/>
      <c r="Z7" s="76"/>
      <c r="AA7" s="76"/>
      <c r="AB7" s="76"/>
      <c r="AC7" s="76"/>
      <c r="AD7" s="60"/>
      <c r="AE7" s="60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</row>
    <row r="8" ht="12.75" customHeight="1">
      <c r="A8" s="79"/>
      <c r="B8" s="76"/>
      <c r="C8" s="76" t="s">
        <v>83</v>
      </c>
      <c r="D8" s="84">
        <v>0.15</v>
      </c>
      <c r="E8" s="84">
        <v>0.15</v>
      </c>
      <c r="F8" s="84">
        <v>0.55</v>
      </c>
      <c r="G8" s="84">
        <v>0.6</v>
      </c>
      <c r="H8" s="84">
        <v>0.1</v>
      </c>
      <c r="I8" s="84">
        <v>0.0</v>
      </c>
      <c r="J8" s="76"/>
      <c r="K8" s="84">
        <v>0.15</v>
      </c>
      <c r="L8" s="84">
        <v>0.15</v>
      </c>
      <c r="M8" s="84">
        <v>0.55</v>
      </c>
      <c r="N8" s="84">
        <v>0.6</v>
      </c>
      <c r="O8" s="84">
        <v>0.1</v>
      </c>
      <c r="P8" s="84">
        <v>0.0</v>
      </c>
      <c r="Q8" s="76"/>
      <c r="R8" s="84">
        <v>0.15</v>
      </c>
      <c r="S8" s="84">
        <v>0.15</v>
      </c>
      <c r="T8" s="84">
        <v>0.55</v>
      </c>
      <c r="U8" s="84">
        <v>0.6</v>
      </c>
      <c r="V8" s="84">
        <v>0.1</v>
      </c>
      <c r="W8" s="84">
        <v>0.0</v>
      </c>
      <c r="X8" s="85"/>
      <c r="Y8" s="76"/>
      <c r="Z8" s="76"/>
      <c r="AA8" s="76"/>
      <c r="AB8" s="76"/>
      <c r="AC8" s="76"/>
      <c r="AD8" s="60"/>
      <c r="AE8" s="60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</row>
    <row r="9" ht="12.75" customHeight="1">
      <c r="A9" s="79"/>
      <c r="B9" s="76"/>
      <c r="C9" s="76" t="s">
        <v>87</v>
      </c>
      <c r="D9" s="84"/>
      <c r="E9" s="84">
        <v>0.2</v>
      </c>
      <c r="F9" s="84">
        <v>0.4</v>
      </c>
      <c r="G9" s="84">
        <v>0.3</v>
      </c>
      <c r="H9" s="84">
        <v>0.1</v>
      </c>
      <c r="I9" s="88"/>
      <c r="J9" s="76"/>
      <c r="K9" s="84"/>
      <c r="L9" s="84">
        <v>0.2</v>
      </c>
      <c r="M9" s="84">
        <v>0.4</v>
      </c>
      <c r="N9" s="84">
        <v>0.3</v>
      </c>
      <c r="O9" s="84">
        <v>0.1</v>
      </c>
      <c r="P9" s="88"/>
      <c r="Q9" s="76"/>
      <c r="R9" s="84"/>
      <c r="S9" s="84">
        <v>0.2</v>
      </c>
      <c r="T9" s="84">
        <v>0.4</v>
      </c>
      <c r="U9" s="84">
        <v>0.3</v>
      </c>
      <c r="V9" s="84">
        <v>0.1</v>
      </c>
      <c r="W9" s="88"/>
      <c r="X9" s="85"/>
      <c r="Y9" s="76"/>
      <c r="Z9" s="76"/>
      <c r="AA9" s="76"/>
      <c r="AB9" s="76"/>
      <c r="AC9" s="76"/>
      <c r="AD9" s="60"/>
      <c r="AE9" s="60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</row>
    <row r="10" ht="12.75" customHeight="1">
      <c r="A10" s="79"/>
      <c r="B10" s="76"/>
      <c r="C10" s="76"/>
      <c r="D10" s="88"/>
      <c r="E10" s="88"/>
      <c r="F10" s="88"/>
      <c r="G10" s="88"/>
      <c r="H10" s="88"/>
      <c r="I10" s="88"/>
      <c r="J10" s="76"/>
      <c r="K10" s="88"/>
      <c r="L10" s="88"/>
      <c r="M10" s="88"/>
      <c r="N10" s="88"/>
      <c r="O10" s="88"/>
      <c r="P10" s="88"/>
      <c r="Q10" s="76"/>
      <c r="R10" s="88"/>
      <c r="S10" s="88"/>
      <c r="T10" s="88"/>
      <c r="U10" s="88"/>
      <c r="V10" s="88"/>
      <c r="W10" s="88"/>
      <c r="X10" s="85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</row>
    <row r="11" ht="12.75" customHeight="1">
      <c r="A11" s="79"/>
      <c r="B11" s="76"/>
      <c r="C11" s="76"/>
      <c r="D11" s="89">
        <f t="shared" ref="D11:I11" si="1">SUM(D5:D10)</f>
        <v>1</v>
      </c>
      <c r="E11" s="89">
        <f t="shared" si="1"/>
        <v>1.1</v>
      </c>
      <c r="F11" s="89">
        <f t="shared" si="1"/>
        <v>1</v>
      </c>
      <c r="G11" s="89">
        <f t="shared" si="1"/>
        <v>1</v>
      </c>
      <c r="H11" s="89">
        <f t="shared" si="1"/>
        <v>1</v>
      </c>
      <c r="I11" s="89">
        <f t="shared" si="1"/>
        <v>1</v>
      </c>
      <c r="J11" s="76"/>
      <c r="K11" s="89">
        <f t="shared" ref="K11:P11" si="2">SUM(K5:K10)</f>
        <v>1</v>
      </c>
      <c r="L11" s="89">
        <f t="shared" si="2"/>
        <v>1.1</v>
      </c>
      <c r="M11" s="89">
        <f t="shared" si="2"/>
        <v>1</v>
      </c>
      <c r="N11" s="89">
        <f t="shared" si="2"/>
        <v>1</v>
      </c>
      <c r="O11" s="89">
        <f t="shared" si="2"/>
        <v>1</v>
      </c>
      <c r="P11" s="89">
        <f t="shared" si="2"/>
        <v>1</v>
      </c>
      <c r="Q11" s="76"/>
      <c r="R11" s="89">
        <f t="shared" ref="R11:W11" si="3">SUM(R5:R10)</f>
        <v>1</v>
      </c>
      <c r="S11" s="89">
        <f t="shared" si="3"/>
        <v>1.1</v>
      </c>
      <c r="T11" s="89">
        <f t="shared" si="3"/>
        <v>1</v>
      </c>
      <c r="U11" s="89">
        <f t="shared" si="3"/>
        <v>1</v>
      </c>
      <c r="V11" s="89">
        <f t="shared" si="3"/>
        <v>1</v>
      </c>
      <c r="W11" s="89">
        <f t="shared" si="3"/>
        <v>1</v>
      </c>
      <c r="X11" s="85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</row>
    <row r="12" ht="12.75" customHeight="1">
      <c r="A12" s="79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85"/>
      <c r="U12" s="85"/>
      <c r="V12" s="90"/>
      <c r="W12" s="90"/>
      <c r="X12" s="85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</row>
    <row r="13" ht="12.75" customHeight="1">
      <c r="A13" s="79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85"/>
      <c r="U13" s="85"/>
      <c r="V13" s="90"/>
      <c r="W13" s="90"/>
      <c r="X13" s="85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</row>
    <row r="14" ht="12.75" customHeight="1">
      <c r="A14" s="79"/>
      <c r="B14" s="76"/>
      <c r="C14" s="80" t="s">
        <v>140</v>
      </c>
      <c r="D14" s="81">
        <v>2025.0</v>
      </c>
      <c r="J14" s="76"/>
      <c r="K14" s="81">
        <v>2026.0</v>
      </c>
      <c r="Q14" s="76"/>
      <c r="R14" s="81">
        <v>2027.0</v>
      </c>
      <c r="X14" s="85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</row>
    <row r="15" ht="12.75" customHeight="1">
      <c r="A15" s="79"/>
      <c r="B15" s="76"/>
      <c r="D15" s="83" t="s">
        <v>142</v>
      </c>
      <c r="E15" s="83" t="s">
        <v>143</v>
      </c>
      <c r="F15" s="83" t="s">
        <v>144</v>
      </c>
      <c r="G15" s="83" t="s">
        <v>145</v>
      </c>
      <c r="H15" s="83" t="s">
        <v>146</v>
      </c>
      <c r="I15" s="83" t="s">
        <v>147</v>
      </c>
      <c r="J15" s="76"/>
      <c r="K15" s="83" t="s">
        <v>142</v>
      </c>
      <c r="L15" s="83" t="s">
        <v>143</v>
      </c>
      <c r="M15" s="83" t="s">
        <v>144</v>
      </c>
      <c r="N15" s="83" t="s">
        <v>145</v>
      </c>
      <c r="O15" s="83" t="s">
        <v>146</v>
      </c>
      <c r="P15" s="83" t="s">
        <v>147</v>
      </c>
      <c r="Q15" s="76"/>
      <c r="R15" s="83" t="s">
        <v>142</v>
      </c>
      <c r="S15" s="83" t="s">
        <v>143</v>
      </c>
      <c r="T15" s="83" t="s">
        <v>144</v>
      </c>
      <c r="U15" s="83" t="s">
        <v>145</v>
      </c>
      <c r="V15" s="83" t="s">
        <v>146</v>
      </c>
      <c r="W15" s="83" t="s">
        <v>147</v>
      </c>
      <c r="X15" s="85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</row>
    <row r="16" ht="12.75" customHeight="1">
      <c r="A16" s="79"/>
      <c r="B16" s="76"/>
      <c r="C16" s="82" t="s">
        <v>149</v>
      </c>
      <c r="D16" s="87">
        <v>10.0</v>
      </c>
      <c r="E16" s="87">
        <v>15.0</v>
      </c>
      <c r="F16" s="87">
        <v>18.0</v>
      </c>
      <c r="G16" s="87">
        <v>20.0</v>
      </c>
      <c r="H16" s="87">
        <v>15.0</v>
      </c>
      <c r="I16" s="87">
        <v>15.0</v>
      </c>
      <c r="J16" s="76"/>
      <c r="K16" s="87">
        <v>11.0</v>
      </c>
      <c r="L16" s="87">
        <v>16.0</v>
      </c>
      <c r="M16" s="87">
        <v>18.0</v>
      </c>
      <c r="N16" s="87">
        <v>18.0</v>
      </c>
      <c r="O16" s="87">
        <v>17.0</v>
      </c>
      <c r="P16" s="87">
        <v>14.0</v>
      </c>
      <c r="Q16" s="76"/>
      <c r="R16" s="87">
        <v>11.0</v>
      </c>
      <c r="S16" s="87">
        <v>16.0</v>
      </c>
      <c r="T16" s="87">
        <v>18.0</v>
      </c>
      <c r="U16" s="87">
        <v>18.0</v>
      </c>
      <c r="V16" s="87">
        <v>17.0</v>
      </c>
      <c r="W16" s="87">
        <v>14.0</v>
      </c>
      <c r="X16" s="85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</row>
    <row r="17" ht="12.75" customHeight="1">
      <c r="A17" s="79"/>
      <c r="B17" s="76"/>
      <c r="C17" s="76" t="s">
        <v>72</v>
      </c>
      <c r="D17" s="91">
        <f t="shared" ref="D17:I17" si="4">ROUND( D$16*D5,0)</f>
        <v>3</v>
      </c>
      <c r="E17" s="91">
        <f t="shared" si="4"/>
        <v>2</v>
      </c>
      <c r="F17" s="91">
        <f t="shared" si="4"/>
        <v>0</v>
      </c>
      <c r="G17" s="91">
        <f t="shared" si="4"/>
        <v>1</v>
      </c>
      <c r="H17" s="91">
        <f t="shared" si="4"/>
        <v>5</v>
      </c>
      <c r="I17" s="91">
        <f t="shared" si="4"/>
        <v>6</v>
      </c>
      <c r="J17" s="76"/>
      <c r="K17" s="91">
        <f t="shared" ref="K17:P17" si="5">ROUND( K$16*K5,0)</f>
        <v>3</v>
      </c>
      <c r="L17" s="91">
        <f t="shared" si="5"/>
        <v>2</v>
      </c>
      <c r="M17" s="91">
        <f t="shared" si="5"/>
        <v>0</v>
      </c>
      <c r="N17" s="91">
        <f t="shared" si="5"/>
        <v>1</v>
      </c>
      <c r="O17" s="91">
        <f t="shared" si="5"/>
        <v>5</v>
      </c>
      <c r="P17" s="91">
        <f t="shared" si="5"/>
        <v>6</v>
      </c>
      <c r="Q17" s="76"/>
      <c r="R17" s="92">
        <f t="shared" ref="R17:W17" si="6">ROUND( R$16*R5,0)</f>
        <v>3</v>
      </c>
      <c r="S17" s="92">
        <f t="shared" si="6"/>
        <v>2</v>
      </c>
      <c r="T17" s="92">
        <f t="shared" si="6"/>
        <v>0</v>
      </c>
      <c r="U17" s="92">
        <f t="shared" si="6"/>
        <v>1</v>
      </c>
      <c r="V17" s="92">
        <f t="shared" si="6"/>
        <v>5</v>
      </c>
      <c r="W17" s="92">
        <f t="shared" si="6"/>
        <v>6</v>
      </c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</row>
    <row r="18" ht="12.75" customHeight="1">
      <c r="A18" s="79"/>
      <c r="B18" s="76"/>
      <c r="C18" s="76" t="s">
        <v>76</v>
      </c>
      <c r="D18" s="91">
        <f t="shared" ref="D18:I18" si="7">ROUND( D$16*D6,0)</f>
        <v>4</v>
      </c>
      <c r="E18" s="91">
        <f t="shared" si="7"/>
        <v>5</v>
      </c>
      <c r="F18" s="91">
        <f t="shared" si="7"/>
        <v>0</v>
      </c>
      <c r="G18" s="91">
        <f t="shared" si="7"/>
        <v>1</v>
      </c>
      <c r="H18" s="91">
        <f t="shared" si="7"/>
        <v>8</v>
      </c>
      <c r="I18" s="91">
        <f t="shared" si="7"/>
        <v>8</v>
      </c>
      <c r="J18" s="76"/>
      <c r="K18" s="91">
        <f t="shared" ref="K18:O18" si="8">ROUND( K$16*K6,0)</f>
        <v>4</v>
      </c>
      <c r="L18" s="91">
        <f t="shared" si="8"/>
        <v>6</v>
      </c>
      <c r="M18" s="91">
        <f t="shared" si="8"/>
        <v>0</v>
      </c>
      <c r="N18" s="91">
        <f t="shared" si="8"/>
        <v>1</v>
      </c>
      <c r="O18" s="91">
        <f t="shared" si="8"/>
        <v>9</v>
      </c>
      <c r="P18" s="91">
        <v>9.0</v>
      </c>
      <c r="Q18" s="76"/>
      <c r="R18" s="92">
        <f t="shared" ref="R18:W18" si="9">ROUND( R$16*R6,0)</f>
        <v>4</v>
      </c>
      <c r="S18" s="92">
        <f t="shared" si="9"/>
        <v>6</v>
      </c>
      <c r="T18" s="92">
        <f t="shared" si="9"/>
        <v>0</v>
      </c>
      <c r="U18" s="92">
        <f t="shared" si="9"/>
        <v>1</v>
      </c>
      <c r="V18" s="92">
        <f t="shared" si="9"/>
        <v>9</v>
      </c>
      <c r="W18" s="92">
        <f t="shared" si="9"/>
        <v>8</v>
      </c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</row>
    <row r="19" ht="12.75" customHeight="1">
      <c r="A19" s="79"/>
      <c r="B19" s="76"/>
      <c r="C19" s="76" t="s">
        <v>80</v>
      </c>
      <c r="D19" s="91">
        <f t="shared" ref="D19:I19" si="10">ROUND( D$16*D7,0)</f>
        <v>2</v>
      </c>
      <c r="E19" s="91">
        <f t="shared" si="10"/>
        <v>5</v>
      </c>
      <c r="F19" s="91">
        <f t="shared" si="10"/>
        <v>1</v>
      </c>
      <c r="G19" s="91">
        <f t="shared" si="10"/>
        <v>0</v>
      </c>
      <c r="H19" s="91">
        <f t="shared" si="10"/>
        <v>0</v>
      </c>
      <c r="I19" s="91">
        <f t="shared" si="10"/>
        <v>1</v>
      </c>
      <c r="J19" s="76"/>
      <c r="K19" s="91">
        <f t="shared" ref="K19:O19" si="11">ROUND( K$16*K7,0)</f>
        <v>2</v>
      </c>
      <c r="L19" s="91">
        <f t="shared" si="11"/>
        <v>5</v>
      </c>
      <c r="M19" s="91">
        <f t="shared" si="11"/>
        <v>1</v>
      </c>
      <c r="N19" s="91">
        <f t="shared" si="11"/>
        <v>0</v>
      </c>
      <c r="O19" s="91">
        <f t="shared" si="11"/>
        <v>0</v>
      </c>
      <c r="P19" s="91">
        <v>3.0</v>
      </c>
      <c r="Q19" s="76"/>
      <c r="R19" s="92">
        <f t="shared" ref="R19:W19" si="12">ROUND( R$16*R7,0)</f>
        <v>2</v>
      </c>
      <c r="S19" s="92">
        <f t="shared" si="12"/>
        <v>5</v>
      </c>
      <c r="T19" s="92">
        <f t="shared" si="12"/>
        <v>1</v>
      </c>
      <c r="U19" s="92">
        <f t="shared" si="12"/>
        <v>0</v>
      </c>
      <c r="V19" s="92">
        <f t="shared" si="12"/>
        <v>0</v>
      </c>
      <c r="W19" s="92">
        <f t="shared" si="12"/>
        <v>1</v>
      </c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</row>
    <row r="20" ht="12.75" customHeight="1">
      <c r="A20" s="79"/>
      <c r="B20" s="76"/>
      <c r="C20" s="76" t="s">
        <v>83</v>
      </c>
      <c r="D20" s="91">
        <f t="shared" ref="D20:I20" si="13">ROUND( D$16*D8,0)</f>
        <v>2</v>
      </c>
      <c r="E20" s="91">
        <f t="shared" si="13"/>
        <v>2</v>
      </c>
      <c r="F20" s="91">
        <f t="shared" si="13"/>
        <v>10</v>
      </c>
      <c r="G20" s="91">
        <f t="shared" si="13"/>
        <v>12</v>
      </c>
      <c r="H20" s="91">
        <f t="shared" si="13"/>
        <v>2</v>
      </c>
      <c r="I20" s="91">
        <f t="shared" si="13"/>
        <v>0</v>
      </c>
      <c r="J20" s="76"/>
      <c r="K20" s="91">
        <f t="shared" ref="K20:P20" si="14">ROUND( K$16*K8,0)</f>
        <v>2</v>
      </c>
      <c r="L20" s="91">
        <f t="shared" si="14"/>
        <v>2</v>
      </c>
      <c r="M20" s="91">
        <f t="shared" si="14"/>
        <v>10</v>
      </c>
      <c r="N20" s="91">
        <f t="shared" si="14"/>
        <v>11</v>
      </c>
      <c r="O20" s="91">
        <f t="shared" si="14"/>
        <v>2</v>
      </c>
      <c r="P20" s="91">
        <f t="shared" si="14"/>
        <v>0</v>
      </c>
      <c r="Q20" s="76"/>
      <c r="R20" s="92">
        <f t="shared" ref="R20:W20" si="15">ROUND( R$16*R8,0)</f>
        <v>2</v>
      </c>
      <c r="S20" s="92">
        <f t="shared" si="15"/>
        <v>2</v>
      </c>
      <c r="T20" s="92">
        <f t="shared" si="15"/>
        <v>10</v>
      </c>
      <c r="U20" s="92">
        <f t="shared" si="15"/>
        <v>11</v>
      </c>
      <c r="V20" s="92">
        <f t="shared" si="15"/>
        <v>2</v>
      </c>
      <c r="W20" s="92">
        <f t="shared" si="15"/>
        <v>0</v>
      </c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</row>
    <row r="21" ht="12.75" customHeight="1">
      <c r="A21" s="79"/>
      <c r="B21" s="76"/>
      <c r="C21" s="76" t="s">
        <v>87</v>
      </c>
      <c r="D21" s="91">
        <f t="shared" ref="D21:I21" si="16">ROUND( D$16*D9,0)</f>
        <v>0</v>
      </c>
      <c r="E21" s="91">
        <f t="shared" si="16"/>
        <v>3</v>
      </c>
      <c r="F21" s="91">
        <f t="shared" si="16"/>
        <v>7</v>
      </c>
      <c r="G21" s="91">
        <f t="shared" si="16"/>
        <v>6</v>
      </c>
      <c r="H21" s="91">
        <f t="shared" si="16"/>
        <v>2</v>
      </c>
      <c r="I21" s="91">
        <f t="shared" si="16"/>
        <v>0</v>
      </c>
      <c r="J21" s="76"/>
      <c r="K21" s="91">
        <f t="shared" ref="K21:P21" si="17">ROUND( K$16*K9,0)</f>
        <v>0</v>
      </c>
      <c r="L21" s="91">
        <f t="shared" si="17"/>
        <v>3</v>
      </c>
      <c r="M21" s="91">
        <f t="shared" si="17"/>
        <v>7</v>
      </c>
      <c r="N21" s="91">
        <f t="shared" si="17"/>
        <v>5</v>
      </c>
      <c r="O21" s="91">
        <f t="shared" si="17"/>
        <v>2</v>
      </c>
      <c r="P21" s="91">
        <f t="shared" si="17"/>
        <v>0</v>
      </c>
      <c r="Q21" s="76"/>
      <c r="R21" s="92">
        <f t="shared" ref="R21:W21" si="18">ROUND( R$16*R9,0)</f>
        <v>0</v>
      </c>
      <c r="S21" s="92">
        <f t="shared" si="18"/>
        <v>3</v>
      </c>
      <c r="T21" s="92">
        <f t="shared" si="18"/>
        <v>7</v>
      </c>
      <c r="U21" s="92">
        <f t="shared" si="18"/>
        <v>5</v>
      </c>
      <c r="V21" s="92">
        <f t="shared" si="18"/>
        <v>2</v>
      </c>
      <c r="W21" s="92">
        <f t="shared" si="18"/>
        <v>0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</row>
    <row r="22" ht="12.75" customHeight="1">
      <c r="A22" s="79"/>
      <c r="B22" s="76"/>
      <c r="C22" s="76"/>
      <c r="D22" s="91"/>
      <c r="E22" s="91"/>
      <c r="F22" s="91"/>
      <c r="G22" s="91"/>
      <c r="H22" s="91"/>
      <c r="I22" s="91"/>
      <c r="J22" s="76"/>
      <c r="K22" s="91"/>
      <c r="L22" s="91"/>
      <c r="M22" s="91"/>
      <c r="N22" s="91"/>
      <c r="O22" s="91"/>
      <c r="P22" s="91"/>
      <c r="Q22" s="76"/>
      <c r="R22" s="92"/>
      <c r="S22" s="92"/>
      <c r="T22" s="92"/>
      <c r="U22" s="92"/>
      <c r="V22" s="92"/>
      <c r="W22" s="92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</row>
    <row r="23" ht="12.75" customHeight="1">
      <c r="A23" s="79"/>
      <c r="B23" s="76"/>
      <c r="C23" s="76"/>
      <c r="D23" s="93">
        <f>SUM(D17:D22)</f>
        <v>11</v>
      </c>
      <c r="E23" s="93">
        <f>SUM(E17:E21)</f>
        <v>17</v>
      </c>
      <c r="F23" s="93">
        <f t="shared" ref="F23:I23" si="19">SUM(F17:F22)</f>
        <v>18</v>
      </c>
      <c r="G23" s="93">
        <f t="shared" si="19"/>
        <v>20</v>
      </c>
      <c r="H23" s="93">
        <f t="shared" si="19"/>
        <v>17</v>
      </c>
      <c r="I23" s="93">
        <f t="shared" si="19"/>
        <v>15</v>
      </c>
      <c r="J23" s="93"/>
      <c r="K23" s="93">
        <f t="shared" ref="K23:P23" si="20">SUM(K17:K22)</f>
        <v>11</v>
      </c>
      <c r="L23" s="93">
        <f t="shared" si="20"/>
        <v>18</v>
      </c>
      <c r="M23" s="93">
        <f t="shared" si="20"/>
        <v>18</v>
      </c>
      <c r="N23" s="93">
        <f t="shared" si="20"/>
        <v>18</v>
      </c>
      <c r="O23" s="93">
        <f t="shared" si="20"/>
        <v>18</v>
      </c>
      <c r="P23" s="93">
        <f t="shared" si="20"/>
        <v>18</v>
      </c>
      <c r="Q23" s="76"/>
      <c r="R23" s="94">
        <f t="shared" ref="R23:W23" si="21">SUM(R17:R22)</f>
        <v>11</v>
      </c>
      <c r="S23" s="94">
        <f t="shared" si="21"/>
        <v>18</v>
      </c>
      <c r="T23" s="94">
        <f t="shared" si="21"/>
        <v>18</v>
      </c>
      <c r="U23" s="94">
        <f t="shared" si="21"/>
        <v>18</v>
      </c>
      <c r="V23" s="94">
        <f t="shared" si="21"/>
        <v>18</v>
      </c>
      <c r="W23" s="94">
        <f t="shared" si="21"/>
        <v>15</v>
      </c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</row>
    <row r="24" ht="12.75" customHeight="1">
      <c r="A24" s="79"/>
      <c r="B24" s="76"/>
      <c r="C24" s="8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</row>
    <row r="25" ht="12.75" customHeight="1">
      <c r="A25" s="79"/>
      <c r="B25" s="76"/>
      <c r="C25" s="80"/>
      <c r="D25" s="96">
        <v>2025.0</v>
      </c>
      <c r="AB25" s="97"/>
      <c r="AC25" s="96">
        <v>2026.0</v>
      </c>
      <c r="BA25" s="76"/>
      <c r="BB25" s="81">
        <v>2027.0</v>
      </c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</row>
    <row r="26" ht="12.75" customHeight="1">
      <c r="A26" s="79"/>
      <c r="B26" s="76"/>
      <c r="C26" s="80" t="s">
        <v>150</v>
      </c>
      <c r="D26" s="95" t="s">
        <v>151</v>
      </c>
      <c r="E26" s="95" t="s">
        <v>152</v>
      </c>
      <c r="F26" s="95" t="s">
        <v>153</v>
      </c>
      <c r="G26" s="95" t="s">
        <v>154</v>
      </c>
      <c r="H26" s="95" t="s">
        <v>155</v>
      </c>
      <c r="I26" s="95" t="s">
        <v>156</v>
      </c>
      <c r="J26" s="95" t="s">
        <v>151</v>
      </c>
      <c r="K26" s="95" t="s">
        <v>152</v>
      </c>
      <c r="L26" s="95" t="s">
        <v>153</v>
      </c>
      <c r="M26" s="95" t="s">
        <v>154</v>
      </c>
      <c r="N26" s="95" t="s">
        <v>155</v>
      </c>
      <c r="O26" s="95" t="s">
        <v>156</v>
      </c>
      <c r="P26" s="95" t="s">
        <v>151</v>
      </c>
      <c r="Q26" s="95" t="s">
        <v>152</v>
      </c>
      <c r="R26" s="95" t="s">
        <v>153</v>
      </c>
      <c r="S26" s="95" t="s">
        <v>154</v>
      </c>
      <c r="T26" s="95" t="s">
        <v>155</v>
      </c>
      <c r="U26" s="95" t="s">
        <v>156</v>
      </c>
      <c r="V26" s="95" t="s">
        <v>151</v>
      </c>
      <c r="W26" s="95" t="s">
        <v>152</v>
      </c>
      <c r="X26" s="95" t="s">
        <v>153</v>
      </c>
      <c r="Y26" s="95" t="s">
        <v>154</v>
      </c>
      <c r="Z26" s="95" t="s">
        <v>155</v>
      </c>
      <c r="AA26" s="95" t="s">
        <v>156</v>
      </c>
      <c r="AB26" s="76"/>
      <c r="AC26" s="95" t="s">
        <v>151</v>
      </c>
      <c r="AD26" s="95" t="s">
        <v>152</v>
      </c>
      <c r="AE26" s="95" t="s">
        <v>153</v>
      </c>
      <c r="AF26" s="95" t="s">
        <v>154</v>
      </c>
      <c r="AG26" s="95" t="s">
        <v>155</v>
      </c>
      <c r="AH26" s="95" t="s">
        <v>156</v>
      </c>
      <c r="AI26" s="95" t="s">
        <v>151</v>
      </c>
      <c r="AJ26" s="95" t="s">
        <v>152</v>
      </c>
      <c r="AK26" s="95" t="s">
        <v>153</v>
      </c>
      <c r="AL26" s="95" t="s">
        <v>154</v>
      </c>
      <c r="AM26" s="95" t="s">
        <v>155</v>
      </c>
      <c r="AN26" s="95" t="s">
        <v>156</v>
      </c>
      <c r="AO26" s="95" t="s">
        <v>151</v>
      </c>
      <c r="AP26" s="95" t="s">
        <v>152</v>
      </c>
      <c r="AQ26" s="95" t="s">
        <v>153</v>
      </c>
      <c r="AR26" s="95" t="s">
        <v>154</v>
      </c>
      <c r="AS26" s="95" t="s">
        <v>155</v>
      </c>
      <c r="AT26" s="95" t="s">
        <v>156</v>
      </c>
      <c r="AU26" s="95" t="s">
        <v>151</v>
      </c>
      <c r="AV26" s="95" t="s">
        <v>152</v>
      </c>
      <c r="AW26" s="95" t="s">
        <v>153</v>
      </c>
      <c r="AX26" s="95" t="s">
        <v>154</v>
      </c>
      <c r="AY26" s="95" t="s">
        <v>155</v>
      </c>
      <c r="AZ26" s="95" t="s">
        <v>156</v>
      </c>
      <c r="BA26" s="95"/>
      <c r="BB26" s="95" t="s">
        <v>151</v>
      </c>
      <c r="BC26" s="95" t="s">
        <v>152</v>
      </c>
      <c r="BD26" s="95" t="s">
        <v>153</v>
      </c>
      <c r="BE26" s="95" t="s">
        <v>154</v>
      </c>
      <c r="BF26" s="95" t="s">
        <v>155</v>
      </c>
      <c r="BG26" s="95" t="s">
        <v>156</v>
      </c>
      <c r="BH26" s="95" t="s">
        <v>151</v>
      </c>
      <c r="BI26" s="95" t="s">
        <v>152</v>
      </c>
      <c r="BJ26" s="95" t="s">
        <v>153</v>
      </c>
      <c r="BK26" s="95" t="s">
        <v>154</v>
      </c>
      <c r="BL26" s="95" t="s">
        <v>155</v>
      </c>
      <c r="BM26" s="95" t="s">
        <v>156</v>
      </c>
      <c r="BN26" s="95" t="s">
        <v>151</v>
      </c>
      <c r="BO26" s="95" t="s">
        <v>152</v>
      </c>
      <c r="BP26" s="95" t="s">
        <v>153</v>
      </c>
      <c r="BQ26" s="95" t="s">
        <v>154</v>
      </c>
      <c r="BR26" s="95" t="s">
        <v>155</v>
      </c>
      <c r="BS26" s="95" t="s">
        <v>156</v>
      </c>
      <c r="BT26" s="95" t="s">
        <v>151</v>
      </c>
      <c r="BU26" s="95" t="s">
        <v>152</v>
      </c>
      <c r="BV26" s="95" t="s">
        <v>153</v>
      </c>
      <c r="BW26" s="95" t="s">
        <v>154</v>
      </c>
      <c r="BX26" s="95" t="s">
        <v>155</v>
      </c>
      <c r="BY26" s="95" t="s">
        <v>156</v>
      </c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</row>
    <row r="27" ht="12.75" customHeight="1">
      <c r="A27" s="79"/>
      <c r="B27" s="76"/>
      <c r="C27" s="76"/>
      <c r="D27" s="76">
        <v>1.0</v>
      </c>
      <c r="E27" s="76">
        <v>2.0</v>
      </c>
      <c r="F27" s="76">
        <v>3.0</v>
      </c>
      <c r="G27" s="76">
        <v>4.0</v>
      </c>
      <c r="H27" s="76">
        <v>5.0</v>
      </c>
      <c r="I27" s="76">
        <v>6.0</v>
      </c>
      <c r="J27" s="76">
        <v>7.0</v>
      </c>
      <c r="K27" s="76">
        <v>8.0</v>
      </c>
      <c r="L27" s="76">
        <v>9.0</v>
      </c>
      <c r="M27" s="76">
        <v>10.0</v>
      </c>
      <c r="N27" s="76">
        <v>11.0</v>
      </c>
      <c r="O27" s="76">
        <v>12.0</v>
      </c>
      <c r="P27" s="76">
        <v>13.0</v>
      </c>
      <c r="Q27" s="76">
        <v>14.0</v>
      </c>
      <c r="R27" s="76">
        <v>15.0</v>
      </c>
      <c r="S27" s="76">
        <v>16.0</v>
      </c>
      <c r="T27" s="76">
        <v>17.0</v>
      </c>
      <c r="U27" s="76">
        <v>18.0</v>
      </c>
      <c r="V27" s="76">
        <v>19.0</v>
      </c>
      <c r="W27" s="76">
        <v>20.0</v>
      </c>
      <c r="X27" s="76">
        <v>21.0</v>
      </c>
      <c r="Y27" s="76">
        <v>22.0</v>
      </c>
      <c r="Z27" s="76">
        <v>23.0</v>
      </c>
      <c r="AA27" s="76">
        <v>24.0</v>
      </c>
      <c r="AB27" s="76"/>
      <c r="AC27" s="76">
        <v>1.0</v>
      </c>
      <c r="AD27" s="76">
        <v>2.0</v>
      </c>
      <c r="AE27" s="76">
        <v>3.0</v>
      </c>
      <c r="AF27" s="76">
        <v>4.0</v>
      </c>
      <c r="AG27" s="76">
        <v>5.0</v>
      </c>
      <c r="AH27" s="76">
        <v>6.0</v>
      </c>
      <c r="AI27" s="76">
        <v>7.0</v>
      </c>
      <c r="AJ27" s="76">
        <v>8.0</v>
      </c>
      <c r="AK27" s="76">
        <v>9.0</v>
      </c>
      <c r="AL27" s="76">
        <v>10.0</v>
      </c>
      <c r="AM27" s="76">
        <v>11.0</v>
      </c>
      <c r="AN27" s="76">
        <v>12.0</v>
      </c>
      <c r="AO27" s="76">
        <v>13.0</v>
      </c>
      <c r="AP27" s="76">
        <v>14.0</v>
      </c>
      <c r="AQ27" s="76">
        <v>15.0</v>
      </c>
      <c r="AR27" s="76">
        <v>16.0</v>
      </c>
      <c r="AS27" s="76">
        <v>17.0</v>
      </c>
      <c r="AT27" s="76">
        <v>18.0</v>
      </c>
      <c r="AU27" s="76">
        <v>19.0</v>
      </c>
      <c r="AV27" s="76">
        <v>20.0</v>
      </c>
      <c r="AW27" s="76">
        <v>21.0</v>
      </c>
      <c r="AX27" s="76">
        <v>22.0</v>
      </c>
      <c r="AY27" s="76">
        <v>23.0</v>
      </c>
      <c r="AZ27" s="76">
        <v>24.0</v>
      </c>
      <c r="BA27" s="76"/>
      <c r="BB27" s="76">
        <v>1.0</v>
      </c>
      <c r="BC27" s="76">
        <v>2.0</v>
      </c>
      <c r="BD27" s="76">
        <v>3.0</v>
      </c>
      <c r="BE27" s="76">
        <v>4.0</v>
      </c>
      <c r="BF27" s="76">
        <v>5.0</v>
      </c>
      <c r="BG27" s="76">
        <v>6.0</v>
      </c>
      <c r="BH27" s="76">
        <v>7.0</v>
      </c>
      <c r="BI27" s="76">
        <v>8.0</v>
      </c>
      <c r="BJ27" s="76">
        <v>9.0</v>
      </c>
      <c r="BK27" s="76">
        <v>10.0</v>
      </c>
      <c r="BL27" s="76">
        <v>11.0</v>
      </c>
      <c r="BM27" s="76">
        <v>12.0</v>
      </c>
      <c r="BN27" s="76">
        <v>13.0</v>
      </c>
      <c r="BO27" s="76">
        <v>14.0</v>
      </c>
      <c r="BP27" s="76">
        <v>15.0</v>
      </c>
      <c r="BQ27" s="76">
        <v>16.0</v>
      </c>
      <c r="BR27" s="76">
        <v>17.0</v>
      </c>
      <c r="BS27" s="76">
        <v>18.0</v>
      </c>
      <c r="BT27" s="76">
        <v>19.0</v>
      </c>
      <c r="BU27" s="76">
        <v>20.0</v>
      </c>
      <c r="BV27" s="76">
        <v>21.0</v>
      </c>
      <c r="BW27" s="76">
        <v>22.0</v>
      </c>
      <c r="BX27" s="76">
        <v>23.0</v>
      </c>
      <c r="BY27" s="76">
        <v>24.0</v>
      </c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</row>
    <row r="28" ht="12.75" customHeight="1">
      <c r="A28" s="79"/>
      <c r="C28" s="82" t="s">
        <v>157</v>
      </c>
      <c r="D28" s="98">
        <v>0.5</v>
      </c>
      <c r="E28" s="98">
        <v>0.5</v>
      </c>
      <c r="F28" s="98">
        <v>0.6</v>
      </c>
      <c r="G28" s="98">
        <v>0.7</v>
      </c>
      <c r="H28" s="98">
        <v>0.85</v>
      </c>
      <c r="I28" s="98">
        <v>0.9</v>
      </c>
      <c r="J28" s="98">
        <v>0.6</v>
      </c>
      <c r="K28" s="98">
        <v>0.7</v>
      </c>
      <c r="L28" s="98">
        <v>0.7</v>
      </c>
      <c r="M28" s="98">
        <v>0.75</v>
      </c>
      <c r="N28" s="98">
        <v>0.85</v>
      </c>
      <c r="O28" s="98">
        <v>0.95</v>
      </c>
      <c r="P28" s="98">
        <v>0.6</v>
      </c>
      <c r="Q28" s="98">
        <v>0.7</v>
      </c>
      <c r="R28" s="98">
        <v>0.7</v>
      </c>
      <c r="S28" s="98">
        <v>0.85</v>
      </c>
      <c r="T28" s="98">
        <v>0.9</v>
      </c>
      <c r="U28" s="98">
        <v>0.9</v>
      </c>
      <c r="V28" s="98">
        <v>0.6</v>
      </c>
      <c r="W28" s="98">
        <v>0.7</v>
      </c>
      <c r="X28" s="98">
        <v>0.8</v>
      </c>
      <c r="Y28" s="98">
        <v>0.9</v>
      </c>
      <c r="Z28" s="98">
        <v>1.0</v>
      </c>
      <c r="AA28" s="98">
        <v>1.0</v>
      </c>
      <c r="AB28" s="76"/>
      <c r="AC28" s="98">
        <v>0.7</v>
      </c>
      <c r="AD28" s="98">
        <v>0.7</v>
      </c>
      <c r="AE28" s="98">
        <v>0.7</v>
      </c>
      <c r="AF28" s="98">
        <v>0.9</v>
      </c>
      <c r="AG28" s="98">
        <v>1.0</v>
      </c>
      <c r="AH28" s="98">
        <v>1.0</v>
      </c>
      <c r="AI28" s="98">
        <v>0.7</v>
      </c>
      <c r="AJ28" s="98">
        <v>0.7</v>
      </c>
      <c r="AK28" s="98">
        <v>0.7</v>
      </c>
      <c r="AL28" s="98">
        <v>0.9</v>
      </c>
      <c r="AM28" s="98">
        <v>1.0</v>
      </c>
      <c r="AN28" s="98">
        <v>1.0</v>
      </c>
      <c r="AO28" s="98">
        <v>0.7</v>
      </c>
      <c r="AP28" s="98">
        <v>0.7</v>
      </c>
      <c r="AQ28" s="98">
        <v>0.7</v>
      </c>
      <c r="AR28" s="98">
        <v>0.9</v>
      </c>
      <c r="AS28" s="98">
        <v>1.0</v>
      </c>
      <c r="AT28" s="98">
        <v>1.0</v>
      </c>
      <c r="AU28" s="98">
        <v>0.7</v>
      </c>
      <c r="AV28" s="98">
        <v>0.7</v>
      </c>
      <c r="AW28" s="98">
        <v>0.7</v>
      </c>
      <c r="AX28" s="98">
        <v>0.9</v>
      </c>
      <c r="AY28" s="98">
        <v>1.0</v>
      </c>
      <c r="AZ28" s="98">
        <v>1.0</v>
      </c>
      <c r="BA28" s="98"/>
      <c r="BB28" s="98">
        <v>0.7</v>
      </c>
      <c r="BC28" s="98">
        <v>0.7</v>
      </c>
      <c r="BD28" s="98">
        <v>0.7</v>
      </c>
      <c r="BE28" s="98">
        <v>0.9</v>
      </c>
      <c r="BF28" s="98">
        <v>1.0</v>
      </c>
      <c r="BG28" s="98">
        <v>1.0</v>
      </c>
      <c r="BH28" s="98">
        <v>0.7</v>
      </c>
      <c r="BI28" s="98">
        <v>0.7</v>
      </c>
      <c r="BJ28" s="98">
        <v>0.8</v>
      </c>
      <c r="BK28" s="98">
        <v>1.0</v>
      </c>
      <c r="BL28" s="98">
        <v>1.0</v>
      </c>
      <c r="BM28" s="98">
        <v>1.0</v>
      </c>
      <c r="BN28" s="98">
        <v>0.8</v>
      </c>
      <c r="BO28" s="98">
        <v>0.8</v>
      </c>
      <c r="BP28" s="98">
        <v>0.8</v>
      </c>
      <c r="BQ28" s="98">
        <v>1.0</v>
      </c>
      <c r="BR28" s="98">
        <v>1.0</v>
      </c>
      <c r="BS28" s="98">
        <v>1.0</v>
      </c>
      <c r="BT28" s="98">
        <v>0.8</v>
      </c>
      <c r="BU28" s="98">
        <v>0.8</v>
      </c>
      <c r="BV28" s="98">
        <v>0.8</v>
      </c>
      <c r="BW28" s="98">
        <v>1.0</v>
      </c>
      <c r="BX28" s="98">
        <v>1.0</v>
      </c>
      <c r="BY28" s="98">
        <v>1.0</v>
      </c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</row>
    <row r="29" ht="12.75" customHeight="1">
      <c r="A29" s="79"/>
      <c r="B29" s="76"/>
      <c r="C29" s="76" t="s">
        <v>148</v>
      </c>
      <c r="D29" s="76">
        <f t="shared" ref="D29:AA29" si="22">ROUND(SUM($D17:$I17)*D$28,0)</f>
        <v>9</v>
      </c>
      <c r="E29" s="76">
        <f t="shared" si="22"/>
        <v>9</v>
      </c>
      <c r="F29" s="76">
        <f t="shared" si="22"/>
        <v>10</v>
      </c>
      <c r="G29" s="76">
        <f t="shared" si="22"/>
        <v>12</v>
      </c>
      <c r="H29" s="76">
        <f t="shared" si="22"/>
        <v>14</v>
      </c>
      <c r="I29" s="76">
        <f t="shared" si="22"/>
        <v>15</v>
      </c>
      <c r="J29" s="76">
        <f t="shared" si="22"/>
        <v>10</v>
      </c>
      <c r="K29" s="76">
        <f t="shared" si="22"/>
        <v>12</v>
      </c>
      <c r="L29" s="76">
        <f t="shared" si="22"/>
        <v>12</v>
      </c>
      <c r="M29" s="76">
        <f t="shared" si="22"/>
        <v>13</v>
      </c>
      <c r="N29" s="76">
        <f t="shared" si="22"/>
        <v>14</v>
      </c>
      <c r="O29" s="76">
        <f t="shared" si="22"/>
        <v>16</v>
      </c>
      <c r="P29" s="76">
        <f t="shared" si="22"/>
        <v>10</v>
      </c>
      <c r="Q29" s="76">
        <f t="shared" si="22"/>
        <v>12</v>
      </c>
      <c r="R29" s="76">
        <f t="shared" si="22"/>
        <v>12</v>
      </c>
      <c r="S29" s="76">
        <f t="shared" si="22"/>
        <v>14</v>
      </c>
      <c r="T29" s="76">
        <f t="shared" si="22"/>
        <v>15</v>
      </c>
      <c r="U29" s="76">
        <f t="shared" si="22"/>
        <v>15</v>
      </c>
      <c r="V29" s="76">
        <f t="shared" si="22"/>
        <v>10</v>
      </c>
      <c r="W29" s="76">
        <f t="shared" si="22"/>
        <v>12</v>
      </c>
      <c r="X29" s="76">
        <f t="shared" si="22"/>
        <v>14</v>
      </c>
      <c r="Y29" s="76">
        <f t="shared" si="22"/>
        <v>15</v>
      </c>
      <c r="Z29" s="76">
        <f t="shared" si="22"/>
        <v>17</v>
      </c>
      <c r="AA29" s="76">
        <f t="shared" si="22"/>
        <v>17</v>
      </c>
      <c r="AB29" s="76"/>
      <c r="AC29" s="76">
        <f t="shared" ref="AC29:AZ29" si="23">ROUND(SUM($K17:$P17)*AC$28,0)</f>
        <v>12</v>
      </c>
      <c r="AD29" s="76">
        <f t="shared" si="23"/>
        <v>12</v>
      </c>
      <c r="AE29" s="76">
        <f t="shared" si="23"/>
        <v>12</v>
      </c>
      <c r="AF29" s="76">
        <f t="shared" si="23"/>
        <v>15</v>
      </c>
      <c r="AG29" s="76">
        <f t="shared" si="23"/>
        <v>17</v>
      </c>
      <c r="AH29" s="76">
        <f t="shared" si="23"/>
        <v>17</v>
      </c>
      <c r="AI29" s="76">
        <f t="shared" si="23"/>
        <v>12</v>
      </c>
      <c r="AJ29" s="76">
        <f t="shared" si="23"/>
        <v>12</v>
      </c>
      <c r="AK29" s="76">
        <f t="shared" si="23"/>
        <v>12</v>
      </c>
      <c r="AL29" s="76">
        <f t="shared" si="23"/>
        <v>15</v>
      </c>
      <c r="AM29" s="76">
        <f t="shared" si="23"/>
        <v>17</v>
      </c>
      <c r="AN29" s="76">
        <f t="shared" si="23"/>
        <v>17</v>
      </c>
      <c r="AO29" s="76">
        <f t="shared" si="23"/>
        <v>12</v>
      </c>
      <c r="AP29" s="76">
        <f t="shared" si="23"/>
        <v>12</v>
      </c>
      <c r="AQ29" s="76">
        <f t="shared" si="23"/>
        <v>12</v>
      </c>
      <c r="AR29" s="76">
        <f t="shared" si="23"/>
        <v>15</v>
      </c>
      <c r="AS29" s="76">
        <f t="shared" si="23"/>
        <v>17</v>
      </c>
      <c r="AT29" s="76">
        <f t="shared" si="23"/>
        <v>17</v>
      </c>
      <c r="AU29" s="76">
        <f t="shared" si="23"/>
        <v>12</v>
      </c>
      <c r="AV29" s="76">
        <f t="shared" si="23"/>
        <v>12</v>
      </c>
      <c r="AW29" s="76">
        <f t="shared" si="23"/>
        <v>12</v>
      </c>
      <c r="AX29" s="76">
        <f t="shared" si="23"/>
        <v>15</v>
      </c>
      <c r="AY29" s="76">
        <f t="shared" si="23"/>
        <v>17</v>
      </c>
      <c r="AZ29" s="76">
        <f t="shared" si="23"/>
        <v>17</v>
      </c>
      <c r="BA29" s="76"/>
      <c r="BB29" s="76">
        <f t="shared" ref="BB29:BY29" si="24">ROUND(SUM($R17:$W17)*BB$28,0)</f>
        <v>12</v>
      </c>
      <c r="BC29" s="76">
        <f t="shared" si="24"/>
        <v>12</v>
      </c>
      <c r="BD29" s="76">
        <f t="shared" si="24"/>
        <v>12</v>
      </c>
      <c r="BE29" s="76">
        <f t="shared" si="24"/>
        <v>15</v>
      </c>
      <c r="BF29" s="76">
        <f t="shared" si="24"/>
        <v>17</v>
      </c>
      <c r="BG29" s="76">
        <f t="shared" si="24"/>
        <v>17</v>
      </c>
      <c r="BH29" s="76">
        <f t="shared" si="24"/>
        <v>12</v>
      </c>
      <c r="BI29" s="76">
        <f t="shared" si="24"/>
        <v>12</v>
      </c>
      <c r="BJ29" s="76">
        <f t="shared" si="24"/>
        <v>14</v>
      </c>
      <c r="BK29" s="76">
        <f t="shared" si="24"/>
        <v>17</v>
      </c>
      <c r="BL29" s="76">
        <f t="shared" si="24"/>
        <v>17</v>
      </c>
      <c r="BM29" s="76">
        <f t="shared" si="24"/>
        <v>17</v>
      </c>
      <c r="BN29" s="76">
        <f t="shared" si="24"/>
        <v>14</v>
      </c>
      <c r="BO29" s="76">
        <f t="shared" si="24"/>
        <v>14</v>
      </c>
      <c r="BP29" s="76">
        <f t="shared" si="24"/>
        <v>14</v>
      </c>
      <c r="BQ29" s="76">
        <f t="shared" si="24"/>
        <v>17</v>
      </c>
      <c r="BR29" s="76">
        <f t="shared" si="24"/>
        <v>17</v>
      </c>
      <c r="BS29" s="76">
        <f t="shared" si="24"/>
        <v>17</v>
      </c>
      <c r="BT29" s="76">
        <f t="shared" si="24"/>
        <v>14</v>
      </c>
      <c r="BU29" s="76">
        <f t="shared" si="24"/>
        <v>14</v>
      </c>
      <c r="BV29" s="76">
        <f t="shared" si="24"/>
        <v>14</v>
      </c>
      <c r="BW29" s="76">
        <f t="shared" si="24"/>
        <v>17</v>
      </c>
      <c r="BX29" s="76">
        <f t="shared" si="24"/>
        <v>17</v>
      </c>
      <c r="BY29" s="76">
        <f t="shared" si="24"/>
        <v>17</v>
      </c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</row>
    <row r="30" ht="12.75" customHeight="1">
      <c r="A30" s="79"/>
      <c r="B30" s="76"/>
      <c r="C30" s="76" t="s">
        <v>76</v>
      </c>
      <c r="D30" s="76">
        <f t="shared" ref="D30:AA30" si="25">ROUND(SUM($D18:$I18)*D$28,0)</f>
        <v>13</v>
      </c>
      <c r="E30" s="76">
        <f t="shared" si="25"/>
        <v>13</v>
      </c>
      <c r="F30" s="76">
        <f t="shared" si="25"/>
        <v>16</v>
      </c>
      <c r="G30" s="76">
        <f t="shared" si="25"/>
        <v>18</v>
      </c>
      <c r="H30" s="76">
        <f t="shared" si="25"/>
        <v>22</v>
      </c>
      <c r="I30" s="76">
        <f t="shared" si="25"/>
        <v>23</v>
      </c>
      <c r="J30" s="76">
        <f t="shared" si="25"/>
        <v>16</v>
      </c>
      <c r="K30" s="76">
        <f t="shared" si="25"/>
        <v>18</v>
      </c>
      <c r="L30" s="76">
        <f t="shared" si="25"/>
        <v>18</v>
      </c>
      <c r="M30" s="76">
        <f t="shared" si="25"/>
        <v>20</v>
      </c>
      <c r="N30" s="76">
        <f t="shared" si="25"/>
        <v>22</v>
      </c>
      <c r="O30" s="76">
        <f t="shared" si="25"/>
        <v>25</v>
      </c>
      <c r="P30" s="76">
        <f t="shared" si="25"/>
        <v>16</v>
      </c>
      <c r="Q30" s="76">
        <f t="shared" si="25"/>
        <v>18</v>
      </c>
      <c r="R30" s="76">
        <f t="shared" si="25"/>
        <v>18</v>
      </c>
      <c r="S30" s="76">
        <f t="shared" si="25"/>
        <v>22</v>
      </c>
      <c r="T30" s="76">
        <f t="shared" si="25"/>
        <v>23</v>
      </c>
      <c r="U30" s="76">
        <f t="shared" si="25"/>
        <v>23</v>
      </c>
      <c r="V30" s="76">
        <f t="shared" si="25"/>
        <v>16</v>
      </c>
      <c r="W30" s="76">
        <f t="shared" si="25"/>
        <v>18</v>
      </c>
      <c r="X30" s="76">
        <f t="shared" si="25"/>
        <v>21</v>
      </c>
      <c r="Y30" s="76">
        <f t="shared" si="25"/>
        <v>23</v>
      </c>
      <c r="Z30" s="76">
        <f t="shared" si="25"/>
        <v>26</v>
      </c>
      <c r="AA30" s="76">
        <f t="shared" si="25"/>
        <v>26</v>
      </c>
      <c r="AB30" s="76"/>
      <c r="AC30" s="76">
        <f t="shared" ref="AC30:AZ30" si="26">ROUND(SUM($K18:$P18)*AC$28,0)</f>
        <v>20</v>
      </c>
      <c r="AD30" s="76">
        <f t="shared" si="26"/>
        <v>20</v>
      </c>
      <c r="AE30" s="76">
        <f t="shared" si="26"/>
        <v>20</v>
      </c>
      <c r="AF30" s="76">
        <f t="shared" si="26"/>
        <v>26</v>
      </c>
      <c r="AG30" s="76">
        <f t="shared" si="26"/>
        <v>29</v>
      </c>
      <c r="AH30" s="76">
        <f t="shared" si="26"/>
        <v>29</v>
      </c>
      <c r="AI30" s="76">
        <f t="shared" si="26"/>
        <v>20</v>
      </c>
      <c r="AJ30" s="76">
        <f t="shared" si="26"/>
        <v>20</v>
      </c>
      <c r="AK30" s="76">
        <f t="shared" si="26"/>
        <v>20</v>
      </c>
      <c r="AL30" s="76">
        <f t="shared" si="26"/>
        <v>26</v>
      </c>
      <c r="AM30" s="76">
        <f t="shared" si="26"/>
        <v>29</v>
      </c>
      <c r="AN30" s="76">
        <f t="shared" si="26"/>
        <v>29</v>
      </c>
      <c r="AO30" s="76">
        <f t="shared" si="26"/>
        <v>20</v>
      </c>
      <c r="AP30" s="76">
        <f t="shared" si="26"/>
        <v>20</v>
      </c>
      <c r="AQ30" s="76">
        <f t="shared" si="26"/>
        <v>20</v>
      </c>
      <c r="AR30" s="76">
        <f t="shared" si="26"/>
        <v>26</v>
      </c>
      <c r="AS30" s="76">
        <f t="shared" si="26"/>
        <v>29</v>
      </c>
      <c r="AT30" s="76">
        <f t="shared" si="26"/>
        <v>29</v>
      </c>
      <c r="AU30" s="76">
        <f t="shared" si="26"/>
        <v>20</v>
      </c>
      <c r="AV30" s="76">
        <f t="shared" si="26"/>
        <v>20</v>
      </c>
      <c r="AW30" s="76">
        <f t="shared" si="26"/>
        <v>20</v>
      </c>
      <c r="AX30" s="76">
        <f t="shared" si="26"/>
        <v>26</v>
      </c>
      <c r="AY30" s="76">
        <f t="shared" si="26"/>
        <v>29</v>
      </c>
      <c r="AZ30" s="76">
        <f t="shared" si="26"/>
        <v>29</v>
      </c>
      <c r="BA30" s="76"/>
      <c r="BB30" s="76">
        <f t="shared" ref="BB30:BY30" si="27">ROUND(SUM($R18:$W18)*BB$28,0)</f>
        <v>20</v>
      </c>
      <c r="BC30" s="76">
        <f t="shared" si="27"/>
        <v>20</v>
      </c>
      <c r="BD30" s="76">
        <f t="shared" si="27"/>
        <v>20</v>
      </c>
      <c r="BE30" s="76">
        <f t="shared" si="27"/>
        <v>25</v>
      </c>
      <c r="BF30" s="76">
        <f t="shared" si="27"/>
        <v>28</v>
      </c>
      <c r="BG30" s="76">
        <f t="shared" si="27"/>
        <v>28</v>
      </c>
      <c r="BH30" s="76">
        <f t="shared" si="27"/>
        <v>20</v>
      </c>
      <c r="BI30" s="76">
        <f t="shared" si="27"/>
        <v>20</v>
      </c>
      <c r="BJ30" s="76">
        <f t="shared" si="27"/>
        <v>22</v>
      </c>
      <c r="BK30" s="76">
        <f t="shared" si="27"/>
        <v>28</v>
      </c>
      <c r="BL30" s="76">
        <f t="shared" si="27"/>
        <v>28</v>
      </c>
      <c r="BM30" s="76">
        <f t="shared" si="27"/>
        <v>28</v>
      </c>
      <c r="BN30" s="76">
        <f t="shared" si="27"/>
        <v>22</v>
      </c>
      <c r="BO30" s="76">
        <f t="shared" si="27"/>
        <v>22</v>
      </c>
      <c r="BP30" s="76">
        <f t="shared" si="27"/>
        <v>22</v>
      </c>
      <c r="BQ30" s="76">
        <f t="shared" si="27"/>
        <v>28</v>
      </c>
      <c r="BR30" s="76">
        <f t="shared" si="27"/>
        <v>28</v>
      </c>
      <c r="BS30" s="76">
        <f t="shared" si="27"/>
        <v>28</v>
      </c>
      <c r="BT30" s="76">
        <f t="shared" si="27"/>
        <v>22</v>
      </c>
      <c r="BU30" s="76">
        <f t="shared" si="27"/>
        <v>22</v>
      </c>
      <c r="BV30" s="76">
        <f t="shared" si="27"/>
        <v>22</v>
      </c>
      <c r="BW30" s="76">
        <f t="shared" si="27"/>
        <v>28</v>
      </c>
      <c r="BX30" s="76">
        <f t="shared" si="27"/>
        <v>28</v>
      </c>
      <c r="BY30" s="76">
        <f t="shared" si="27"/>
        <v>28</v>
      </c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</row>
    <row r="31" ht="12.75" customHeight="1">
      <c r="A31" s="79"/>
      <c r="B31" s="76"/>
      <c r="C31" s="76" t="s">
        <v>80</v>
      </c>
      <c r="D31" s="76">
        <f t="shared" ref="D31:AA31" si="28">ROUND(SUM($D19:$I19)*D$28,0)</f>
        <v>5</v>
      </c>
      <c r="E31" s="76">
        <f t="shared" si="28"/>
        <v>5</v>
      </c>
      <c r="F31" s="76">
        <f t="shared" si="28"/>
        <v>5</v>
      </c>
      <c r="G31" s="76">
        <f t="shared" si="28"/>
        <v>6</v>
      </c>
      <c r="H31" s="76">
        <f t="shared" si="28"/>
        <v>8</v>
      </c>
      <c r="I31" s="76">
        <f t="shared" si="28"/>
        <v>8</v>
      </c>
      <c r="J31" s="76">
        <f t="shared" si="28"/>
        <v>5</v>
      </c>
      <c r="K31" s="76">
        <f t="shared" si="28"/>
        <v>6</v>
      </c>
      <c r="L31" s="76">
        <f t="shared" si="28"/>
        <v>6</v>
      </c>
      <c r="M31" s="76">
        <f t="shared" si="28"/>
        <v>7</v>
      </c>
      <c r="N31" s="76">
        <f t="shared" si="28"/>
        <v>8</v>
      </c>
      <c r="O31" s="76">
        <f t="shared" si="28"/>
        <v>9</v>
      </c>
      <c r="P31" s="76">
        <f t="shared" si="28"/>
        <v>5</v>
      </c>
      <c r="Q31" s="76">
        <f t="shared" si="28"/>
        <v>6</v>
      </c>
      <c r="R31" s="76">
        <f t="shared" si="28"/>
        <v>6</v>
      </c>
      <c r="S31" s="76">
        <f t="shared" si="28"/>
        <v>8</v>
      </c>
      <c r="T31" s="76">
        <f t="shared" si="28"/>
        <v>8</v>
      </c>
      <c r="U31" s="76">
        <f t="shared" si="28"/>
        <v>8</v>
      </c>
      <c r="V31" s="76">
        <f t="shared" si="28"/>
        <v>5</v>
      </c>
      <c r="W31" s="76">
        <f t="shared" si="28"/>
        <v>6</v>
      </c>
      <c r="X31" s="76">
        <f t="shared" si="28"/>
        <v>7</v>
      </c>
      <c r="Y31" s="76">
        <f t="shared" si="28"/>
        <v>8</v>
      </c>
      <c r="Z31" s="76">
        <f t="shared" si="28"/>
        <v>9</v>
      </c>
      <c r="AA31" s="76">
        <f t="shared" si="28"/>
        <v>9</v>
      </c>
      <c r="AB31" s="76"/>
      <c r="AC31" s="76">
        <f t="shared" ref="AC31:AZ31" si="29">ROUND(SUM($K19:$P19)*AC$28,0)</f>
        <v>8</v>
      </c>
      <c r="AD31" s="76">
        <f t="shared" si="29"/>
        <v>8</v>
      </c>
      <c r="AE31" s="76">
        <f t="shared" si="29"/>
        <v>8</v>
      </c>
      <c r="AF31" s="76">
        <f t="shared" si="29"/>
        <v>10</v>
      </c>
      <c r="AG31" s="76">
        <f t="shared" si="29"/>
        <v>11</v>
      </c>
      <c r="AH31" s="76">
        <f t="shared" si="29"/>
        <v>11</v>
      </c>
      <c r="AI31" s="76">
        <f t="shared" si="29"/>
        <v>8</v>
      </c>
      <c r="AJ31" s="76">
        <f t="shared" si="29"/>
        <v>8</v>
      </c>
      <c r="AK31" s="76">
        <f t="shared" si="29"/>
        <v>8</v>
      </c>
      <c r="AL31" s="76">
        <f t="shared" si="29"/>
        <v>10</v>
      </c>
      <c r="AM31" s="76">
        <f t="shared" si="29"/>
        <v>11</v>
      </c>
      <c r="AN31" s="76">
        <f t="shared" si="29"/>
        <v>11</v>
      </c>
      <c r="AO31" s="76">
        <f t="shared" si="29"/>
        <v>8</v>
      </c>
      <c r="AP31" s="76">
        <f t="shared" si="29"/>
        <v>8</v>
      </c>
      <c r="AQ31" s="76">
        <f t="shared" si="29"/>
        <v>8</v>
      </c>
      <c r="AR31" s="76">
        <f t="shared" si="29"/>
        <v>10</v>
      </c>
      <c r="AS31" s="76">
        <f t="shared" si="29"/>
        <v>11</v>
      </c>
      <c r="AT31" s="76">
        <f t="shared" si="29"/>
        <v>11</v>
      </c>
      <c r="AU31" s="76">
        <f t="shared" si="29"/>
        <v>8</v>
      </c>
      <c r="AV31" s="76">
        <f t="shared" si="29"/>
        <v>8</v>
      </c>
      <c r="AW31" s="76">
        <f t="shared" si="29"/>
        <v>8</v>
      </c>
      <c r="AX31" s="76">
        <f t="shared" si="29"/>
        <v>10</v>
      </c>
      <c r="AY31" s="76">
        <f t="shared" si="29"/>
        <v>11</v>
      </c>
      <c r="AZ31" s="76">
        <f t="shared" si="29"/>
        <v>11</v>
      </c>
      <c r="BA31" s="76"/>
      <c r="BB31" s="76">
        <f t="shared" ref="BB31:BY31" si="30">ROUND(SUM($R19:$W19)*BB$28,0)</f>
        <v>6</v>
      </c>
      <c r="BC31" s="76">
        <f t="shared" si="30"/>
        <v>6</v>
      </c>
      <c r="BD31" s="76">
        <f t="shared" si="30"/>
        <v>6</v>
      </c>
      <c r="BE31" s="76">
        <f t="shared" si="30"/>
        <v>8</v>
      </c>
      <c r="BF31" s="76">
        <f t="shared" si="30"/>
        <v>9</v>
      </c>
      <c r="BG31" s="76">
        <f t="shared" si="30"/>
        <v>9</v>
      </c>
      <c r="BH31" s="76">
        <f t="shared" si="30"/>
        <v>6</v>
      </c>
      <c r="BI31" s="76">
        <f t="shared" si="30"/>
        <v>6</v>
      </c>
      <c r="BJ31" s="76">
        <f t="shared" si="30"/>
        <v>7</v>
      </c>
      <c r="BK31" s="76">
        <f t="shared" si="30"/>
        <v>9</v>
      </c>
      <c r="BL31" s="76">
        <f t="shared" si="30"/>
        <v>9</v>
      </c>
      <c r="BM31" s="76">
        <f t="shared" si="30"/>
        <v>9</v>
      </c>
      <c r="BN31" s="76">
        <f t="shared" si="30"/>
        <v>7</v>
      </c>
      <c r="BO31" s="76">
        <f t="shared" si="30"/>
        <v>7</v>
      </c>
      <c r="BP31" s="76">
        <f t="shared" si="30"/>
        <v>7</v>
      </c>
      <c r="BQ31" s="76">
        <f t="shared" si="30"/>
        <v>9</v>
      </c>
      <c r="BR31" s="76">
        <f t="shared" si="30"/>
        <v>9</v>
      </c>
      <c r="BS31" s="76">
        <f t="shared" si="30"/>
        <v>9</v>
      </c>
      <c r="BT31" s="76">
        <f t="shared" si="30"/>
        <v>7</v>
      </c>
      <c r="BU31" s="76">
        <f t="shared" si="30"/>
        <v>7</v>
      </c>
      <c r="BV31" s="76">
        <f t="shared" si="30"/>
        <v>7</v>
      </c>
      <c r="BW31" s="76">
        <f t="shared" si="30"/>
        <v>9</v>
      </c>
      <c r="BX31" s="76">
        <f t="shared" si="30"/>
        <v>9</v>
      </c>
      <c r="BY31" s="76">
        <f t="shared" si="30"/>
        <v>9</v>
      </c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</row>
    <row r="32" ht="12.75" customHeight="1">
      <c r="A32" s="79"/>
      <c r="B32" s="76"/>
      <c r="C32" s="76" t="s">
        <v>83</v>
      </c>
      <c r="D32" s="76">
        <f t="shared" ref="D32:AA32" si="31">ROUND(SUM($D20:$I20)*D$28,0)</f>
        <v>14</v>
      </c>
      <c r="E32" s="76">
        <f t="shared" si="31"/>
        <v>14</v>
      </c>
      <c r="F32" s="76">
        <f t="shared" si="31"/>
        <v>17</v>
      </c>
      <c r="G32" s="76">
        <f t="shared" si="31"/>
        <v>20</v>
      </c>
      <c r="H32" s="76">
        <f t="shared" si="31"/>
        <v>24</v>
      </c>
      <c r="I32" s="76">
        <f t="shared" si="31"/>
        <v>25</v>
      </c>
      <c r="J32" s="76">
        <f t="shared" si="31"/>
        <v>17</v>
      </c>
      <c r="K32" s="76">
        <f t="shared" si="31"/>
        <v>20</v>
      </c>
      <c r="L32" s="76">
        <f t="shared" si="31"/>
        <v>20</v>
      </c>
      <c r="M32" s="76">
        <f t="shared" si="31"/>
        <v>21</v>
      </c>
      <c r="N32" s="76">
        <f t="shared" si="31"/>
        <v>24</v>
      </c>
      <c r="O32" s="76">
        <f t="shared" si="31"/>
        <v>27</v>
      </c>
      <c r="P32" s="76">
        <f t="shared" si="31"/>
        <v>17</v>
      </c>
      <c r="Q32" s="76">
        <f t="shared" si="31"/>
        <v>20</v>
      </c>
      <c r="R32" s="76">
        <f t="shared" si="31"/>
        <v>20</v>
      </c>
      <c r="S32" s="76">
        <f t="shared" si="31"/>
        <v>24</v>
      </c>
      <c r="T32" s="76">
        <f t="shared" si="31"/>
        <v>25</v>
      </c>
      <c r="U32" s="76">
        <f t="shared" si="31"/>
        <v>25</v>
      </c>
      <c r="V32" s="76">
        <f t="shared" si="31"/>
        <v>17</v>
      </c>
      <c r="W32" s="76">
        <f t="shared" si="31"/>
        <v>20</v>
      </c>
      <c r="X32" s="76">
        <f t="shared" si="31"/>
        <v>22</v>
      </c>
      <c r="Y32" s="76">
        <f t="shared" si="31"/>
        <v>25</v>
      </c>
      <c r="Z32" s="76">
        <f t="shared" si="31"/>
        <v>28</v>
      </c>
      <c r="AA32" s="76">
        <f t="shared" si="31"/>
        <v>28</v>
      </c>
      <c r="AB32" s="76"/>
      <c r="AC32" s="76">
        <f t="shared" ref="AC32:AZ32" si="32">ROUND(SUM($K20:$P20)*AC$28,0)</f>
        <v>19</v>
      </c>
      <c r="AD32" s="76">
        <f t="shared" si="32"/>
        <v>19</v>
      </c>
      <c r="AE32" s="76">
        <f t="shared" si="32"/>
        <v>19</v>
      </c>
      <c r="AF32" s="76">
        <f t="shared" si="32"/>
        <v>24</v>
      </c>
      <c r="AG32" s="76">
        <f t="shared" si="32"/>
        <v>27</v>
      </c>
      <c r="AH32" s="76">
        <f t="shared" si="32"/>
        <v>27</v>
      </c>
      <c r="AI32" s="76">
        <f t="shared" si="32"/>
        <v>19</v>
      </c>
      <c r="AJ32" s="76">
        <f t="shared" si="32"/>
        <v>19</v>
      </c>
      <c r="AK32" s="76">
        <f t="shared" si="32"/>
        <v>19</v>
      </c>
      <c r="AL32" s="76">
        <f t="shared" si="32"/>
        <v>24</v>
      </c>
      <c r="AM32" s="76">
        <f t="shared" si="32"/>
        <v>27</v>
      </c>
      <c r="AN32" s="76">
        <f t="shared" si="32"/>
        <v>27</v>
      </c>
      <c r="AO32" s="76">
        <f t="shared" si="32"/>
        <v>19</v>
      </c>
      <c r="AP32" s="76">
        <f t="shared" si="32"/>
        <v>19</v>
      </c>
      <c r="AQ32" s="76">
        <f t="shared" si="32"/>
        <v>19</v>
      </c>
      <c r="AR32" s="76">
        <f t="shared" si="32"/>
        <v>24</v>
      </c>
      <c r="AS32" s="76">
        <f t="shared" si="32"/>
        <v>27</v>
      </c>
      <c r="AT32" s="76">
        <f t="shared" si="32"/>
        <v>27</v>
      </c>
      <c r="AU32" s="76">
        <f t="shared" si="32"/>
        <v>19</v>
      </c>
      <c r="AV32" s="76">
        <f t="shared" si="32"/>
        <v>19</v>
      </c>
      <c r="AW32" s="76">
        <f t="shared" si="32"/>
        <v>19</v>
      </c>
      <c r="AX32" s="76">
        <f t="shared" si="32"/>
        <v>24</v>
      </c>
      <c r="AY32" s="76">
        <f t="shared" si="32"/>
        <v>27</v>
      </c>
      <c r="AZ32" s="76">
        <f t="shared" si="32"/>
        <v>27</v>
      </c>
      <c r="BA32" s="76"/>
      <c r="BB32" s="76">
        <f t="shared" ref="BB32:BY32" si="33">ROUND(SUM($R20:$W20)*BB$28,0)</f>
        <v>19</v>
      </c>
      <c r="BC32" s="76">
        <f t="shared" si="33"/>
        <v>19</v>
      </c>
      <c r="BD32" s="76">
        <f t="shared" si="33"/>
        <v>19</v>
      </c>
      <c r="BE32" s="76">
        <f t="shared" si="33"/>
        <v>24</v>
      </c>
      <c r="BF32" s="76">
        <f t="shared" si="33"/>
        <v>27</v>
      </c>
      <c r="BG32" s="76">
        <f t="shared" si="33"/>
        <v>27</v>
      </c>
      <c r="BH32" s="76">
        <f t="shared" si="33"/>
        <v>19</v>
      </c>
      <c r="BI32" s="76">
        <f t="shared" si="33"/>
        <v>19</v>
      </c>
      <c r="BJ32" s="76">
        <f t="shared" si="33"/>
        <v>22</v>
      </c>
      <c r="BK32" s="76">
        <f t="shared" si="33"/>
        <v>27</v>
      </c>
      <c r="BL32" s="76">
        <f t="shared" si="33"/>
        <v>27</v>
      </c>
      <c r="BM32" s="76">
        <f t="shared" si="33"/>
        <v>27</v>
      </c>
      <c r="BN32" s="76">
        <f t="shared" si="33"/>
        <v>22</v>
      </c>
      <c r="BO32" s="76">
        <f t="shared" si="33"/>
        <v>22</v>
      </c>
      <c r="BP32" s="76">
        <f t="shared" si="33"/>
        <v>22</v>
      </c>
      <c r="BQ32" s="76">
        <f t="shared" si="33"/>
        <v>27</v>
      </c>
      <c r="BR32" s="76">
        <f t="shared" si="33"/>
        <v>27</v>
      </c>
      <c r="BS32" s="76">
        <f t="shared" si="33"/>
        <v>27</v>
      </c>
      <c r="BT32" s="76">
        <f t="shared" si="33"/>
        <v>22</v>
      </c>
      <c r="BU32" s="76">
        <f t="shared" si="33"/>
        <v>22</v>
      </c>
      <c r="BV32" s="76">
        <f t="shared" si="33"/>
        <v>22</v>
      </c>
      <c r="BW32" s="76">
        <f t="shared" si="33"/>
        <v>27</v>
      </c>
      <c r="BX32" s="76">
        <f t="shared" si="33"/>
        <v>27</v>
      </c>
      <c r="BY32" s="76">
        <f t="shared" si="33"/>
        <v>27</v>
      </c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</row>
    <row r="33" ht="12.75" customHeight="1">
      <c r="A33" s="79"/>
      <c r="B33" s="76"/>
      <c r="C33" s="76" t="s">
        <v>87</v>
      </c>
      <c r="D33" s="76">
        <f t="shared" ref="D33:AA33" si="34">ROUND(SUM($D21:$I21)*D$28,0)</f>
        <v>9</v>
      </c>
      <c r="E33" s="76">
        <f t="shared" si="34"/>
        <v>9</v>
      </c>
      <c r="F33" s="76">
        <f t="shared" si="34"/>
        <v>11</v>
      </c>
      <c r="G33" s="76">
        <f t="shared" si="34"/>
        <v>13</v>
      </c>
      <c r="H33" s="76">
        <f t="shared" si="34"/>
        <v>15</v>
      </c>
      <c r="I33" s="76">
        <f t="shared" si="34"/>
        <v>16</v>
      </c>
      <c r="J33" s="76">
        <f t="shared" si="34"/>
        <v>11</v>
      </c>
      <c r="K33" s="76">
        <f t="shared" si="34"/>
        <v>13</v>
      </c>
      <c r="L33" s="76">
        <f t="shared" si="34"/>
        <v>13</v>
      </c>
      <c r="M33" s="76">
        <f t="shared" si="34"/>
        <v>14</v>
      </c>
      <c r="N33" s="76">
        <f t="shared" si="34"/>
        <v>15</v>
      </c>
      <c r="O33" s="76">
        <f t="shared" si="34"/>
        <v>17</v>
      </c>
      <c r="P33" s="76">
        <f t="shared" si="34"/>
        <v>11</v>
      </c>
      <c r="Q33" s="76">
        <f t="shared" si="34"/>
        <v>13</v>
      </c>
      <c r="R33" s="76">
        <f t="shared" si="34"/>
        <v>13</v>
      </c>
      <c r="S33" s="76">
        <f t="shared" si="34"/>
        <v>15</v>
      </c>
      <c r="T33" s="76">
        <f t="shared" si="34"/>
        <v>16</v>
      </c>
      <c r="U33" s="76">
        <f t="shared" si="34"/>
        <v>16</v>
      </c>
      <c r="V33" s="76">
        <f t="shared" si="34"/>
        <v>11</v>
      </c>
      <c r="W33" s="76">
        <f t="shared" si="34"/>
        <v>13</v>
      </c>
      <c r="X33" s="76">
        <f t="shared" si="34"/>
        <v>14</v>
      </c>
      <c r="Y33" s="76">
        <f t="shared" si="34"/>
        <v>16</v>
      </c>
      <c r="Z33" s="76">
        <f t="shared" si="34"/>
        <v>18</v>
      </c>
      <c r="AA33" s="76">
        <f t="shared" si="34"/>
        <v>18</v>
      </c>
      <c r="AB33" s="76"/>
      <c r="AC33" s="76">
        <f t="shared" ref="AC33:AZ33" si="35">ROUND(SUM($K21:$P21)*AC$28,0)</f>
        <v>12</v>
      </c>
      <c r="AD33" s="76">
        <f t="shared" si="35"/>
        <v>12</v>
      </c>
      <c r="AE33" s="76">
        <f t="shared" si="35"/>
        <v>12</v>
      </c>
      <c r="AF33" s="76">
        <f t="shared" si="35"/>
        <v>15</v>
      </c>
      <c r="AG33" s="76">
        <f t="shared" si="35"/>
        <v>17</v>
      </c>
      <c r="AH33" s="76">
        <f t="shared" si="35"/>
        <v>17</v>
      </c>
      <c r="AI33" s="76">
        <f t="shared" si="35"/>
        <v>12</v>
      </c>
      <c r="AJ33" s="76">
        <f t="shared" si="35"/>
        <v>12</v>
      </c>
      <c r="AK33" s="76">
        <f t="shared" si="35"/>
        <v>12</v>
      </c>
      <c r="AL33" s="76">
        <f t="shared" si="35"/>
        <v>15</v>
      </c>
      <c r="AM33" s="76">
        <f t="shared" si="35"/>
        <v>17</v>
      </c>
      <c r="AN33" s="76">
        <f t="shared" si="35"/>
        <v>17</v>
      </c>
      <c r="AO33" s="76">
        <f t="shared" si="35"/>
        <v>12</v>
      </c>
      <c r="AP33" s="76">
        <f t="shared" si="35"/>
        <v>12</v>
      </c>
      <c r="AQ33" s="76">
        <f t="shared" si="35"/>
        <v>12</v>
      </c>
      <c r="AR33" s="76">
        <f t="shared" si="35"/>
        <v>15</v>
      </c>
      <c r="AS33" s="76">
        <f t="shared" si="35"/>
        <v>17</v>
      </c>
      <c r="AT33" s="76">
        <f t="shared" si="35"/>
        <v>17</v>
      </c>
      <c r="AU33" s="76">
        <f t="shared" si="35"/>
        <v>12</v>
      </c>
      <c r="AV33" s="76">
        <f t="shared" si="35"/>
        <v>12</v>
      </c>
      <c r="AW33" s="76">
        <f t="shared" si="35"/>
        <v>12</v>
      </c>
      <c r="AX33" s="76">
        <f t="shared" si="35"/>
        <v>15</v>
      </c>
      <c r="AY33" s="76">
        <f t="shared" si="35"/>
        <v>17</v>
      </c>
      <c r="AZ33" s="76">
        <f t="shared" si="35"/>
        <v>17</v>
      </c>
      <c r="BA33" s="76"/>
      <c r="BB33" s="76">
        <f t="shared" ref="BB33:BY33" si="36">ROUND(SUM($R21:$W21)*BB$28,0)</f>
        <v>12</v>
      </c>
      <c r="BC33" s="76">
        <f t="shared" si="36"/>
        <v>12</v>
      </c>
      <c r="BD33" s="76">
        <f t="shared" si="36"/>
        <v>12</v>
      </c>
      <c r="BE33" s="76">
        <f t="shared" si="36"/>
        <v>15</v>
      </c>
      <c r="BF33" s="76">
        <f t="shared" si="36"/>
        <v>17</v>
      </c>
      <c r="BG33" s="76">
        <f t="shared" si="36"/>
        <v>17</v>
      </c>
      <c r="BH33" s="76">
        <f t="shared" si="36"/>
        <v>12</v>
      </c>
      <c r="BI33" s="76">
        <f t="shared" si="36"/>
        <v>12</v>
      </c>
      <c r="BJ33" s="76">
        <f t="shared" si="36"/>
        <v>14</v>
      </c>
      <c r="BK33" s="76">
        <f t="shared" si="36"/>
        <v>17</v>
      </c>
      <c r="BL33" s="76">
        <f t="shared" si="36"/>
        <v>17</v>
      </c>
      <c r="BM33" s="76">
        <f t="shared" si="36"/>
        <v>17</v>
      </c>
      <c r="BN33" s="76">
        <f t="shared" si="36"/>
        <v>14</v>
      </c>
      <c r="BO33" s="76">
        <f t="shared" si="36"/>
        <v>14</v>
      </c>
      <c r="BP33" s="76">
        <f t="shared" si="36"/>
        <v>14</v>
      </c>
      <c r="BQ33" s="76">
        <f t="shared" si="36"/>
        <v>17</v>
      </c>
      <c r="BR33" s="76">
        <f t="shared" si="36"/>
        <v>17</v>
      </c>
      <c r="BS33" s="76">
        <f t="shared" si="36"/>
        <v>17</v>
      </c>
      <c r="BT33" s="76">
        <f t="shared" si="36"/>
        <v>14</v>
      </c>
      <c r="BU33" s="76">
        <f t="shared" si="36"/>
        <v>14</v>
      </c>
      <c r="BV33" s="76">
        <f t="shared" si="36"/>
        <v>14</v>
      </c>
      <c r="BW33" s="76">
        <f t="shared" si="36"/>
        <v>17</v>
      </c>
      <c r="BX33" s="76">
        <f t="shared" si="36"/>
        <v>17</v>
      </c>
      <c r="BY33" s="76">
        <f t="shared" si="36"/>
        <v>17</v>
      </c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</row>
    <row r="34" ht="12.75" customHeight="1">
      <c r="A34" s="79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>
        <f t="shared" ref="AC34:AZ34" si="37">ROUND(SUM($K22:$P22)*AC$28,0)</f>
        <v>0</v>
      </c>
      <c r="AD34" s="76">
        <f t="shared" si="37"/>
        <v>0</v>
      </c>
      <c r="AE34" s="76">
        <f t="shared" si="37"/>
        <v>0</v>
      </c>
      <c r="AF34" s="76">
        <f t="shared" si="37"/>
        <v>0</v>
      </c>
      <c r="AG34" s="76">
        <f t="shared" si="37"/>
        <v>0</v>
      </c>
      <c r="AH34" s="76">
        <f t="shared" si="37"/>
        <v>0</v>
      </c>
      <c r="AI34" s="76">
        <f t="shared" si="37"/>
        <v>0</v>
      </c>
      <c r="AJ34" s="76">
        <f t="shared" si="37"/>
        <v>0</v>
      </c>
      <c r="AK34" s="76">
        <f t="shared" si="37"/>
        <v>0</v>
      </c>
      <c r="AL34" s="76">
        <f t="shared" si="37"/>
        <v>0</v>
      </c>
      <c r="AM34" s="76">
        <f t="shared" si="37"/>
        <v>0</v>
      </c>
      <c r="AN34" s="76">
        <f t="shared" si="37"/>
        <v>0</v>
      </c>
      <c r="AO34" s="76">
        <f t="shared" si="37"/>
        <v>0</v>
      </c>
      <c r="AP34" s="76">
        <f t="shared" si="37"/>
        <v>0</v>
      </c>
      <c r="AQ34" s="76">
        <f t="shared" si="37"/>
        <v>0</v>
      </c>
      <c r="AR34" s="76">
        <f t="shared" si="37"/>
        <v>0</v>
      </c>
      <c r="AS34" s="76">
        <f t="shared" si="37"/>
        <v>0</v>
      </c>
      <c r="AT34" s="76">
        <f t="shared" si="37"/>
        <v>0</v>
      </c>
      <c r="AU34" s="76">
        <f t="shared" si="37"/>
        <v>0</v>
      </c>
      <c r="AV34" s="76">
        <f t="shared" si="37"/>
        <v>0</v>
      </c>
      <c r="AW34" s="76">
        <f t="shared" si="37"/>
        <v>0</v>
      </c>
      <c r="AX34" s="76">
        <f t="shared" si="37"/>
        <v>0</v>
      </c>
      <c r="AY34" s="76">
        <f t="shared" si="37"/>
        <v>0</v>
      </c>
      <c r="AZ34" s="76">
        <f t="shared" si="37"/>
        <v>0</v>
      </c>
      <c r="BA34" s="76"/>
      <c r="BB34" s="76">
        <f t="shared" ref="BB34:BY34" si="38">ROUND(SUM($R22:$W22)*BB$28,0)</f>
        <v>0</v>
      </c>
      <c r="BC34" s="76">
        <f t="shared" si="38"/>
        <v>0</v>
      </c>
      <c r="BD34" s="76">
        <f t="shared" si="38"/>
        <v>0</v>
      </c>
      <c r="BE34" s="76">
        <f t="shared" si="38"/>
        <v>0</v>
      </c>
      <c r="BF34" s="76">
        <f t="shared" si="38"/>
        <v>0</v>
      </c>
      <c r="BG34" s="76">
        <f t="shared" si="38"/>
        <v>0</v>
      </c>
      <c r="BH34" s="76">
        <f t="shared" si="38"/>
        <v>0</v>
      </c>
      <c r="BI34" s="76">
        <f t="shared" si="38"/>
        <v>0</v>
      </c>
      <c r="BJ34" s="76">
        <f t="shared" si="38"/>
        <v>0</v>
      </c>
      <c r="BK34" s="76">
        <f t="shared" si="38"/>
        <v>0</v>
      </c>
      <c r="BL34" s="76">
        <f t="shared" si="38"/>
        <v>0</v>
      </c>
      <c r="BM34" s="76">
        <f t="shared" si="38"/>
        <v>0</v>
      </c>
      <c r="BN34" s="76">
        <f t="shared" si="38"/>
        <v>0</v>
      </c>
      <c r="BO34" s="76">
        <f t="shared" si="38"/>
        <v>0</v>
      </c>
      <c r="BP34" s="76">
        <f t="shared" si="38"/>
        <v>0</v>
      </c>
      <c r="BQ34" s="76">
        <f t="shared" si="38"/>
        <v>0</v>
      </c>
      <c r="BR34" s="76">
        <f t="shared" si="38"/>
        <v>0</v>
      </c>
      <c r="BS34" s="76">
        <f t="shared" si="38"/>
        <v>0</v>
      </c>
      <c r="BT34" s="76">
        <f t="shared" si="38"/>
        <v>0</v>
      </c>
      <c r="BU34" s="76">
        <f t="shared" si="38"/>
        <v>0</v>
      </c>
      <c r="BV34" s="76">
        <f t="shared" si="38"/>
        <v>0</v>
      </c>
      <c r="BW34" s="76">
        <f t="shared" si="38"/>
        <v>0</v>
      </c>
      <c r="BX34" s="76">
        <f t="shared" si="38"/>
        <v>0</v>
      </c>
      <c r="BY34" s="76">
        <f t="shared" si="38"/>
        <v>0</v>
      </c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</row>
    <row r="35" ht="12.75" customHeight="1">
      <c r="A35" s="79"/>
      <c r="B35" s="76"/>
      <c r="C35" s="76"/>
      <c r="D35" s="93">
        <f t="shared" ref="D35:AA35" si="39">SUM(D29:D34)</f>
        <v>50</v>
      </c>
      <c r="E35" s="93">
        <f t="shared" si="39"/>
        <v>50</v>
      </c>
      <c r="F35" s="93">
        <f t="shared" si="39"/>
        <v>59</v>
      </c>
      <c r="G35" s="93">
        <f t="shared" si="39"/>
        <v>69</v>
      </c>
      <c r="H35" s="93">
        <f t="shared" si="39"/>
        <v>83</v>
      </c>
      <c r="I35" s="93">
        <f t="shared" si="39"/>
        <v>87</v>
      </c>
      <c r="J35" s="93">
        <f t="shared" si="39"/>
        <v>59</v>
      </c>
      <c r="K35" s="93">
        <f t="shared" si="39"/>
        <v>69</v>
      </c>
      <c r="L35" s="93">
        <f t="shared" si="39"/>
        <v>69</v>
      </c>
      <c r="M35" s="93">
        <f t="shared" si="39"/>
        <v>75</v>
      </c>
      <c r="N35" s="93">
        <f t="shared" si="39"/>
        <v>83</v>
      </c>
      <c r="O35" s="93">
        <f t="shared" si="39"/>
        <v>94</v>
      </c>
      <c r="P35" s="93">
        <f t="shared" si="39"/>
        <v>59</v>
      </c>
      <c r="Q35" s="93">
        <f t="shared" si="39"/>
        <v>69</v>
      </c>
      <c r="R35" s="93">
        <f t="shared" si="39"/>
        <v>69</v>
      </c>
      <c r="S35" s="93">
        <f t="shared" si="39"/>
        <v>83</v>
      </c>
      <c r="T35" s="93">
        <f t="shared" si="39"/>
        <v>87</v>
      </c>
      <c r="U35" s="93">
        <f t="shared" si="39"/>
        <v>87</v>
      </c>
      <c r="V35" s="93">
        <f t="shared" si="39"/>
        <v>59</v>
      </c>
      <c r="W35" s="93">
        <f t="shared" si="39"/>
        <v>69</v>
      </c>
      <c r="X35" s="93">
        <f t="shared" si="39"/>
        <v>78</v>
      </c>
      <c r="Y35" s="93">
        <f t="shared" si="39"/>
        <v>87</v>
      </c>
      <c r="Z35" s="93">
        <f t="shared" si="39"/>
        <v>98</v>
      </c>
      <c r="AA35" s="93">
        <f t="shared" si="39"/>
        <v>98</v>
      </c>
      <c r="AB35" s="76"/>
      <c r="AC35" s="93">
        <f t="shared" ref="AC35:AZ35" si="40">SUM(AC29:AC34)</f>
        <v>71</v>
      </c>
      <c r="AD35" s="93">
        <f t="shared" si="40"/>
        <v>71</v>
      </c>
      <c r="AE35" s="93">
        <f t="shared" si="40"/>
        <v>71</v>
      </c>
      <c r="AF35" s="93">
        <f t="shared" si="40"/>
        <v>90</v>
      </c>
      <c r="AG35" s="93">
        <f t="shared" si="40"/>
        <v>101</v>
      </c>
      <c r="AH35" s="93">
        <f t="shared" si="40"/>
        <v>101</v>
      </c>
      <c r="AI35" s="93">
        <f t="shared" si="40"/>
        <v>71</v>
      </c>
      <c r="AJ35" s="93">
        <f t="shared" si="40"/>
        <v>71</v>
      </c>
      <c r="AK35" s="93">
        <f t="shared" si="40"/>
        <v>71</v>
      </c>
      <c r="AL35" s="93">
        <f t="shared" si="40"/>
        <v>90</v>
      </c>
      <c r="AM35" s="93">
        <f t="shared" si="40"/>
        <v>101</v>
      </c>
      <c r="AN35" s="93">
        <f t="shared" si="40"/>
        <v>101</v>
      </c>
      <c r="AO35" s="93">
        <f t="shared" si="40"/>
        <v>71</v>
      </c>
      <c r="AP35" s="93">
        <f t="shared" si="40"/>
        <v>71</v>
      </c>
      <c r="AQ35" s="93">
        <f t="shared" si="40"/>
        <v>71</v>
      </c>
      <c r="AR35" s="93">
        <f t="shared" si="40"/>
        <v>90</v>
      </c>
      <c r="AS35" s="93">
        <f t="shared" si="40"/>
        <v>101</v>
      </c>
      <c r="AT35" s="93">
        <f t="shared" si="40"/>
        <v>101</v>
      </c>
      <c r="AU35" s="93">
        <f t="shared" si="40"/>
        <v>71</v>
      </c>
      <c r="AV35" s="93">
        <f t="shared" si="40"/>
        <v>71</v>
      </c>
      <c r="AW35" s="93">
        <f t="shared" si="40"/>
        <v>71</v>
      </c>
      <c r="AX35" s="93">
        <f t="shared" si="40"/>
        <v>90</v>
      </c>
      <c r="AY35" s="93">
        <f t="shared" si="40"/>
        <v>101</v>
      </c>
      <c r="AZ35" s="93">
        <f t="shared" si="40"/>
        <v>101</v>
      </c>
      <c r="BA35" s="93"/>
      <c r="BB35" s="93">
        <f t="shared" ref="BB35:BY35" si="41">SUM(BB29:BB34)</f>
        <v>69</v>
      </c>
      <c r="BC35" s="93">
        <f t="shared" si="41"/>
        <v>69</v>
      </c>
      <c r="BD35" s="93">
        <f t="shared" si="41"/>
        <v>69</v>
      </c>
      <c r="BE35" s="93">
        <f t="shared" si="41"/>
        <v>87</v>
      </c>
      <c r="BF35" s="93">
        <f t="shared" si="41"/>
        <v>98</v>
      </c>
      <c r="BG35" s="93">
        <f t="shared" si="41"/>
        <v>98</v>
      </c>
      <c r="BH35" s="93">
        <f t="shared" si="41"/>
        <v>69</v>
      </c>
      <c r="BI35" s="93">
        <f t="shared" si="41"/>
        <v>69</v>
      </c>
      <c r="BJ35" s="93">
        <f t="shared" si="41"/>
        <v>79</v>
      </c>
      <c r="BK35" s="93">
        <f t="shared" si="41"/>
        <v>98</v>
      </c>
      <c r="BL35" s="93">
        <f t="shared" si="41"/>
        <v>98</v>
      </c>
      <c r="BM35" s="93">
        <f t="shared" si="41"/>
        <v>98</v>
      </c>
      <c r="BN35" s="93">
        <f t="shared" si="41"/>
        <v>79</v>
      </c>
      <c r="BO35" s="93">
        <f t="shared" si="41"/>
        <v>79</v>
      </c>
      <c r="BP35" s="93">
        <f t="shared" si="41"/>
        <v>79</v>
      </c>
      <c r="BQ35" s="93">
        <f t="shared" si="41"/>
        <v>98</v>
      </c>
      <c r="BR35" s="93">
        <f t="shared" si="41"/>
        <v>98</v>
      </c>
      <c r="BS35" s="93">
        <f t="shared" si="41"/>
        <v>98</v>
      </c>
      <c r="BT35" s="93">
        <f t="shared" si="41"/>
        <v>79</v>
      </c>
      <c r="BU35" s="93">
        <f t="shared" si="41"/>
        <v>79</v>
      </c>
      <c r="BV35" s="93">
        <f t="shared" si="41"/>
        <v>79</v>
      </c>
      <c r="BW35" s="93">
        <f t="shared" si="41"/>
        <v>98</v>
      </c>
      <c r="BX35" s="93">
        <f t="shared" si="41"/>
        <v>98</v>
      </c>
      <c r="BY35" s="93">
        <f t="shared" si="41"/>
        <v>98</v>
      </c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</row>
    <row r="36" ht="12.75" customHeight="1">
      <c r="A36" s="79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</row>
    <row r="37" ht="12.75" customHeight="1">
      <c r="A37" s="79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</row>
    <row r="38" ht="12.75" customHeight="1">
      <c r="A38" s="79"/>
      <c r="B38" s="76"/>
      <c r="C38" s="80" t="s">
        <v>158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</row>
    <row r="39" ht="12.75" customHeight="1">
      <c r="A39" s="79"/>
      <c r="B39" s="76"/>
      <c r="C39" s="76"/>
      <c r="D39" s="99">
        <v>2025.0</v>
      </c>
      <c r="P39" s="99">
        <v>2026.0</v>
      </c>
      <c r="AB39" s="100">
        <v>2027.0</v>
      </c>
      <c r="AN39" s="100">
        <v>2028.0</v>
      </c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</row>
    <row r="40" ht="12.75" customHeight="1">
      <c r="A40" s="79"/>
      <c r="B40" s="76"/>
      <c r="C40" s="101" t="s">
        <v>159</v>
      </c>
      <c r="D40" s="102">
        <v>1.0</v>
      </c>
      <c r="E40" s="102">
        <v>2.0</v>
      </c>
      <c r="F40" s="102">
        <v>3.0</v>
      </c>
      <c r="G40" s="102">
        <v>4.0</v>
      </c>
      <c r="H40" s="102">
        <v>5.0</v>
      </c>
      <c r="I40" s="102">
        <v>6.0</v>
      </c>
      <c r="J40" s="102">
        <v>7.0</v>
      </c>
      <c r="K40" s="102">
        <v>8.0</v>
      </c>
      <c r="L40" s="102">
        <v>9.0</v>
      </c>
      <c r="M40" s="102">
        <v>10.0</v>
      </c>
      <c r="N40" s="102">
        <v>11.0</v>
      </c>
      <c r="O40" s="102">
        <v>12.0</v>
      </c>
      <c r="P40" s="103">
        <v>1.0</v>
      </c>
      <c r="Q40" s="103">
        <v>2.0</v>
      </c>
      <c r="R40" s="103">
        <v>3.0</v>
      </c>
      <c r="S40" s="103">
        <v>4.0</v>
      </c>
      <c r="T40" s="103">
        <v>5.0</v>
      </c>
      <c r="U40" s="103">
        <v>6.0</v>
      </c>
      <c r="V40" s="103">
        <v>7.0</v>
      </c>
      <c r="W40" s="103">
        <v>8.0</v>
      </c>
      <c r="X40" s="103">
        <v>9.0</v>
      </c>
      <c r="Y40" s="103">
        <v>10.0</v>
      </c>
      <c r="Z40" s="103">
        <v>11.0</v>
      </c>
      <c r="AA40" s="103">
        <v>12.0</v>
      </c>
      <c r="AB40" s="104">
        <v>1.0</v>
      </c>
      <c r="AC40" s="104">
        <v>2.0</v>
      </c>
      <c r="AD40" s="104">
        <v>3.0</v>
      </c>
      <c r="AE40" s="104">
        <v>4.0</v>
      </c>
      <c r="AF40" s="104">
        <v>5.0</v>
      </c>
      <c r="AG40" s="104">
        <v>6.0</v>
      </c>
      <c r="AH40" s="104">
        <v>7.0</v>
      </c>
      <c r="AI40" s="104">
        <v>8.0</v>
      </c>
      <c r="AJ40" s="104">
        <v>9.0</v>
      </c>
      <c r="AK40" s="104">
        <v>10.0</v>
      </c>
      <c r="AL40" s="104">
        <v>11.0</v>
      </c>
      <c r="AM40" s="104">
        <v>12.0</v>
      </c>
      <c r="AN40" s="105">
        <v>1.0</v>
      </c>
      <c r="AO40" s="105">
        <v>2.0</v>
      </c>
      <c r="AP40" s="105">
        <v>3.0</v>
      </c>
      <c r="AQ40" s="105">
        <v>4.0</v>
      </c>
      <c r="AR40" s="105">
        <v>5.0</v>
      </c>
      <c r="AS40" s="105">
        <v>6.0</v>
      </c>
      <c r="AT40" s="105">
        <v>7.0</v>
      </c>
      <c r="AU40" s="105">
        <v>8.0</v>
      </c>
      <c r="AV40" s="105">
        <v>9.0</v>
      </c>
      <c r="AW40" s="105">
        <v>10.0</v>
      </c>
      <c r="AX40" s="105">
        <v>11.0</v>
      </c>
      <c r="AY40" s="105">
        <v>12.0</v>
      </c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</row>
    <row r="41" ht="12.75" customHeight="1">
      <c r="A41" s="79"/>
      <c r="B41" s="76"/>
      <c r="C41" s="82" t="s">
        <v>160</v>
      </c>
      <c r="D41" s="98">
        <v>0.5</v>
      </c>
      <c r="E41" s="98">
        <v>0.6</v>
      </c>
      <c r="F41" s="98">
        <v>0.65</v>
      </c>
      <c r="G41" s="98">
        <v>0.7</v>
      </c>
      <c r="H41" s="98">
        <v>0.85</v>
      </c>
      <c r="I41" s="98">
        <v>1.0</v>
      </c>
      <c r="J41" s="98">
        <v>1.1</v>
      </c>
      <c r="K41" s="98">
        <v>1.1</v>
      </c>
      <c r="L41" s="98">
        <v>1.0</v>
      </c>
      <c r="M41" s="98">
        <v>0.85</v>
      </c>
      <c r="N41" s="98">
        <v>0.8</v>
      </c>
      <c r="O41" s="98">
        <v>0.55</v>
      </c>
      <c r="P41" s="98">
        <v>0.5</v>
      </c>
      <c r="Q41" s="98">
        <v>0.5</v>
      </c>
      <c r="R41" s="98">
        <v>0.55</v>
      </c>
      <c r="S41" s="98">
        <v>0.7</v>
      </c>
      <c r="T41" s="98">
        <v>0.7</v>
      </c>
      <c r="U41" s="98">
        <v>1.0</v>
      </c>
      <c r="V41" s="98">
        <v>1.1</v>
      </c>
      <c r="W41" s="98">
        <v>1.1</v>
      </c>
      <c r="X41" s="98">
        <v>1.0</v>
      </c>
      <c r="Y41" s="98">
        <v>0.7</v>
      </c>
      <c r="Z41" s="98">
        <v>0.6</v>
      </c>
      <c r="AA41" s="98">
        <v>0.5</v>
      </c>
      <c r="AB41" s="98">
        <v>0.5</v>
      </c>
      <c r="AC41" s="98">
        <v>0.5</v>
      </c>
      <c r="AD41" s="98">
        <v>0.5</v>
      </c>
      <c r="AE41" s="98">
        <v>0.7</v>
      </c>
      <c r="AF41" s="98">
        <v>0.7</v>
      </c>
      <c r="AG41" s="98">
        <v>1.0</v>
      </c>
      <c r="AH41" s="98">
        <v>1.1</v>
      </c>
      <c r="AI41" s="98">
        <v>1.1</v>
      </c>
      <c r="AJ41" s="98">
        <v>1.0</v>
      </c>
      <c r="AK41" s="98">
        <v>0.7</v>
      </c>
      <c r="AL41" s="98">
        <v>0.6</v>
      </c>
      <c r="AM41" s="98">
        <v>0.4</v>
      </c>
      <c r="AN41" s="98">
        <v>0.6</v>
      </c>
      <c r="AO41" s="98">
        <v>0.65</v>
      </c>
      <c r="AP41" s="98">
        <v>0.7</v>
      </c>
      <c r="AQ41" s="98">
        <v>0.75</v>
      </c>
      <c r="AR41" s="98">
        <v>0.8</v>
      </c>
      <c r="AS41" s="98">
        <v>1.1</v>
      </c>
      <c r="AT41" s="98">
        <v>1.2</v>
      </c>
      <c r="AU41" s="98">
        <v>1.1</v>
      </c>
      <c r="AV41" s="98">
        <v>1.0</v>
      </c>
      <c r="AW41" s="98">
        <v>0.8</v>
      </c>
      <c r="AX41" s="98">
        <v>0.65</v>
      </c>
      <c r="AY41" s="98">
        <v>0.5</v>
      </c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</row>
    <row r="42" ht="12.75" customHeight="1">
      <c r="A42" s="79"/>
      <c r="B42" s="76"/>
      <c r="C42" s="76" t="s">
        <v>148</v>
      </c>
      <c r="D42" s="76">
        <f t="shared" ref="D42:O42" si="42">ROUND(SUM($D29:$AA29)*D$41,0)</f>
        <v>155</v>
      </c>
      <c r="E42" s="76">
        <f t="shared" si="42"/>
        <v>185</v>
      </c>
      <c r="F42" s="76">
        <f t="shared" si="42"/>
        <v>201</v>
      </c>
      <c r="G42" s="76">
        <f t="shared" si="42"/>
        <v>216</v>
      </c>
      <c r="H42" s="76">
        <f t="shared" si="42"/>
        <v>263</v>
      </c>
      <c r="I42" s="76">
        <f t="shared" si="42"/>
        <v>309</v>
      </c>
      <c r="J42" s="76">
        <f t="shared" si="42"/>
        <v>340</v>
      </c>
      <c r="K42" s="76">
        <f t="shared" si="42"/>
        <v>340</v>
      </c>
      <c r="L42" s="76">
        <f t="shared" si="42"/>
        <v>309</v>
      </c>
      <c r="M42" s="76">
        <f t="shared" si="42"/>
        <v>263</v>
      </c>
      <c r="N42" s="76">
        <f t="shared" si="42"/>
        <v>247</v>
      </c>
      <c r="O42" s="76">
        <f t="shared" si="42"/>
        <v>170</v>
      </c>
      <c r="P42" s="76">
        <f t="shared" ref="P42:AA42" si="43">ROUND(SUM($AC29:$AZ29)*P$41,0)</f>
        <v>170</v>
      </c>
      <c r="Q42" s="76">
        <f t="shared" si="43"/>
        <v>170</v>
      </c>
      <c r="R42" s="76">
        <f t="shared" si="43"/>
        <v>187</v>
      </c>
      <c r="S42" s="76">
        <f t="shared" si="43"/>
        <v>238</v>
      </c>
      <c r="T42" s="76">
        <f t="shared" si="43"/>
        <v>238</v>
      </c>
      <c r="U42" s="76">
        <f t="shared" si="43"/>
        <v>340</v>
      </c>
      <c r="V42" s="76">
        <f t="shared" si="43"/>
        <v>374</v>
      </c>
      <c r="W42" s="76">
        <f t="shared" si="43"/>
        <v>374</v>
      </c>
      <c r="X42" s="76">
        <f t="shared" si="43"/>
        <v>340</v>
      </c>
      <c r="Y42" s="76">
        <f t="shared" si="43"/>
        <v>238</v>
      </c>
      <c r="Z42" s="76">
        <f t="shared" si="43"/>
        <v>204</v>
      </c>
      <c r="AA42" s="76">
        <f t="shared" si="43"/>
        <v>170</v>
      </c>
      <c r="AB42" s="76">
        <f t="shared" ref="AB42:AY42" si="44">ROUND(SUM($BB29:$BY29)*AB$41,0)</f>
        <v>180</v>
      </c>
      <c r="AC42" s="76">
        <f t="shared" si="44"/>
        <v>180</v>
      </c>
      <c r="AD42" s="76">
        <f t="shared" si="44"/>
        <v>180</v>
      </c>
      <c r="AE42" s="76">
        <f t="shared" si="44"/>
        <v>252</v>
      </c>
      <c r="AF42" s="76">
        <f t="shared" si="44"/>
        <v>252</v>
      </c>
      <c r="AG42" s="76">
        <f t="shared" si="44"/>
        <v>360</v>
      </c>
      <c r="AH42" s="76">
        <f t="shared" si="44"/>
        <v>396</v>
      </c>
      <c r="AI42" s="76">
        <f t="shared" si="44"/>
        <v>396</v>
      </c>
      <c r="AJ42" s="76">
        <f t="shared" si="44"/>
        <v>360</v>
      </c>
      <c r="AK42" s="76">
        <f t="shared" si="44"/>
        <v>252</v>
      </c>
      <c r="AL42" s="76">
        <f t="shared" si="44"/>
        <v>216</v>
      </c>
      <c r="AM42" s="76">
        <f t="shared" si="44"/>
        <v>144</v>
      </c>
      <c r="AN42" s="76">
        <f t="shared" si="44"/>
        <v>216</v>
      </c>
      <c r="AO42" s="76">
        <f t="shared" si="44"/>
        <v>234</v>
      </c>
      <c r="AP42" s="76">
        <f t="shared" si="44"/>
        <v>252</v>
      </c>
      <c r="AQ42" s="76">
        <f t="shared" si="44"/>
        <v>270</v>
      </c>
      <c r="AR42" s="76">
        <f t="shared" si="44"/>
        <v>288</v>
      </c>
      <c r="AS42" s="76">
        <f t="shared" si="44"/>
        <v>396</v>
      </c>
      <c r="AT42" s="76">
        <f t="shared" si="44"/>
        <v>432</v>
      </c>
      <c r="AU42" s="76">
        <f t="shared" si="44"/>
        <v>396</v>
      </c>
      <c r="AV42" s="76">
        <f t="shared" si="44"/>
        <v>360</v>
      </c>
      <c r="AW42" s="76">
        <f t="shared" si="44"/>
        <v>288</v>
      </c>
      <c r="AX42" s="76">
        <f t="shared" si="44"/>
        <v>234</v>
      </c>
      <c r="AY42" s="76">
        <f t="shared" si="44"/>
        <v>180</v>
      </c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</row>
    <row r="43" ht="12.75" customHeight="1">
      <c r="A43" s="79"/>
      <c r="B43" s="76"/>
      <c r="C43" s="76" t="s">
        <v>76</v>
      </c>
      <c r="D43" s="76">
        <f t="shared" ref="D43:O43" si="45">ROUND(SUM($D30:$AA30)*D$41,0)</f>
        <v>237</v>
      </c>
      <c r="E43" s="76">
        <f t="shared" si="45"/>
        <v>284</v>
      </c>
      <c r="F43" s="76">
        <f t="shared" si="45"/>
        <v>308</v>
      </c>
      <c r="G43" s="76">
        <f t="shared" si="45"/>
        <v>332</v>
      </c>
      <c r="H43" s="76">
        <f t="shared" si="45"/>
        <v>403</v>
      </c>
      <c r="I43" s="76">
        <f t="shared" si="45"/>
        <v>474</v>
      </c>
      <c r="J43" s="76">
        <f t="shared" si="45"/>
        <v>521</v>
      </c>
      <c r="K43" s="76">
        <f t="shared" si="45"/>
        <v>521</v>
      </c>
      <c r="L43" s="76">
        <f t="shared" si="45"/>
        <v>474</v>
      </c>
      <c r="M43" s="76">
        <f t="shared" si="45"/>
        <v>403</v>
      </c>
      <c r="N43" s="76">
        <f t="shared" si="45"/>
        <v>379</v>
      </c>
      <c r="O43" s="76">
        <f t="shared" si="45"/>
        <v>261</v>
      </c>
      <c r="P43" s="76">
        <f t="shared" ref="P43:AA43" si="46">ROUND(SUM($AC30:$AZ30)*P$41,0)</f>
        <v>288</v>
      </c>
      <c r="Q43" s="76">
        <f t="shared" si="46"/>
        <v>288</v>
      </c>
      <c r="R43" s="76">
        <f t="shared" si="46"/>
        <v>317</v>
      </c>
      <c r="S43" s="76">
        <f t="shared" si="46"/>
        <v>403</v>
      </c>
      <c r="T43" s="76">
        <f t="shared" si="46"/>
        <v>403</v>
      </c>
      <c r="U43" s="76">
        <f t="shared" si="46"/>
        <v>576</v>
      </c>
      <c r="V43" s="76">
        <f t="shared" si="46"/>
        <v>634</v>
      </c>
      <c r="W43" s="76">
        <f t="shared" si="46"/>
        <v>634</v>
      </c>
      <c r="X43" s="76">
        <f t="shared" si="46"/>
        <v>576</v>
      </c>
      <c r="Y43" s="76">
        <f t="shared" si="46"/>
        <v>403</v>
      </c>
      <c r="Z43" s="76">
        <f t="shared" si="46"/>
        <v>346</v>
      </c>
      <c r="AA43" s="76">
        <f t="shared" si="46"/>
        <v>288</v>
      </c>
      <c r="AB43" s="76">
        <f t="shared" ref="AB43:AY43" si="47">ROUND(SUM($BB30:$BY30)*AB$41,0)</f>
        <v>294</v>
      </c>
      <c r="AC43" s="76">
        <f t="shared" si="47"/>
        <v>294</v>
      </c>
      <c r="AD43" s="76">
        <f t="shared" si="47"/>
        <v>294</v>
      </c>
      <c r="AE43" s="76">
        <f t="shared" si="47"/>
        <v>411</v>
      </c>
      <c r="AF43" s="76">
        <f t="shared" si="47"/>
        <v>411</v>
      </c>
      <c r="AG43" s="76">
        <f t="shared" si="47"/>
        <v>587</v>
      </c>
      <c r="AH43" s="76">
        <f t="shared" si="47"/>
        <v>646</v>
      </c>
      <c r="AI43" s="76">
        <f t="shared" si="47"/>
        <v>646</v>
      </c>
      <c r="AJ43" s="76">
        <f t="shared" si="47"/>
        <v>587</v>
      </c>
      <c r="AK43" s="76">
        <f t="shared" si="47"/>
        <v>411</v>
      </c>
      <c r="AL43" s="76">
        <f t="shared" si="47"/>
        <v>352</v>
      </c>
      <c r="AM43" s="76">
        <f t="shared" si="47"/>
        <v>235</v>
      </c>
      <c r="AN43" s="76">
        <f t="shared" si="47"/>
        <v>352</v>
      </c>
      <c r="AO43" s="76">
        <f t="shared" si="47"/>
        <v>382</v>
      </c>
      <c r="AP43" s="76">
        <f t="shared" si="47"/>
        <v>411</v>
      </c>
      <c r="AQ43" s="76">
        <f t="shared" si="47"/>
        <v>440</v>
      </c>
      <c r="AR43" s="76">
        <f t="shared" si="47"/>
        <v>470</v>
      </c>
      <c r="AS43" s="76">
        <f t="shared" si="47"/>
        <v>646</v>
      </c>
      <c r="AT43" s="76">
        <f t="shared" si="47"/>
        <v>704</v>
      </c>
      <c r="AU43" s="76">
        <f t="shared" si="47"/>
        <v>646</v>
      </c>
      <c r="AV43" s="76">
        <f t="shared" si="47"/>
        <v>587</v>
      </c>
      <c r="AW43" s="76">
        <f t="shared" si="47"/>
        <v>470</v>
      </c>
      <c r="AX43" s="76">
        <f t="shared" si="47"/>
        <v>382</v>
      </c>
      <c r="AY43" s="76">
        <f t="shared" si="47"/>
        <v>294</v>
      </c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</row>
    <row r="44" ht="12.75" customHeight="1">
      <c r="A44" s="79"/>
      <c r="B44" s="76"/>
      <c r="C44" s="76" t="s">
        <v>80</v>
      </c>
      <c r="D44" s="76">
        <f t="shared" ref="D44:O44" si="48">ROUND(SUM($D31:$AA31)*D$41,0)</f>
        <v>82</v>
      </c>
      <c r="E44" s="76">
        <f t="shared" si="48"/>
        <v>98</v>
      </c>
      <c r="F44" s="76">
        <f t="shared" si="48"/>
        <v>106</v>
      </c>
      <c r="G44" s="76">
        <f t="shared" si="48"/>
        <v>114</v>
      </c>
      <c r="H44" s="76">
        <f t="shared" si="48"/>
        <v>139</v>
      </c>
      <c r="I44" s="76">
        <f t="shared" si="48"/>
        <v>163</v>
      </c>
      <c r="J44" s="76">
        <f t="shared" si="48"/>
        <v>179</v>
      </c>
      <c r="K44" s="76">
        <f t="shared" si="48"/>
        <v>179</v>
      </c>
      <c r="L44" s="76">
        <f t="shared" si="48"/>
        <v>163</v>
      </c>
      <c r="M44" s="76">
        <f t="shared" si="48"/>
        <v>139</v>
      </c>
      <c r="N44" s="76">
        <f t="shared" si="48"/>
        <v>130</v>
      </c>
      <c r="O44" s="76">
        <f t="shared" si="48"/>
        <v>90</v>
      </c>
      <c r="P44" s="76">
        <f t="shared" ref="P44:AA44" si="49">ROUND(SUM($AC31:$AZ31)*P$41,0)</f>
        <v>112</v>
      </c>
      <c r="Q44" s="76">
        <f t="shared" si="49"/>
        <v>112</v>
      </c>
      <c r="R44" s="76">
        <f t="shared" si="49"/>
        <v>123</v>
      </c>
      <c r="S44" s="76">
        <f t="shared" si="49"/>
        <v>157</v>
      </c>
      <c r="T44" s="76">
        <f t="shared" si="49"/>
        <v>157</v>
      </c>
      <c r="U44" s="76">
        <f t="shared" si="49"/>
        <v>224</v>
      </c>
      <c r="V44" s="76">
        <f t="shared" si="49"/>
        <v>246</v>
      </c>
      <c r="W44" s="76">
        <f t="shared" si="49"/>
        <v>246</v>
      </c>
      <c r="X44" s="76">
        <f t="shared" si="49"/>
        <v>224</v>
      </c>
      <c r="Y44" s="76">
        <f t="shared" si="49"/>
        <v>157</v>
      </c>
      <c r="Z44" s="76">
        <f t="shared" si="49"/>
        <v>134</v>
      </c>
      <c r="AA44" s="76">
        <f t="shared" si="49"/>
        <v>112</v>
      </c>
      <c r="AB44" s="76">
        <f t="shared" ref="AB44:AY44" si="50">ROUND(SUM($BB31:$BY31)*AB$41,0)</f>
        <v>93</v>
      </c>
      <c r="AC44" s="76">
        <f t="shared" si="50"/>
        <v>93</v>
      </c>
      <c r="AD44" s="76">
        <f t="shared" si="50"/>
        <v>93</v>
      </c>
      <c r="AE44" s="76">
        <f t="shared" si="50"/>
        <v>130</v>
      </c>
      <c r="AF44" s="76">
        <f t="shared" si="50"/>
        <v>130</v>
      </c>
      <c r="AG44" s="76">
        <f t="shared" si="50"/>
        <v>186</v>
      </c>
      <c r="AH44" s="76">
        <f t="shared" si="50"/>
        <v>205</v>
      </c>
      <c r="AI44" s="76">
        <f t="shared" si="50"/>
        <v>205</v>
      </c>
      <c r="AJ44" s="76">
        <f t="shared" si="50"/>
        <v>186</v>
      </c>
      <c r="AK44" s="76">
        <f t="shared" si="50"/>
        <v>130</v>
      </c>
      <c r="AL44" s="76">
        <f t="shared" si="50"/>
        <v>112</v>
      </c>
      <c r="AM44" s="76">
        <f t="shared" si="50"/>
        <v>74</v>
      </c>
      <c r="AN44" s="76">
        <f t="shared" si="50"/>
        <v>112</v>
      </c>
      <c r="AO44" s="76">
        <f t="shared" si="50"/>
        <v>121</v>
      </c>
      <c r="AP44" s="76">
        <f t="shared" si="50"/>
        <v>130</v>
      </c>
      <c r="AQ44" s="76">
        <f t="shared" si="50"/>
        <v>140</v>
      </c>
      <c r="AR44" s="76">
        <f t="shared" si="50"/>
        <v>149</v>
      </c>
      <c r="AS44" s="76">
        <f t="shared" si="50"/>
        <v>205</v>
      </c>
      <c r="AT44" s="76">
        <f t="shared" si="50"/>
        <v>223</v>
      </c>
      <c r="AU44" s="76">
        <f t="shared" si="50"/>
        <v>205</v>
      </c>
      <c r="AV44" s="76">
        <f t="shared" si="50"/>
        <v>186</v>
      </c>
      <c r="AW44" s="76">
        <f t="shared" si="50"/>
        <v>149</v>
      </c>
      <c r="AX44" s="76">
        <f t="shared" si="50"/>
        <v>121</v>
      </c>
      <c r="AY44" s="76">
        <f t="shared" si="50"/>
        <v>93</v>
      </c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</row>
    <row r="45" ht="12.75" customHeight="1">
      <c r="A45" s="79"/>
      <c r="B45" s="76"/>
      <c r="C45" s="76" t="s">
        <v>83</v>
      </c>
      <c r="D45" s="76">
        <f t="shared" ref="D45:O45" si="51">ROUND(SUM($D32:$AA32)*D$41,0)</f>
        <v>257</v>
      </c>
      <c r="E45" s="76">
        <f t="shared" si="51"/>
        <v>308</v>
      </c>
      <c r="F45" s="76">
        <f t="shared" si="51"/>
        <v>334</v>
      </c>
      <c r="G45" s="76">
        <f t="shared" si="51"/>
        <v>360</v>
      </c>
      <c r="H45" s="76">
        <f t="shared" si="51"/>
        <v>437</v>
      </c>
      <c r="I45" s="76">
        <f t="shared" si="51"/>
        <v>514</v>
      </c>
      <c r="J45" s="76">
        <f t="shared" si="51"/>
        <v>565</v>
      </c>
      <c r="K45" s="76">
        <f t="shared" si="51"/>
        <v>565</v>
      </c>
      <c r="L45" s="76">
        <f t="shared" si="51"/>
        <v>514</v>
      </c>
      <c r="M45" s="76">
        <f t="shared" si="51"/>
        <v>437</v>
      </c>
      <c r="N45" s="76">
        <f t="shared" si="51"/>
        <v>411</v>
      </c>
      <c r="O45" s="76">
        <f t="shared" si="51"/>
        <v>283</v>
      </c>
      <c r="P45" s="76">
        <f t="shared" ref="P45:AA45" si="52">ROUND(SUM($AC32:$AZ32)*P$41,0)</f>
        <v>270</v>
      </c>
      <c r="Q45" s="76">
        <f t="shared" si="52"/>
        <v>270</v>
      </c>
      <c r="R45" s="76">
        <f t="shared" si="52"/>
        <v>297</v>
      </c>
      <c r="S45" s="76">
        <f t="shared" si="52"/>
        <v>378</v>
      </c>
      <c r="T45" s="76">
        <f t="shared" si="52"/>
        <v>378</v>
      </c>
      <c r="U45" s="76">
        <f t="shared" si="52"/>
        <v>540</v>
      </c>
      <c r="V45" s="76">
        <f t="shared" si="52"/>
        <v>594</v>
      </c>
      <c r="W45" s="76">
        <f t="shared" si="52"/>
        <v>594</v>
      </c>
      <c r="X45" s="76">
        <f t="shared" si="52"/>
        <v>540</v>
      </c>
      <c r="Y45" s="76">
        <f t="shared" si="52"/>
        <v>378</v>
      </c>
      <c r="Z45" s="76">
        <f t="shared" si="52"/>
        <v>324</v>
      </c>
      <c r="AA45" s="76">
        <f t="shared" si="52"/>
        <v>270</v>
      </c>
      <c r="AB45" s="76">
        <f t="shared" ref="AB45:AY45" si="53">ROUND(SUM($BB32:$BY32)*AB$41,0)</f>
        <v>285</v>
      </c>
      <c r="AC45" s="76">
        <f t="shared" si="53"/>
        <v>285</v>
      </c>
      <c r="AD45" s="76">
        <f t="shared" si="53"/>
        <v>285</v>
      </c>
      <c r="AE45" s="76">
        <f t="shared" si="53"/>
        <v>399</v>
      </c>
      <c r="AF45" s="76">
        <f t="shared" si="53"/>
        <v>399</v>
      </c>
      <c r="AG45" s="76">
        <f t="shared" si="53"/>
        <v>570</v>
      </c>
      <c r="AH45" s="76">
        <f t="shared" si="53"/>
        <v>627</v>
      </c>
      <c r="AI45" s="76">
        <f t="shared" si="53"/>
        <v>627</v>
      </c>
      <c r="AJ45" s="76">
        <f t="shared" si="53"/>
        <v>570</v>
      </c>
      <c r="AK45" s="76">
        <f t="shared" si="53"/>
        <v>399</v>
      </c>
      <c r="AL45" s="76">
        <f t="shared" si="53"/>
        <v>342</v>
      </c>
      <c r="AM45" s="76">
        <f t="shared" si="53"/>
        <v>228</v>
      </c>
      <c r="AN45" s="76">
        <f t="shared" si="53"/>
        <v>342</v>
      </c>
      <c r="AO45" s="76">
        <f t="shared" si="53"/>
        <v>371</v>
      </c>
      <c r="AP45" s="76">
        <f t="shared" si="53"/>
        <v>399</v>
      </c>
      <c r="AQ45" s="76">
        <f t="shared" si="53"/>
        <v>428</v>
      </c>
      <c r="AR45" s="76">
        <f t="shared" si="53"/>
        <v>456</v>
      </c>
      <c r="AS45" s="76">
        <f t="shared" si="53"/>
        <v>627</v>
      </c>
      <c r="AT45" s="76">
        <f t="shared" si="53"/>
        <v>684</v>
      </c>
      <c r="AU45" s="76">
        <f t="shared" si="53"/>
        <v>627</v>
      </c>
      <c r="AV45" s="76">
        <f t="shared" si="53"/>
        <v>570</v>
      </c>
      <c r="AW45" s="76">
        <f t="shared" si="53"/>
        <v>456</v>
      </c>
      <c r="AX45" s="76">
        <f t="shared" si="53"/>
        <v>371</v>
      </c>
      <c r="AY45" s="76">
        <f t="shared" si="53"/>
        <v>285</v>
      </c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</row>
    <row r="46" ht="12.75" customHeight="1">
      <c r="A46" s="79"/>
      <c r="B46" s="76"/>
      <c r="C46" s="76" t="s">
        <v>87</v>
      </c>
      <c r="D46" s="76">
        <f t="shared" ref="D46:O46" si="54">ROUND(SUM($D33:$AA33)*D$41,0)</f>
        <v>165</v>
      </c>
      <c r="E46" s="76">
        <f t="shared" si="54"/>
        <v>198</v>
      </c>
      <c r="F46" s="76">
        <f t="shared" si="54"/>
        <v>215</v>
      </c>
      <c r="G46" s="76">
        <f t="shared" si="54"/>
        <v>231</v>
      </c>
      <c r="H46" s="76">
        <f t="shared" si="54"/>
        <v>281</v>
      </c>
      <c r="I46" s="76">
        <f t="shared" si="54"/>
        <v>330</v>
      </c>
      <c r="J46" s="76">
        <f t="shared" si="54"/>
        <v>363</v>
      </c>
      <c r="K46" s="76">
        <f t="shared" si="54"/>
        <v>363</v>
      </c>
      <c r="L46" s="76">
        <f t="shared" si="54"/>
        <v>330</v>
      </c>
      <c r="M46" s="76">
        <f t="shared" si="54"/>
        <v>281</v>
      </c>
      <c r="N46" s="76">
        <f t="shared" si="54"/>
        <v>264</v>
      </c>
      <c r="O46" s="76">
        <f t="shared" si="54"/>
        <v>182</v>
      </c>
      <c r="P46" s="76">
        <f t="shared" ref="P46:AA46" si="55">ROUND(SUM($AC33:$AZ33)*P$41,0)</f>
        <v>170</v>
      </c>
      <c r="Q46" s="76">
        <f t="shared" si="55"/>
        <v>170</v>
      </c>
      <c r="R46" s="76">
        <f t="shared" si="55"/>
        <v>187</v>
      </c>
      <c r="S46" s="76">
        <f t="shared" si="55"/>
        <v>238</v>
      </c>
      <c r="T46" s="76">
        <f t="shared" si="55"/>
        <v>238</v>
      </c>
      <c r="U46" s="76">
        <f t="shared" si="55"/>
        <v>340</v>
      </c>
      <c r="V46" s="76">
        <f t="shared" si="55"/>
        <v>374</v>
      </c>
      <c r="W46" s="76">
        <f t="shared" si="55"/>
        <v>374</v>
      </c>
      <c r="X46" s="76">
        <f t="shared" si="55"/>
        <v>340</v>
      </c>
      <c r="Y46" s="76">
        <f t="shared" si="55"/>
        <v>238</v>
      </c>
      <c r="Z46" s="76">
        <f t="shared" si="55"/>
        <v>204</v>
      </c>
      <c r="AA46" s="76">
        <f t="shared" si="55"/>
        <v>170</v>
      </c>
      <c r="AB46" s="76">
        <f t="shared" ref="AB46:AY46" si="56">ROUND(SUM($BB33:$BY33)*AB$41,0)</f>
        <v>180</v>
      </c>
      <c r="AC46" s="76">
        <f t="shared" si="56"/>
        <v>180</v>
      </c>
      <c r="AD46" s="76">
        <f t="shared" si="56"/>
        <v>180</v>
      </c>
      <c r="AE46" s="76">
        <f t="shared" si="56"/>
        <v>252</v>
      </c>
      <c r="AF46" s="76">
        <f t="shared" si="56"/>
        <v>252</v>
      </c>
      <c r="AG46" s="76">
        <f t="shared" si="56"/>
        <v>360</v>
      </c>
      <c r="AH46" s="76">
        <f t="shared" si="56"/>
        <v>396</v>
      </c>
      <c r="AI46" s="76">
        <f t="shared" si="56"/>
        <v>396</v>
      </c>
      <c r="AJ46" s="76">
        <f t="shared" si="56"/>
        <v>360</v>
      </c>
      <c r="AK46" s="76">
        <f t="shared" si="56"/>
        <v>252</v>
      </c>
      <c r="AL46" s="76">
        <f t="shared" si="56"/>
        <v>216</v>
      </c>
      <c r="AM46" s="76">
        <f t="shared" si="56"/>
        <v>144</v>
      </c>
      <c r="AN46" s="76">
        <f t="shared" si="56"/>
        <v>216</v>
      </c>
      <c r="AO46" s="76">
        <f t="shared" si="56"/>
        <v>234</v>
      </c>
      <c r="AP46" s="76">
        <f t="shared" si="56"/>
        <v>252</v>
      </c>
      <c r="AQ46" s="76">
        <f t="shared" si="56"/>
        <v>270</v>
      </c>
      <c r="AR46" s="76">
        <f t="shared" si="56"/>
        <v>288</v>
      </c>
      <c r="AS46" s="76">
        <f t="shared" si="56"/>
        <v>396</v>
      </c>
      <c r="AT46" s="76">
        <f t="shared" si="56"/>
        <v>432</v>
      </c>
      <c r="AU46" s="76">
        <f t="shared" si="56"/>
        <v>396</v>
      </c>
      <c r="AV46" s="76">
        <f t="shared" si="56"/>
        <v>360</v>
      </c>
      <c r="AW46" s="76">
        <f t="shared" si="56"/>
        <v>288</v>
      </c>
      <c r="AX46" s="76">
        <f t="shared" si="56"/>
        <v>234</v>
      </c>
      <c r="AY46" s="76">
        <f t="shared" si="56"/>
        <v>180</v>
      </c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</row>
    <row r="47" ht="12.75" customHeight="1">
      <c r="A47" s="79"/>
      <c r="B47" s="76"/>
      <c r="C47" s="76"/>
      <c r="D47" s="76">
        <f t="shared" ref="D47:O47" si="57">ROUND(SUM($D34:$AA34)*D$41,0)</f>
        <v>0</v>
      </c>
      <c r="E47" s="76">
        <f t="shared" si="57"/>
        <v>0</v>
      </c>
      <c r="F47" s="76">
        <f t="shared" si="57"/>
        <v>0</v>
      </c>
      <c r="G47" s="76">
        <f t="shared" si="57"/>
        <v>0</v>
      </c>
      <c r="H47" s="76">
        <f t="shared" si="57"/>
        <v>0</v>
      </c>
      <c r="I47" s="76">
        <f t="shared" si="57"/>
        <v>0</v>
      </c>
      <c r="J47" s="76">
        <f t="shared" si="57"/>
        <v>0</v>
      </c>
      <c r="K47" s="76">
        <f t="shared" si="57"/>
        <v>0</v>
      </c>
      <c r="L47" s="76">
        <f t="shared" si="57"/>
        <v>0</v>
      </c>
      <c r="M47" s="76">
        <f t="shared" si="57"/>
        <v>0</v>
      </c>
      <c r="N47" s="76">
        <f t="shared" si="57"/>
        <v>0</v>
      </c>
      <c r="O47" s="76">
        <f t="shared" si="57"/>
        <v>0</v>
      </c>
      <c r="P47" s="76">
        <f t="shared" ref="P47:AA47" si="58">ROUND(SUM($AC34:$AZ34)*P$41,0)</f>
        <v>0</v>
      </c>
      <c r="Q47" s="76">
        <f t="shared" si="58"/>
        <v>0</v>
      </c>
      <c r="R47" s="76">
        <f t="shared" si="58"/>
        <v>0</v>
      </c>
      <c r="S47" s="76">
        <f t="shared" si="58"/>
        <v>0</v>
      </c>
      <c r="T47" s="76">
        <f t="shared" si="58"/>
        <v>0</v>
      </c>
      <c r="U47" s="76">
        <f t="shared" si="58"/>
        <v>0</v>
      </c>
      <c r="V47" s="76">
        <f t="shared" si="58"/>
        <v>0</v>
      </c>
      <c r="W47" s="76">
        <f t="shared" si="58"/>
        <v>0</v>
      </c>
      <c r="X47" s="76">
        <f t="shared" si="58"/>
        <v>0</v>
      </c>
      <c r="Y47" s="76">
        <f t="shared" si="58"/>
        <v>0</v>
      </c>
      <c r="Z47" s="76">
        <f t="shared" si="58"/>
        <v>0</v>
      </c>
      <c r="AA47" s="76">
        <f t="shared" si="58"/>
        <v>0</v>
      </c>
      <c r="AB47" s="76">
        <f t="shared" ref="AB47:AY47" si="59">ROUND(SUM($BB34:$BY34)*AB$41,0)</f>
        <v>0</v>
      </c>
      <c r="AC47" s="76">
        <f t="shared" si="59"/>
        <v>0</v>
      </c>
      <c r="AD47" s="76">
        <f t="shared" si="59"/>
        <v>0</v>
      </c>
      <c r="AE47" s="76">
        <f t="shared" si="59"/>
        <v>0</v>
      </c>
      <c r="AF47" s="76">
        <f t="shared" si="59"/>
        <v>0</v>
      </c>
      <c r="AG47" s="76">
        <f t="shared" si="59"/>
        <v>0</v>
      </c>
      <c r="AH47" s="76">
        <f t="shared" si="59"/>
        <v>0</v>
      </c>
      <c r="AI47" s="76">
        <f t="shared" si="59"/>
        <v>0</v>
      </c>
      <c r="AJ47" s="76">
        <f t="shared" si="59"/>
        <v>0</v>
      </c>
      <c r="AK47" s="76">
        <f t="shared" si="59"/>
        <v>0</v>
      </c>
      <c r="AL47" s="76">
        <f t="shared" si="59"/>
        <v>0</v>
      </c>
      <c r="AM47" s="76">
        <f t="shared" si="59"/>
        <v>0</v>
      </c>
      <c r="AN47" s="76">
        <f t="shared" si="59"/>
        <v>0</v>
      </c>
      <c r="AO47" s="76">
        <f t="shared" si="59"/>
        <v>0</v>
      </c>
      <c r="AP47" s="76">
        <f t="shared" si="59"/>
        <v>0</v>
      </c>
      <c r="AQ47" s="76">
        <f t="shared" si="59"/>
        <v>0</v>
      </c>
      <c r="AR47" s="76">
        <f t="shared" si="59"/>
        <v>0</v>
      </c>
      <c r="AS47" s="76">
        <f t="shared" si="59"/>
        <v>0</v>
      </c>
      <c r="AT47" s="76">
        <f t="shared" si="59"/>
        <v>0</v>
      </c>
      <c r="AU47" s="76">
        <f t="shared" si="59"/>
        <v>0</v>
      </c>
      <c r="AV47" s="76">
        <f t="shared" si="59"/>
        <v>0</v>
      </c>
      <c r="AW47" s="76">
        <f t="shared" si="59"/>
        <v>0</v>
      </c>
      <c r="AX47" s="76">
        <f t="shared" si="59"/>
        <v>0</v>
      </c>
      <c r="AY47" s="76">
        <f t="shared" si="59"/>
        <v>0</v>
      </c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</row>
    <row r="48" ht="12.75" customHeight="1">
      <c r="A48" s="79"/>
      <c r="B48" s="76"/>
      <c r="C48" s="93" t="s">
        <v>161</v>
      </c>
      <c r="D48" s="93">
        <f t="shared" ref="D48:AY48" si="60">SUM(D42:D47)</f>
        <v>896</v>
      </c>
      <c r="E48" s="93">
        <f t="shared" si="60"/>
        <v>1073</v>
      </c>
      <c r="F48" s="93">
        <f t="shared" si="60"/>
        <v>1164</v>
      </c>
      <c r="G48" s="93">
        <f t="shared" si="60"/>
        <v>1253</v>
      </c>
      <c r="H48" s="93">
        <f t="shared" si="60"/>
        <v>1523</v>
      </c>
      <c r="I48" s="93">
        <f t="shared" si="60"/>
        <v>1790</v>
      </c>
      <c r="J48" s="93">
        <f t="shared" si="60"/>
        <v>1968</v>
      </c>
      <c r="K48" s="93">
        <f t="shared" si="60"/>
        <v>1968</v>
      </c>
      <c r="L48" s="93">
        <f t="shared" si="60"/>
        <v>1790</v>
      </c>
      <c r="M48" s="93">
        <f t="shared" si="60"/>
        <v>1523</v>
      </c>
      <c r="N48" s="93">
        <f t="shared" si="60"/>
        <v>1431</v>
      </c>
      <c r="O48" s="93">
        <f t="shared" si="60"/>
        <v>986</v>
      </c>
      <c r="P48" s="93">
        <f t="shared" si="60"/>
        <v>1010</v>
      </c>
      <c r="Q48" s="93">
        <f t="shared" si="60"/>
        <v>1010</v>
      </c>
      <c r="R48" s="93">
        <f t="shared" si="60"/>
        <v>1111</v>
      </c>
      <c r="S48" s="93">
        <f t="shared" si="60"/>
        <v>1414</v>
      </c>
      <c r="T48" s="93">
        <f t="shared" si="60"/>
        <v>1414</v>
      </c>
      <c r="U48" s="93">
        <f t="shared" si="60"/>
        <v>2020</v>
      </c>
      <c r="V48" s="93">
        <f t="shared" si="60"/>
        <v>2222</v>
      </c>
      <c r="W48" s="93">
        <f t="shared" si="60"/>
        <v>2222</v>
      </c>
      <c r="X48" s="93">
        <f t="shared" si="60"/>
        <v>2020</v>
      </c>
      <c r="Y48" s="93">
        <f t="shared" si="60"/>
        <v>1414</v>
      </c>
      <c r="Z48" s="93">
        <f t="shared" si="60"/>
        <v>1212</v>
      </c>
      <c r="AA48" s="93">
        <f t="shared" si="60"/>
        <v>1010</v>
      </c>
      <c r="AB48" s="93">
        <f t="shared" si="60"/>
        <v>1032</v>
      </c>
      <c r="AC48" s="93">
        <f t="shared" si="60"/>
        <v>1032</v>
      </c>
      <c r="AD48" s="93">
        <f t="shared" si="60"/>
        <v>1032</v>
      </c>
      <c r="AE48" s="93">
        <f t="shared" si="60"/>
        <v>1444</v>
      </c>
      <c r="AF48" s="93">
        <f t="shared" si="60"/>
        <v>1444</v>
      </c>
      <c r="AG48" s="93">
        <f t="shared" si="60"/>
        <v>2063</v>
      </c>
      <c r="AH48" s="93">
        <f t="shared" si="60"/>
        <v>2270</v>
      </c>
      <c r="AI48" s="93">
        <f t="shared" si="60"/>
        <v>2270</v>
      </c>
      <c r="AJ48" s="93">
        <f t="shared" si="60"/>
        <v>2063</v>
      </c>
      <c r="AK48" s="93">
        <f t="shared" si="60"/>
        <v>1444</v>
      </c>
      <c r="AL48" s="93">
        <f t="shared" si="60"/>
        <v>1238</v>
      </c>
      <c r="AM48" s="93">
        <f t="shared" si="60"/>
        <v>825</v>
      </c>
      <c r="AN48" s="93">
        <f t="shared" si="60"/>
        <v>1238</v>
      </c>
      <c r="AO48" s="93">
        <f t="shared" si="60"/>
        <v>1342</v>
      </c>
      <c r="AP48" s="93">
        <f t="shared" si="60"/>
        <v>1444</v>
      </c>
      <c r="AQ48" s="93">
        <f t="shared" si="60"/>
        <v>1548</v>
      </c>
      <c r="AR48" s="93">
        <f t="shared" si="60"/>
        <v>1651</v>
      </c>
      <c r="AS48" s="93">
        <f t="shared" si="60"/>
        <v>2270</v>
      </c>
      <c r="AT48" s="93">
        <f t="shared" si="60"/>
        <v>2475</v>
      </c>
      <c r="AU48" s="93">
        <f t="shared" si="60"/>
        <v>2270</v>
      </c>
      <c r="AV48" s="93">
        <f t="shared" si="60"/>
        <v>2063</v>
      </c>
      <c r="AW48" s="93">
        <f t="shared" si="60"/>
        <v>1651</v>
      </c>
      <c r="AX48" s="93">
        <f t="shared" si="60"/>
        <v>1342</v>
      </c>
      <c r="AY48" s="93">
        <f t="shared" si="60"/>
        <v>1032</v>
      </c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</row>
    <row r="49" ht="12.75" customHeight="1">
      <c r="A49" s="79"/>
      <c r="B49" s="76"/>
      <c r="C49" s="106" t="s">
        <v>162</v>
      </c>
      <c r="D49" s="94">
        <f t="shared" ref="D49:AY49" si="61">D48/24</f>
        <v>37.33333333</v>
      </c>
      <c r="E49" s="94">
        <f t="shared" si="61"/>
        <v>44.70833333</v>
      </c>
      <c r="F49" s="94">
        <f t="shared" si="61"/>
        <v>48.5</v>
      </c>
      <c r="G49" s="94">
        <f t="shared" si="61"/>
        <v>52.20833333</v>
      </c>
      <c r="H49" s="94">
        <f t="shared" si="61"/>
        <v>63.45833333</v>
      </c>
      <c r="I49" s="94">
        <f t="shared" si="61"/>
        <v>74.58333333</v>
      </c>
      <c r="J49" s="94">
        <f t="shared" si="61"/>
        <v>82</v>
      </c>
      <c r="K49" s="94">
        <f t="shared" si="61"/>
        <v>82</v>
      </c>
      <c r="L49" s="94">
        <f t="shared" si="61"/>
        <v>74.58333333</v>
      </c>
      <c r="M49" s="94">
        <f t="shared" si="61"/>
        <v>63.45833333</v>
      </c>
      <c r="N49" s="94">
        <f t="shared" si="61"/>
        <v>59.625</v>
      </c>
      <c r="O49" s="94">
        <f t="shared" si="61"/>
        <v>41.08333333</v>
      </c>
      <c r="P49" s="94">
        <f t="shared" si="61"/>
        <v>42.08333333</v>
      </c>
      <c r="Q49" s="94">
        <f t="shared" si="61"/>
        <v>42.08333333</v>
      </c>
      <c r="R49" s="94">
        <f t="shared" si="61"/>
        <v>46.29166667</v>
      </c>
      <c r="S49" s="94">
        <f t="shared" si="61"/>
        <v>58.91666667</v>
      </c>
      <c r="T49" s="94">
        <f t="shared" si="61"/>
        <v>58.91666667</v>
      </c>
      <c r="U49" s="94">
        <f t="shared" si="61"/>
        <v>84.16666667</v>
      </c>
      <c r="V49" s="94">
        <f t="shared" si="61"/>
        <v>92.58333333</v>
      </c>
      <c r="W49" s="94">
        <f t="shared" si="61"/>
        <v>92.58333333</v>
      </c>
      <c r="X49" s="94">
        <f t="shared" si="61"/>
        <v>84.16666667</v>
      </c>
      <c r="Y49" s="94">
        <f t="shared" si="61"/>
        <v>58.91666667</v>
      </c>
      <c r="Z49" s="94">
        <f t="shared" si="61"/>
        <v>50.5</v>
      </c>
      <c r="AA49" s="94">
        <f t="shared" si="61"/>
        <v>42.08333333</v>
      </c>
      <c r="AB49" s="94">
        <f t="shared" si="61"/>
        <v>43</v>
      </c>
      <c r="AC49" s="94">
        <f t="shared" si="61"/>
        <v>43</v>
      </c>
      <c r="AD49" s="94">
        <f t="shared" si="61"/>
        <v>43</v>
      </c>
      <c r="AE49" s="94">
        <f t="shared" si="61"/>
        <v>60.16666667</v>
      </c>
      <c r="AF49" s="94">
        <f t="shared" si="61"/>
        <v>60.16666667</v>
      </c>
      <c r="AG49" s="94">
        <f t="shared" si="61"/>
        <v>85.95833333</v>
      </c>
      <c r="AH49" s="94">
        <f t="shared" si="61"/>
        <v>94.58333333</v>
      </c>
      <c r="AI49" s="94">
        <f t="shared" si="61"/>
        <v>94.58333333</v>
      </c>
      <c r="AJ49" s="94">
        <f t="shared" si="61"/>
        <v>85.95833333</v>
      </c>
      <c r="AK49" s="94">
        <f t="shared" si="61"/>
        <v>60.16666667</v>
      </c>
      <c r="AL49" s="94">
        <f t="shared" si="61"/>
        <v>51.58333333</v>
      </c>
      <c r="AM49" s="94">
        <f t="shared" si="61"/>
        <v>34.375</v>
      </c>
      <c r="AN49" s="94">
        <f t="shared" si="61"/>
        <v>51.58333333</v>
      </c>
      <c r="AO49" s="94">
        <f t="shared" si="61"/>
        <v>55.91666667</v>
      </c>
      <c r="AP49" s="94">
        <f t="shared" si="61"/>
        <v>60.16666667</v>
      </c>
      <c r="AQ49" s="94">
        <f t="shared" si="61"/>
        <v>64.5</v>
      </c>
      <c r="AR49" s="94">
        <f t="shared" si="61"/>
        <v>68.79166667</v>
      </c>
      <c r="AS49" s="94">
        <f t="shared" si="61"/>
        <v>94.58333333</v>
      </c>
      <c r="AT49" s="94">
        <f t="shared" si="61"/>
        <v>103.125</v>
      </c>
      <c r="AU49" s="94">
        <f t="shared" si="61"/>
        <v>94.58333333</v>
      </c>
      <c r="AV49" s="94">
        <f t="shared" si="61"/>
        <v>85.95833333</v>
      </c>
      <c r="AW49" s="94">
        <f t="shared" si="61"/>
        <v>68.79166667</v>
      </c>
      <c r="AX49" s="94">
        <f t="shared" si="61"/>
        <v>55.91666667</v>
      </c>
      <c r="AY49" s="94">
        <f t="shared" si="61"/>
        <v>43</v>
      </c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</row>
    <row r="50" ht="12.75" customHeight="1">
      <c r="A50" s="79"/>
      <c r="B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</row>
    <row r="51" ht="12.75" customHeight="1">
      <c r="A51" s="79"/>
      <c r="B51" s="76"/>
      <c r="C51" s="80" t="s">
        <v>163</v>
      </c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</row>
    <row r="52" ht="12.75" customHeight="1">
      <c r="A52" s="79"/>
      <c r="B52" s="76"/>
      <c r="C52" s="76"/>
      <c r="D52" s="100">
        <v>2025.0</v>
      </c>
      <c r="P52" s="100">
        <v>2026.0</v>
      </c>
      <c r="AB52" s="100">
        <v>2027.0</v>
      </c>
      <c r="AN52" s="100">
        <v>2028.0</v>
      </c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</row>
    <row r="53" ht="12.75" customHeight="1">
      <c r="A53" s="79"/>
      <c r="B53" s="76"/>
      <c r="C53" s="82" t="s">
        <v>159</v>
      </c>
      <c r="D53" s="102">
        <v>1.0</v>
      </c>
      <c r="E53" s="102">
        <v>2.0</v>
      </c>
      <c r="F53" s="102">
        <v>3.0</v>
      </c>
      <c r="G53" s="102">
        <v>4.0</v>
      </c>
      <c r="H53" s="102">
        <v>5.0</v>
      </c>
      <c r="I53" s="102">
        <v>6.0</v>
      </c>
      <c r="J53" s="102">
        <v>7.0</v>
      </c>
      <c r="K53" s="102">
        <v>8.0</v>
      </c>
      <c r="L53" s="102">
        <v>9.0</v>
      </c>
      <c r="M53" s="102">
        <v>10.0</v>
      </c>
      <c r="N53" s="102">
        <v>11.0</v>
      </c>
      <c r="O53" s="102">
        <v>12.0</v>
      </c>
      <c r="P53" s="103">
        <v>1.0</v>
      </c>
      <c r="Q53" s="103">
        <v>2.0</v>
      </c>
      <c r="R53" s="103">
        <v>3.0</v>
      </c>
      <c r="S53" s="103">
        <v>4.0</v>
      </c>
      <c r="T53" s="103">
        <v>5.0</v>
      </c>
      <c r="U53" s="103">
        <v>6.0</v>
      </c>
      <c r="V53" s="103">
        <v>7.0</v>
      </c>
      <c r="W53" s="103">
        <v>8.0</v>
      </c>
      <c r="X53" s="103">
        <v>9.0</v>
      </c>
      <c r="Y53" s="103">
        <v>10.0</v>
      </c>
      <c r="Z53" s="103">
        <v>11.0</v>
      </c>
      <c r="AA53" s="103">
        <v>12.0</v>
      </c>
      <c r="AB53" s="104">
        <v>1.0</v>
      </c>
      <c r="AC53" s="104">
        <v>2.0</v>
      </c>
      <c r="AD53" s="104">
        <v>3.0</v>
      </c>
      <c r="AE53" s="104">
        <v>4.0</v>
      </c>
      <c r="AF53" s="104">
        <v>5.0</v>
      </c>
      <c r="AG53" s="104">
        <v>6.0</v>
      </c>
      <c r="AH53" s="104">
        <v>7.0</v>
      </c>
      <c r="AI53" s="104">
        <v>8.0</v>
      </c>
      <c r="AJ53" s="104">
        <v>9.0</v>
      </c>
      <c r="AK53" s="104">
        <v>10.0</v>
      </c>
      <c r="AL53" s="104">
        <v>11.0</v>
      </c>
      <c r="AM53" s="104">
        <v>12.0</v>
      </c>
      <c r="AN53" s="105">
        <v>1.0</v>
      </c>
      <c r="AO53" s="105">
        <v>2.0</v>
      </c>
      <c r="AP53" s="105">
        <v>3.0</v>
      </c>
      <c r="AQ53" s="105">
        <v>4.0</v>
      </c>
      <c r="AR53" s="105">
        <v>5.0</v>
      </c>
      <c r="AS53" s="105">
        <v>6.0</v>
      </c>
      <c r="AT53" s="105">
        <v>7.0</v>
      </c>
      <c r="AU53" s="105">
        <v>8.0</v>
      </c>
      <c r="AV53" s="105">
        <v>9.0</v>
      </c>
      <c r="AW53" s="105">
        <v>10.0</v>
      </c>
      <c r="AX53" s="105">
        <v>11.0</v>
      </c>
      <c r="AY53" s="105">
        <v>12.0</v>
      </c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</row>
    <row r="54" ht="12.75" customHeight="1">
      <c r="A54" s="79"/>
      <c r="B54" s="76"/>
      <c r="C54" s="82" t="s">
        <v>164</v>
      </c>
      <c r="D54" s="107">
        <f t="shared" ref="D54:AY54" si="62">D55/24</f>
        <v>483.2367424</v>
      </c>
      <c r="E54" s="107">
        <f t="shared" si="62"/>
        <v>579.0378788</v>
      </c>
      <c r="F54" s="107">
        <f t="shared" si="62"/>
        <v>628.1079545</v>
      </c>
      <c r="G54" s="107">
        <f t="shared" si="62"/>
        <v>676.1117424</v>
      </c>
      <c r="H54" s="107">
        <f t="shared" si="62"/>
        <v>821.7215909</v>
      </c>
      <c r="I54" s="107">
        <f t="shared" si="62"/>
        <v>965.7348485</v>
      </c>
      <c r="J54" s="107">
        <f t="shared" si="62"/>
        <v>1061.744318</v>
      </c>
      <c r="K54" s="107">
        <f t="shared" si="62"/>
        <v>1061.744318</v>
      </c>
      <c r="L54" s="107">
        <f t="shared" si="62"/>
        <v>965.7348485</v>
      </c>
      <c r="M54" s="107">
        <f t="shared" si="62"/>
        <v>821.7215909</v>
      </c>
      <c r="N54" s="107">
        <f t="shared" si="62"/>
        <v>772.1212121</v>
      </c>
      <c r="O54" s="107">
        <f t="shared" si="62"/>
        <v>532.0984848</v>
      </c>
      <c r="P54" s="107">
        <f t="shared" si="62"/>
        <v>550.9836742</v>
      </c>
      <c r="Q54" s="107">
        <f t="shared" si="62"/>
        <v>550.9836742</v>
      </c>
      <c r="R54" s="107">
        <f t="shared" si="62"/>
        <v>606.0516098</v>
      </c>
      <c r="S54" s="107">
        <f t="shared" si="62"/>
        <v>771.4075758</v>
      </c>
      <c r="T54" s="107">
        <f t="shared" si="62"/>
        <v>771.4075758</v>
      </c>
      <c r="U54" s="107">
        <f t="shared" si="62"/>
        <v>1101.967348</v>
      </c>
      <c r="V54" s="107">
        <f t="shared" si="62"/>
        <v>1212.10322</v>
      </c>
      <c r="W54" s="107">
        <f t="shared" si="62"/>
        <v>1212.10322</v>
      </c>
      <c r="X54" s="107">
        <f t="shared" si="62"/>
        <v>1101.967348</v>
      </c>
      <c r="Y54" s="107">
        <f t="shared" si="62"/>
        <v>771.4075758</v>
      </c>
      <c r="Z54" s="107">
        <f t="shared" si="62"/>
        <v>661.1195455</v>
      </c>
      <c r="AA54" s="107">
        <f t="shared" si="62"/>
        <v>550.9836742</v>
      </c>
      <c r="AB54" s="107">
        <f t="shared" si="62"/>
        <v>581.4214227</v>
      </c>
      <c r="AC54" s="107">
        <f t="shared" si="62"/>
        <v>581.4214227</v>
      </c>
      <c r="AD54" s="107">
        <f t="shared" si="62"/>
        <v>581.4214227</v>
      </c>
      <c r="AE54" s="107">
        <f t="shared" si="62"/>
        <v>813.6339473</v>
      </c>
      <c r="AF54" s="107">
        <f t="shared" si="62"/>
        <v>813.6339473</v>
      </c>
      <c r="AG54" s="107">
        <f t="shared" si="62"/>
        <v>1162.436971</v>
      </c>
      <c r="AH54" s="107">
        <f t="shared" si="62"/>
        <v>1279.02747</v>
      </c>
      <c r="AI54" s="107">
        <f t="shared" si="62"/>
        <v>1279.02747</v>
      </c>
      <c r="AJ54" s="107">
        <f t="shared" si="62"/>
        <v>1162.436971</v>
      </c>
      <c r="AK54" s="107">
        <f t="shared" si="62"/>
        <v>813.6339473</v>
      </c>
      <c r="AL54" s="107">
        <f t="shared" si="62"/>
        <v>697.606047</v>
      </c>
      <c r="AM54" s="107">
        <f t="shared" si="62"/>
        <v>464.8309239</v>
      </c>
      <c r="AN54" s="107">
        <f t="shared" si="62"/>
        <v>718.5342284</v>
      </c>
      <c r="AO54" s="107">
        <f t="shared" si="62"/>
        <v>778.8701431</v>
      </c>
      <c r="AP54" s="107">
        <f t="shared" si="62"/>
        <v>838.0429658</v>
      </c>
      <c r="AQ54" s="107">
        <f t="shared" si="62"/>
        <v>898.540306</v>
      </c>
      <c r="AR54" s="107">
        <f t="shared" si="62"/>
        <v>958.1311796</v>
      </c>
      <c r="AS54" s="107">
        <f t="shared" si="62"/>
        <v>1317.398294</v>
      </c>
      <c r="AT54" s="107">
        <f t="shared" si="62"/>
        <v>1436.48898</v>
      </c>
      <c r="AU54" s="107">
        <f t="shared" si="62"/>
        <v>1317.398294</v>
      </c>
      <c r="AV54" s="107">
        <f t="shared" si="62"/>
        <v>1197.31008</v>
      </c>
      <c r="AW54" s="107">
        <f t="shared" si="62"/>
        <v>958.1311796</v>
      </c>
      <c r="AX54" s="107">
        <f t="shared" si="62"/>
        <v>778.8701431</v>
      </c>
      <c r="AY54" s="107">
        <f t="shared" si="62"/>
        <v>598.8640654</v>
      </c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</row>
    <row r="55" ht="12.75" customHeight="1">
      <c r="A55" s="79"/>
      <c r="B55" s="76"/>
      <c r="C55" s="82" t="s">
        <v>165</v>
      </c>
      <c r="D55" s="108">
        <f t="shared" ref="D55:AY55" si="63">SUM(D56:D61)</f>
        <v>11597.68182</v>
      </c>
      <c r="E55" s="108">
        <f t="shared" si="63"/>
        <v>13896.90909</v>
      </c>
      <c r="F55" s="108">
        <f t="shared" si="63"/>
        <v>15074.59091</v>
      </c>
      <c r="G55" s="108">
        <f t="shared" si="63"/>
        <v>16226.68182</v>
      </c>
      <c r="H55" s="108">
        <f t="shared" si="63"/>
        <v>19721.31818</v>
      </c>
      <c r="I55" s="108">
        <f t="shared" si="63"/>
        <v>23177.63636</v>
      </c>
      <c r="J55" s="108">
        <f t="shared" si="63"/>
        <v>25481.86364</v>
      </c>
      <c r="K55" s="108">
        <f t="shared" si="63"/>
        <v>25481.86364</v>
      </c>
      <c r="L55" s="108">
        <f t="shared" si="63"/>
        <v>23177.63636</v>
      </c>
      <c r="M55" s="108">
        <f t="shared" si="63"/>
        <v>19721.31818</v>
      </c>
      <c r="N55" s="108">
        <f t="shared" si="63"/>
        <v>18530.90909</v>
      </c>
      <c r="O55" s="108">
        <f t="shared" si="63"/>
        <v>12770.36364</v>
      </c>
      <c r="P55" s="109">
        <f t="shared" si="63"/>
        <v>13223.60818</v>
      </c>
      <c r="Q55" s="109">
        <f t="shared" si="63"/>
        <v>13223.60818</v>
      </c>
      <c r="R55" s="109">
        <f t="shared" si="63"/>
        <v>14545.23864</v>
      </c>
      <c r="S55" s="109">
        <f t="shared" si="63"/>
        <v>18513.78182</v>
      </c>
      <c r="T55" s="109">
        <f t="shared" si="63"/>
        <v>18513.78182</v>
      </c>
      <c r="U55" s="109">
        <f t="shared" si="63"/>
        <v>26447.21636</v>
      </c>
      <c r="V55" s="109">
        <f t="shared" si="63"/>
        <v>29090.47727</v>
      </c>
      <c r="W55" s="109">
        <f t="shared" si="63"/>
        <v>29090.47727</v>
      </c>
      <c r="X55" s="109">
        <f t="shared" si="63"/>
        <v>26447.21636</v>
      </c>
      <c r="Y55" s="109">
        <f t="shared" si="63"/>
        <v>18513.78182</v>
      </c>
      <c r="Z55" s="109">
        <f t="shared" si="63"/>
        <v>15866.86909</v>
      </c>
      <c r="AA55" s="109">
        <f t="shared" si="63"/>
        <v>13223.60818</v>
      </c>
      <c r="AB55" s="109">
        <f t="shared" si="63"/>
        <v>13954.11415</v>
      </c>
      <c r="AC55" s="109">
        <f t="shared" si="63"/>
        <v>13954.11415</v>
      </c>
      <c r="AD55" s="109">
        <f t="shared" si="63"/>
        <v>13954.11415</v>
      </c>
      <c r="AE55" s="109">
        <f t="shared" si="63"/>
        <v>19527.21474</v>
      </c>
      <c r="AF55" s="109">
        <f t="shared" si="63"/>
        <v>19527.21474</v>
      </c>
      <c r="AG55" s="109">
        <f t="shared" si="63"/>
        <v>27898.4873</v>
      </c>
      <c r="AH55" s="109">
        <f t="shared" si="63"/>
        <v>30696.65927</v>
      </c>
      <c r="AI55" s="109">
        <f t="shared" si="63"/>
        <v>30696.65927</v>
      </c>
      <c r="AJ55" s="109">
        <f t="shared" si="63"/>
        <v>27898.4873</v>
      </c>
      <c r="AK55" s="109">
        <f t="shared" si="63"/>
        <v>19527.21474</v>
      </c>
      <c r="AL55" s="109">
        <f t="shared" si="63"/>
        <v>16742.54513</v>
      </c>
      <c r="AM55" s="109">
        <f t="shared" si="63"/>
        <v>11155.94217</v>
      </c>
      <c r="AN55" s="109">
        <f t="shared" si="63"/>
        <v>17244.82148</v>
      </c>
      <c r="AO55" s="109">
        <f t="shared" si="63"/>
        <v>18692.88343</v>
      </c>
      <c r="AP55" s="109">
        <f t="shared" si="63"/>
        <v>20113.03118</v>
      </c>
      <c r="AQ55" s="109">
        <f t="shared" si="63"/>
        <v>21564.96735</v>
      </c>
      <c r="AR55" s="109">
        <f t="shared" si="63"/>
        <v>22995.14831</v>
      </c>
      <c r="AS55" s="109">
        <f t="shared" si="63"/>
        <v>31617.55905</v>
      </c>
      <c r="AT55" s="109">
        <f t="shared" si="63"/>
        <v>34475.73553</v>
      </c>
      <c r="AU55" s="109">
        <f t="shared" si="63"/>
        <v>31617.55905</v>
      </c>
      <c r="AV55" s="109">
        <f t="shared" si="63"/>
        <v>28735.44192</v>
      </c>
      <c r="AW55" s="109">
        <f t="shared" si="63"/>
        <v>22995.14831</v>
      </c>
      <c r="AX55" s="109">
        <f t="shared" si="63"/>
        <v>18692.88343</v>
      </c>
      <c r="AY55" s="109">
        <f t="shared" si="63"/>
        <v>14372.73757</v>
      </c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</row>
    <row r="56" ht="12.75" customHeight="1">
      <c r="A56" s="79"/>
      <c r="B56" s="110">
        <f>UNIT_PRICE_CLIENT_A</f>
        <v>5</v>
      </c>
      <c r="C56" s="76" t="s">
        <v>148</v>
      </c>
      <c r="D56" s="91">
        <f t="shared" ref="D56:O56" si="64">D42*$B56</f>
        <v>775</v>
      </c>
      <c r="E56" s="91">
        <f t="shared" si="64"/>
        <v>925</v>
      </c>
      <c r="F56" s="91">
        <f t="shared" si="64"/>
        <v>1005</v>
      </c>
      <c r="G56" s="91">
        <f t="shared" si="64"/>
        <v>1080</v>
      </c>
      <c r="H56" s="91">
        <f t="shared" si="64"/>
        <v>1315</v>
      </c>
      <c r="I56" s="91">
        <f t="shared" si="64"/>
        <v>1545</v>
      </c>
      <c r="J56" s="91">
        <f t="shared" si="64"/>
        <v>1700</v>
      </c>
      <c r="K56" s="91">
        <f t="shared" si="64"/>
        <v>1700</v>
      </c>
      <c r="L56" s="91">
        <f t="shared" si="64"/>
        <v>1545</v>
      </c>
      <c r="M56" s="91">
        <f t="shared" si="64"/>
        <v>1315</v>
      </c>
      <c r="N56" s="91">
        <f t="shared" si="64"/>
        <v>1235</v>
      </c>
      <c r="O56" s="91">
        <f t="shared" si="64"/>
        <v>850</v>
      </c>
      <c r="P56" s="91">
        <f>P42*$B56*(1+inflation_vente)</f>
        <v>875.5</v>
      </c>
      <c r="Q56" s="91">
        <f>Q42*$B56*(1+inflation_vente)</f>
        <v>875.5</v>
      </c>
      <c r="R56" s="91">
        <f>R42*$B56*(1+inflation_vente)</f>
        <v>963.05</v>
      </c>
      <c r="S56" s="91">
        <f>S42*$B56*(1+inflation_vente)</f>
        <v>1225.7</v>
      </c>
      <c r="T56" s="91">
        <f>T42*$B56*(1+inflation_vente)</f>
        <v>1225.7</v>
      </c>
      <c r="U56" s="91">
        <f>U42*$B56*(1+inflation_vente)</f>
        <v>1751</v>
      </c>
      <c r="V56" s="91">
        <f>V42*$B56*(1+inflation_vente)</f>
        <v>1926.1</v>
      </c>
      <c r="W56" s="91">
        <f>W42*$B56*(1+inflation_vente)</f>
        <v>1926.1</v>
      </c>
      <c r="X56" s="91">
        <f>X42*$B56*(1+inflation_vente)</f>
        <v>1751</v>
      </c>
      <c r="Y56" s="91">
        <f>Y42*$B56*(1+inflation_vente)</f>
        <v>1225.7</v>
      </c>
      <c r="Z56" s="91">
        <f>Z42*$B56*(1+inflation_vente)</f>
        <v>1050.6</v>
      </c>
      <c r="AA56" s="91">
        <f>AA42*$B56*(1+inflation_vente)</f>
        <v>875.5</v>
      </c>
      <c r="AB56" s="91">
        <f>AB42*$B56*(1+inflation_vente)^2</f>
        <v>954.81</v>
      </c>
      <c r="AC56" s="91">
        <f>AC42*$B56*(1+inflation_vente)^2</f>
        <v>954.81</v>
      </c>
      <c r="AD56" s="91">
        <f>AD42*$B56*(1+inflation_vente)^2</f>
        <v>954.81</v>
      </c>
      <c r="AE56" s="91">
        <f>AE42*$B56*(1+inflation_vente)^2</f>
        <v>1336.734</v>
      </c>
      <c r="AF56" s="91">
        <f>AF42*$B56*(1+inflation_vente)^2</f>
        <v>1336.734</v>
      </c>
      <c r="AG56" s="91">
        <f>AG42*$B56*(1+inflation_vente)^2</f>
        <v>1909.62</v>
      </c>
      <c r="AH56" s="91">
        <f>AH42*$B56*(1+inflation_vente)^2</f>
        <v>2100.582</v>
      </c>
      <c r="AI56" s="91">
        <f>AI42*$B56*(1+inflation_vente)^2</f>
        <v>2100.582</v>
      </c>
      <c r="AJ56" s="91">
        <f>AJ42*$B56*(1+inflation_vente)^2</f>
        <v>1909.62</v>
      </c>
      <c r="AK56" s="91">
        <f>AK42*$B56*(1+inflation_vente)^2</f>
        <v>1336.734</v>
      </c>
      <c r="AL56" s="91">
        <f>AL42*$B56*(1+inflation_vente)^2</f>
        <v>1145.772</v>
      </c>
      <c r="AM56" s="91">
        <f>AM42*$B56*(1+inflation_vente)^2</f>
        <v>763.848</v>
      </c>
      <c r="AN56" s="91">
        <f>AN42*$B56*(1+inflation_vente)^3</f>
        <v>1180.14516</v>
      </c>
      <c r="AO56" s="91">
        <f>AO42*$B56*(1+inflation_vente)^3</f>
        <v>1278.49059</v>
      </c>
      <c r="AP56" s="91">
        <f>AP42*$B56*(1+inflation_vente)^3</f>
        <v>1376.83602</v>
      </c>
      <c r="AQ56" s="91">
        <f>AQ42*$B56*(1+inflation_vente)^3</f>
        <v>1475.18145</v>
      </c>
      <c r="AR56" s="91">
        <f>AR42*$B56*(1+inflation_vente)^3</f>
        <v>1573.52688</v>
      </c>
      <c r="AS56" s="91">
        <f>AS42*$B56*(1+inflation_vente)^3</f>
        <v>2163.59946</v>
      </c>
      <c r="AT56" s="91">
        <f>AT42*$B56*(1+inflation_vente)^3</f>
        <v>2360.29032</v>
      </c>
      <c r="AU56" s="91">
        <f>AU42*$B56*(1+inflation_vente)^3</f>
        <v>2163.59946</v>
      </c>
      <c r="AV56" s="91">
        <f>AV42*$B56*(1+inflation_vente)^3</f>
        <v>1966.9086</v>
      </c>
      <c r="AW56" s="91">
        <f>AW42*$B56*(1+inflation_vente)^3</f>
        <v>1573.52688</v>
      </c>
      <c r="AX56" s="91">
        <f>AX42*$B56*(1+inflation_vente)^3</f>
        <v>1278.49059</v>
      </c>
      <c r="AY56" s="91">
        <f>AY42*$B56*(1+inflation_vente)^3</f>
        <v>983.4543</v>
      </c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</row>
    <row r="57" ht="12.75" customHeight="1">
      <c r="A57" s="79"/>
      <c r="B57" s="110">
        <f>UNIT_PRICE_CLIENT_B</f>
        <v>9.181818182</v>
      </c>
      <c r="C57" s="76" t="s">
        <v>76</v>
      </c>
      <c r="D57" s="91">
        <f t="shared" ref="D57:O57" si="65">D43*$B57</f>
        <v>2176.090909</v>
      </c>
      <c r="E57" s="91">
        <f t="shared" si="65"/>
        <v>2607.636364</v>
      </c>
      <c r="F57" s="91">
        <f t="shared" si="65"/>
        <v>2828</v>
      </c>
      <c r="G57" s="91">
        <f t="shared" si="65"/>
        <v>3048.363636</v>
      </c>
      <c r="H57" s="91">
        <f t="shared" si="65"/>
        <v>3700.272727</v>
      </c>
      <c r="I57" s="91">
        <f t="shared" si="65"/>
        <v>4352.181818</v>
      </c>
      <c r="J57" s="91">
        <f t="shared" si="65"/>
        <v>4783.727273</v>
      </c>
      <c r="K57" s="91">
        <f t="shared" si="65"/>
        <v>4783.727273</v>
      </c>
      <c r="L57" s="91">
        <f t="shared" si="65"/>
        <v>4352.181818</v>
      </c>
      <c r="M57" s="91">
        <f t="shared" si="65"/>
        <v>3700.272727</v>
      </c>
      <c r="N57" s="91">
        <f t="shared" si="65"/>
        <v>3479.909091</v>
      </c>
      <c r="O57" s="91">
        <f t="shared" si="65"/>
        <v>2396.454545</v>
      </c>
      <c r="P57" s="91">
        <f>P43*$B57*(1+inflation_vente)</f>
        <v>2723.694545</v>
      </c>
      <c r="Q57" s="91">
        <f>Q43*$B57*(1+inflation_vente)</f>
        <v>2723.694545</v>
      </c>
      <c r="R57" s="91">
        <f>R43*$B57*(1+inflation_vente)</f>
        <v>2997.955455</v>
      </c>
      <c r="S57" s="91">
        <f>S43*$B57*(1+inflation_vente)</f>
        <v>3811.280909</v>
      </c>
      <c r="T57" s="91">
        <f>T43*$B57*(1+inflation_vente)</f>
        <v>3811.280909</v>
      </c>
      <c r="U57" s="91">
        <f>U43*$B57*(1+inflation_vente)</f>
        <v>5447.389091</v>
      </c>
      <c r="V57" s="91">
        <f>V43*$B57*(1+inflation_vente)</f>
        <v>5995.910909</v>
      </c>
      <c r="W57" s="91">
        <f>W43*$B57*(1+inflation_vente)</f>
        <v>5995.910909</v>
      </c>
      <c r="X57" s="91">
        <f>X43*$B57*(1+inflation_vente)</f>
        <v>5447.389091</v>
      </c>
      <c r="Y57" s="91">
        <f>Y43*$B57*(1+inflation_vente)</f>
        <v>3811.280909</v>
      </c>
      <c r="Z57" s="91">
        <f>Z43*$B57*(1+inflation_vente)</f>
        <v>3272.216364</v>
      </c>
      <c r="AA57" s="91">
        <f>AA43*$B57*(1+inflation_vente)</f>
        <v>2723.694545</v>
      </c>
      <c r="AB57" s="91">
        <f>AB43*$B57*(1+inflation_vente)^2</f>
        <v>2863.851327</v>
      </c>
      <c r="AC57" s="91">
        <f>AC43*$B57*(1+inflation_vente)^2</f>
        <v>2863.851327</v>
      </c>
      <c r="AD57" s="91">
        <f>AD43*$B57*(1+inflation_vente)^2</f>
        <v>2863.851327</v>
      </c>
      <c r="AE57" s="91">
        <f>AE43*$B57*(1+inflation_vente)^2</f>
        <v>4003.547264</v>
      </c>
      <c r="AF57" s="91">
        <f>AF43*$B57*(1+inflation_vente)^2</f>
        <v>4003.547264</v>
      </c>
      <c r="AG57" s="91">
        <f>AG43*$B57*(1+inflation_vente)^2</f>
        <v>5717.961664</v>
      </c>
      <c r="AH57" s="91">
        <f>AH43*$B57*(1+inflation_vente)^2</f>
        <v>6292.680127</v>
      </c>
      <c r="AI57" s="91">
        <f>AI43*$B57*(1+inflation_vente)^2</f>
        <v>6292.680127</v>
      </c>
      <c r="AJ57" s="91">
        <f>AJ43*$B57*(1+inflation_vente)^2</f>
        <v>5717.961664</v>
      </c>
      <c r="AK57" s="91">
        <f>AK43*$B57*(1+inflation_vente)^2</f>
        <v>4003.547264</v>
      </c>
      <c r="AL57" s="91">
        <f>AL43*$B57*(1+inflation_vente)^2</f>
        <v>3428.8288</v>
      </c>
      <c r="AM57" s="91">
        <f>AM43*$B57*(1+inflation_vente)^2</f>
        <v>2289.132864</v>
      </c>
      <c r="AN57" s="91">
        <f>AN43*$B57*(1+inflation_vente)^3</f>
        <v>3531.693664</v>
      </c>
      <c r="AO57" s="91">
        <f>AO43*$B57*(1+inflation_vente)^3</f>
        <v>3832.690283</v>
      </c>
      <c r="AP57" s="91">
        <f>AP43*$B57*(1+inflation_vente)^3</f>
        <v>4123.653682</v>
      </c>
      <c r="AQ57" s="91">
        <f>AQ43*$B57*(1+inflation_vente)^3</f>
        <v>4414.61708</v>
      </c>
      <c r="AR57" s="91">
        <f>AR43*$B57*(1+inflation_vente)^3</f>
        <v>4715.613699</v>
      </c>
      <c r="AS57" s="91">
        <f>AS43*$B57*(1+inflation_vente)^3</f>
        <v>6481.460531</v>
      </c>
      <c r="AT57" s="91">
        <f>AT43*$B57*(1+inflation_vente)^3</f>
        <v>7063.387328</v>
      </c>
      <c r="AU57" s="91">
        <f>AU43*$B57*(1+inflation_vente)^3</f>
        <v>6481.460531</v>
      </c>
      <c r="AV57" s="91">
        <f>AV43*$B57*(1+inflation_vente)^3</f>
        <v>5889.500514</v>
      </c>
      <c r="AW57" s="91">
        <f>AW43*$B57*(1+inflation_vente)^3</f>
        <v>4715.613699</v>
      </c>
      <c r="AX57" s="91">
        <f>AX43*$B57*(1+inflation_vente)^3</f>
        <v>3832.690283</v>
      </c>
      <c r="AY57" s="91">
        <f>AY43*$B57*(1+inflation_vente)^3</f>
        <v>2949.766867</v>
      </c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</row>
    <row r="58" ht="12.75" customHeight="1">
      <c r="A58" s="79"/>
      <c r="B58" s="110">
        <f>UNIT_PRICE_CLIENT_C</f>
        <v>12.72727273</v>
      </c>
      <c r="C58" s="76" t="s">
        <v>80</v>
      </c>
      <c r="D58" s="91">
        <f t="shared" ref="D58:O58" si="66">D44*$B58</f>
        <v>1043.636364</v>
      </c>
      <c r="E58" s="91">
        <f t="shared" si="66"/>
        <v>1247.272727</v>
      </c>
      <c r="F58" s="91">
        <f t="shared" si="66"/>
        <v>1349.090909</v>
      </c>
      <c r="G58" s="91">
        <f t="shared" si="66"/>
        <v>1450.909091</v>
      </c>
      <c r="H58" s="91">
        <f t="shared" si="66"/>
        <v>1769.090909</v>
      </c>
      <c r="I58" s="91">
        <f t="shared" si="66"/>
        <v>2074.545455</v>
      </c>
      <c r="J58" s="91">
        <f t="shared" si="66"/>
        <v>2278.181818</v>
      </c>
      <c r="K58" s="91">
        <f t="shared" si="66"/>
        <v>2278.181818</v>
      </c>
      <c r="L58" s="91">
        <f t="shared" si="66"/>
        <v>2074.545455</v>
      </c>
      <c r="M58" s="91">
        <f t="shared" si="66"/>
        <v>1769.090909</v>
      </c>
      <c r="N58" s="91">
        <f t="shared" si="66"/>
        <v>1654.545455</v>
      </c>
      <c r="O58" s="91">
        <f t="shared" si="66"/>
        <v>1145.454545</v>
      </c>
      <c r="P58" s="91">
        <f>P44*$B58*(1+inflation_vente)</f>
        <v>1468.218182</v>
      </c>
      <c r="Q58" s="91">
        <f>Q44*$B58*(1+inflation_vente)</f>
        <v>1468.218182</v>
      </c>
      <c r="R58" s="91">
        <f>R44*$B58*(1+inflation_vente)</f>
        <v>1612.418182</v>
      </c>
      <c r="S58" s="91">
        <f>S44*$B58*(1+inflation_vente)</f>
        <v>2058.127273</v>
      </c>
      <c r="T58" s="91">
        <f>T44*$B58*(1+inflation_vente)</f>
        <v>2058.127273</v>
      </c>
      <c r="U58" s="91">
        <f>U44*$B58*(1+inflation_vente)</f>
        <v>2936.436364</v>
      </c>
      <c r="V58" s="91">
        <f>V44*$B58*(1+inflation_vente)</f>
        <v>3224.836364</v>
      </c>
      <c r="W58" s="91">
        <f>W44*$B58*(1+inflation_vente)</f>
        <v>3224.836364</v>
      </c>
      <c r="X58" s="91">
        <f>X44*$B58*(1+inflation_vente)</f>
        <v>2936.436364</v>
      </c>
      <c r="Y58" s="91">
        <f>Y44*$B58*(1+inflation_vente)</f>
        <v>2058.127273</v>
      </c>
      <c r="Z58" s="91">
        <f>Z44*$B58*(1+inflation_vente)</f>
        <v>1756.618182</v>
      </c>
      <c r="AA58" s="91">
        <f>AA44*$B58*(1+inflation_vente)</f>
        <v>1468.218182</v>
      </c>
      <c r="AB58" s="91">
        <f>AB44*$B58*(1+inflation_vente)^2</f>
        <v>1255.719818</v>
      </c>
      <c r="AC58" s="91">
        <f>AC44*$B58*(1+inflation_vente)^2</f>
        <v>1255.719818</v>
      </c>
      <c r="AD58" s="91">
        <f>AD44*$B58*(1+inflation_vente)^2</f>
        <v>1255.719818</v>
      </c>
      <c r="AE58" s="91">
        <f>AE44*$B58*(1+inflation_vente)^2</f>
        <v>1755.307273</v>
      </c>
      <c r="AF58" s="91">
        <f>AF44*$B58*(1+inflation_vente)^2</f>
        <v>1755.307273</v>
      </c>
      <c r="AG58" s="91">
        <f>AG44*$B58*(1+inflation_vente)^2</f>
        <v>2511.439636</v>
      </c>
      <c r="AH58" s="91">
        <f>AH44*$B58*(1+inflation_vente)^2</f>
        <v>2767.984545</v>
      </c>
      <c r="AI58" s="91">
        <f>AI44*$B58*(1+inflation_vente)^2</f>
        <v>2767.984545</v>
      </c>
      <c r="AJ58" s="91">
        <f>AJ44*$B58*(1+inflation_vente)^2</f>
        <v>2511.439636</v>
      </c>
      <c r="AK58" s="91">
        <f>AK44*$B58*(1+inflation_vente)^2</f>
        <v>1755.307273</v>
      </c>
      <c r="AL58" s="91">
        <f>AL44*$B58*(1+inflation_vente)^2</f>
        <v>1512.264727</v>
      </c>
      <c r="AM58" s="91">
        <f>AM44*$B58*(1+inflation_vente)^2</f>
        <v>999.1749091</v>
      </c>
      <c r="AN58" s="91">
        <f>AN44*$B58*(1+inflation_vente)^3</f>
        <v>1557.632669</v>
      </c>
      <c r="AO58" s="91">
        <f>AO44*$B58*(1+inflation_vente)^3</f>
        <v>1682.79958</v>
      </c>
      <c r="AP58" s="91">
        <f>AP44*$B58*(1+inflation_vente)^3</f>
        <v>1807.966491</v>
      </c>
      <c r="AQ58" s="91">
        <f>AQ44*$B58*(1+inflation_vente)^3</f>
        <v>1947.040836</v>
      </c>
      <c r="AR58" s="91">
        <f>AR44*$B58*(1+inflation_vente)^3</f>
        <v>2072.207747</v>
      </c>
      <c r="AS58" s="91">
        <f>AS44*$B58*(1+inflation_vente)^3</f>
        <v>2851.024082</v>
      </c>
      <c r="AT58" s="91">
        <f>AT44*$B58*(1+inflation_vente)^3</f>
        <v>3101.357904</v>
      </c>
      <c r="AU58" s="91">
        <f>AU44*$B58*(1+inflation_vente)^3</f>
        <v>2851.024082</v>
      </c>
      <c r="AV58" s="91">
        <f>AV44*$B58*(1+inflation_vente)^3</f>
        <v>2586.782825</v>
      </c>
      <c r="AW58" s="91">
        <f>AW44*$B58*(1+inflation_vente)^3</f>
        <v>2072.207747</v>
      </c>
      <c r="AX58" s="91">
        <f>AX44*$B58*(1+inflation_vente)^3</f>
        <v>1682.79958</v>
      </c>
      <c r="AY58" s="91">
        <f>AY44*$B58*(1+inflation_vente)^3</f>
        <v>1293.391413</v>
      </c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</row>
    <row r="59" ht="12.75" customHeight="1">
      <c r="A59" s="79"/>
      <c r="B59" s="110">
        <f>UNIT_PRICE_CLIENT_D</f>
        <v>16.36363636</v>
      </c>
      <c r="C59" s="76" t="s">
        <v>83</v>
      </c>
      <c r="D59" s="91">
        <f t="shared" ref="D59:O59" si="67">D45*$B59</f>
        <v>4205.454545</v>
      </c>
      <c r="E59" s="91">
        <f t="shared" si="67"/>
        <v>5040</v>
      </c>
      <c r="F59" s="91">
        <f t="shared" si="67"/>
        <v>5465.454545</v>
      </c>
      <c r="G59" s="91">
        <f t="shared" si="67"/>
        <v>5890.909091</v>
      </c>
      <c r="H59" s="91">
        <f t="shared" si="67"/>
        <v>7150.909091</v>
      </c>
      <c r="I59" s="91">
        <f t="shared" si="67"/>
        <v>8410.909091</v>
      </c>
      <c r="J59" s="91">
        <f t="shared" si="67"/>
        <v>9245.454545</v>
      </c>
      <c r="K59" s="91">
        <f t="shared" si="67"/>
        <v>9245.454545</v>
      </c>
      <c r="L59" s="91">
        <f t="shared" si="67"/>
        <v>8410.909091</v>
      </c>
      <c r="M59" s="91">
        <f t="shared" si="67"/>
        <v>7150.909091</v>
      </c>
      <c r="N59" s="91">
        <f t="shared" si="67"/>
        <v>6725.454545</v>
      </c>
      <c r="O59" s="91">
        <f t="shared" si="67"/>
        <v>4630.909091</v>
      </c>
      <c r="P59" s="91">
        <f>P45*$B59*(1+inflation_vente)</f>
        <v>4550.727273</v>
      </c>
      <c r="Q59" s="91">
        <f>Q45*$B59*(1+inflation_vente)</f>
        <v>4550.727273</v>
      </c>
      <c r="R59" s="91">
        <f>R45*$B59*(1+inflation_vente)</f>
        <v>5005.8</v>
      </c>
      <c r="S59" s="91">
        <f>S45*$B59*(1+inflation_vente)</f>
        <v>6371.018182</v>
      </c>
      <c r="T59" s="91">
        <f>T45*$B59*(1+inflation_vente)</f>
        <v>6371.018182</v>
      </c>
      <c r="U59" s="91">
        <f>U45*$B59*(1+inflation_vente)</f>
        <v>9101.454545</v>
      </c>
      <c r="V59" s="91">
        <f>V45*$B59*(1+inflation_vente)</f>
        <v>10011.6</v>
      </c>
      <c r="W59" s="91">
        <f>W45*$B59*(1+inflation_vente)</f>
        <v>10011.6</v>
      </c>
      <c r="X59" s="91">
        <f>X45*$B59*(1+inflation_vente)</f>
        <v>9101.454545</v>
      </c>
      <c r="Y59" s="91">
        <f>Y45*$B59*(1+inflation_vente)</f>
        <v>6371.018182</v>
      </c>
      <c r="Z59" s="91">
        <f>Z45*$B59*(1+inflation_vente)</f>
        <v>5460.872727</v>
      </c>
      <c r="AA59" s="91">
        <f>AA45*$B59*(1+inflation_vente)</f>
        <v>4550.727273</v>
      </c>
      <c r="AB59" s="91">
        <f>AB45*$B59*(1+inflation_vente)^2</f>
        <v>4947.651818</v>
      </c>
      <c r="AC59" s="91">
        <f>AC45*$B59*(1+inflation_vente)^2</f>
        <v>4947.651818</v>
      </c>
      <c r="AD59" s="91">
        <f>AD45*$B59*(1+inflation_vente)^2</f>
        <v>4947.651818</v>
      </c>
      <c r="AE59" s="91">
        <f>AE45*$B59*(1+inflation_vente)^2</f>
        <v>6926.712545</v>
      </c>
      <c r="AF59" s="91">
        <f>AF45*$B59*(1+inflation_vente)^2</f>
        <v>6926.712545</v>
      </c>
      <c r="AG59" s="91">
        <f>AG45*$B59*(1+inflation_vente)^2</f>
        <v>9895.303636</v>
      </c>
      <c r="AH59" s="91">
        <f>AH45*$B59*(1+inflation_vente)^2</f>
        <v>10884.834</v>
      </c>
      <c r="AI59" s="91">
        <f>AI45*$B59*(1+inflation_vente)^2</f>
        <v>10884.834</v>
      </c>
      <c r="AJ59" s="91">
        <f>AJ45*$B59*(1+inflation_vente)^2</f>
        <v>9895.303636</v>
      </c>
      <c r="AK59" s="91">
        <f>AK45*$B59*(1+inflation_vente)^2</f>
        <v>6926.712545</v>
      </c>
      <c r="AL59" s="91">
        <f>AL45*$B59*(1+inflation_vente)^2</f>
        <v>5937.182182</v>
      </c>
      <c r="AM59" s="91">
        <f>AM45*$B59*(1+inflation_vente)^2</f>
        <v>3958.121455</v>
      </c>
      <c r="AN59" s="91">
        <f>AN45*$B59*(1+inflation_vente)^3</f>
        <v>6115.297647</v>
      </c>
      <c r="AO59" s="91">
        <f>AO45*$B59*(1+inflation_vente)^3</f>
        <v>6633.846278</v>
      </c>
      <c r="AP59" s="91">
        <f>AP45*$B59*(1+inflation_vente)^3</f>
        <v>7134.513922</v>
      </c>
      <c r="AQ59" s="91">
        <f>AQ45*$B59*(1+inflation_vente)^3</f>
        <v>7653.062553</v>
      </c>
      <c r="AR59" s="91">
        <f>AR45*$B59*(1+inflation_vente)^3</f>
        <v>8153.730196</v>
      </c>
      <c r="AS59" s="91">
        <f>AS45*$B59*(1+inflation_vente)^3</f>
        <v>11211.37902</v>
      </c>
      <c r="AT59" s="91">
        <f>AT45*$B59*(1+inflation_vente)^3</f>
        <v>12230.59529</v>
      </c>
      <c r="AU59" s="91">
        <f>AU45*$B59*(1+inflation_vente)^3</f>
        <v>11211.37902</v>
      </c>
      <c r="AV59" s="91">
        <f>AV45*$B59*(1+inflation_vente)^3</f>
        <v>10192.16275</v>
      </c>
      <c r="AW59" s="91">
        <f>AW45*$B59*(1+inflation_vente)^3</f>
        <v>8153.730196</v>
      </c>
      <c r="AX59" s="91">
        <f>AX45*$B59*(1+inflation_vente)^3</f>
        <v>6633.846278</v>
      </c>
      <c r="AY59" s="91">
        <f>AY45*$B59*(1+inflation_vente)^3</f>
        <v>5096.081373</v>
      </c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</row>
    <row r="60" ht="12.75" customHeight="1">
      <c r="A60" s="79"/>
      <c r="B60" s="110">
        <f>UNIT_PRICE_CLIENT_E</f>
        <v>20.59090909</v>
      </c>
      <c r="C60" s="76" t="s">
        <v>87</v>
      </c>
      <c r="D60" s="91">
        <f t="shared" ref="D60:O60" si="68">D46*$B60</f>
        <v>3397.5</v>
      </c>
      <c r="E60" s="91">
        <f t="shared" si="68"/>
        <v>4077</v>
      </c>
      <c r="F60" s="91">
        <f t="shared" si="68"/>
        <v>4427.045455</v>
      </c>
      <c r="G60" s="91">
        <f t="shared" si="68"/>
        <v>4756.5</v>
      </c>
      <c r="H60" s="91">
        <f t="shared" si="68"/>
        <v>5786.045455</v>
      </c>
      <c r="I60" s="91">
        <f t="shared" si="68"/>
        <v>6795</v>
      </c>
      <c r="J60" s="91">
        <f t="shared" si="68"/>
        <v>7474.5</v>
      </c>
      <c r="K60" s="91">
        <f t="shared" si="68"/>
        <v>7474.5</v>
      </c>
      <c r="L60" s="91">
        <f t="shared" si="68"/>
        <v>6795</v>
      </c>
      <c r="M60" s="91">
        <f t="shared" si="68"/>
        <v>5786.045455</v>
      </c>
      <c r="N60" s="91">
        <f t="shared" si="68"/>
        <v>5436</v>
      </c>
      <c r="O60" s="91">
        <f t="shared" si="68"/>
        <v>3747.545455</v>
      </c>
      <c r="P60" s="91">
        <f>P46*$B60*(1+inflation_vente)</f>
        <v>3605.468182</v>
      </c>
      <c r="Q60" s="91">
        <f>Q46*$B60*(1+inflation_vente)</f>
        <v>3605.468182</v>
      </c>
      <c r="R60" s="91">
        <f>R46*$B60*(1+inflation_vente)</f>
        <v>3966.015</v>
      </c>
      <c r="S60" s="91">
        <f>S46*$B60*(1+inflation_vente)</f>
        <v>5047.655455</v>
      </c>
      <c r="T60" s="91">
        <f>T46*$B60*(1+inflation_vente)</f>
        <v>5047.655455</v>
      </c>
      <c r="U60" s="91">
        <f>U46*$B60*(1+inflation_vente)</f>
        <v>7210.936364</v>
      </c>
      <c r="V60" s="91">
        <f>V46*$B60*(1+inflation_vente)</f>
        <v>7932.03</v>
      </c>
      <c r="W60" s="91">
        <f>W46*$B60*(1+inflation_vente)</f>
        <v>7932.03</v>
      </c>
      <c r="X60" s="91">
        <f>X46*$B60*(1+inflation_vente)</f>
        <v>7210.936364</v>
      </c>
      <c r="Y60" s="91">
        <f>Y46*$B60*(1+inflation_vente)</f>
        <v>5047.655455</v>
      </c>
      <c r="Z60" s="91">
        <f>Z46*$B60*(1+inflation_vente)</f>
        <v>4326.561818</v>
      </c>
      <c r="AA60" s="91">
        <f>AA46*$B60*(1+inflation_vente)</f>
        <v>3605.468182</v>
      </c>
      <c r="AB60" s="91">
        <f>AB46*$B60*(1+inflation_vente)^2</f>
        <v>3932.081182</v>
      </c>
      <c r="AC60" s="91">
        <f>AC46*$B60*(1+inflation_vente)^2</f>
        <v>3932.081182</v>
      </c>
      <c r="AD60" s="91">
        <f>AD46*$B60*(1+inflation_vente)^2</f>
        <v>3932.081182</v>
      </c>
      <c r="AE60" s="91">
        <f>AE46*$B60*(1+inflation_vente)^2</f>
        <v>5504.913655</v>
      </c>
      <c r="AF60" s="91">
        <f>AF46*$B60*(1+inflation_vente)^2</f>
        <v>5504.913655</v>
      </c>
      <c r="AG60" s="91">
        <f>AG46*$B60*(1+inflation_vente)^2</f>
        <v>7864.162364</v>
      </c>
      <c r="AH60" s="91">
        <f>AH46*$B60*(1+inflation_vente)^2</f>
        <v>8650.5786</v>
      </c>
      <c r="AI60" s="91">
        <f>AI46*$B60*(1+inflation_vente)^2</f>
        <v>8650.5786</v>
      </c>
      <c r="AJ60" s="91">
        <f>AJ46*$B60*(1+inflation_vente)^2</f>
        <v>7864.162364</v>
      </c>
      <c r="AK60" s="91">
        <f>AK46*$B60*(1+inflation_vente)^2</f>
        <v>5504.913655</v>
      </c>
      <c r="AL60" s="91">
        <f>AL46*$B60*(1+inflation_vente)^2</f>
        <v>4718.497418</v>
      </c>
      <c r="AM60" s="91">
        <f>AM46*$B60*(1+inflation_vente)^2</f>
        <v>3145.664945</v>
      </c>
      <c r="AN60" s="91">
        <f>AN46*$B60*(1+inflation_vente)^3</f>
        <v>4860.052341</v>
      </c>
      <c r="AO60" s="91">
        <f>AO46*$B60*(1+inflation_vente)^3</f>
        <v>5265.056702</v>
      </c>
      <c r="AP60" s="91">
        <f>AP46*$B60*(1+inflation_vente)^3</f>
        <v>5670.061064</v>
      </c>
      <c r="AQ60" s="91">
        <f>AQ46*$B60*(1+inflation_vente)^3</f>
        <v>6075.065426</v>
      </c>
      <c r="AR60" s="91">
        <f>AR46*$B60*(1+inflation_vente)^3</f>
        <v>6480.069788</v>
      </c>
      <c r="AS60" s="91">
        <f>AS46*$B60*(1+inflation_vente)^3</f>
        <v>8910.095958</v>
      </c>
      <c r="AT60" s="91">
        <f>AT46*$B60*(1+inflation_vente)^3</f>
        <v>9720.104681</v>
      </c>
      <c r="AU60" s="91">
        <f>AU46*$B60*(1+inflation_vente)^3</f>
        <v>8910.095958</v>
      </c>
      <c r="AV60" s="91">
        <f>AV46*$B60*(1+inflation_vente)^3</f>
        <v>8100.087235</v>
      </c>
      <c r="AW60" s="91">
        <f>AW46*$B60*(1+inflation_vente)^3</f>
        <v>6480.069788</v>
      </c>
      <c r="AX60" s="91">
        <f>AX46*$B60*(1+inflation_vente)^3</f>
        <v>5265.056702</v>
      </c>
      <c r="AY60" s="91">
        <f>AY46*$B60*(1+inflation_vente)^3</f>
        <v>4050.043617</v>
      </c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</row>
    <row r="61" ht="12.75" customHeight="1">
      <c r="A61" s="79"/>
      <c r="B61" s="110"/>
      <c r="C61" s="76"/>
      <c r="D61" s="91">
        <f t="shared" ref="D61:O61" si="69">D47*$B61</f>
        <v>0</v>
      </c>
      <c r="E61" s="91">
        <f t="shared" si="69"/>
        <v>0</v>
      </c>
      <c r="F61" s="91">
        <f t="shared" si="69"/>
        <v>0</v>
      </c>
      <c r="G61" s="91">
        <f t="shared" si="69"/>
        <v>0</v>
      </c>
      <c r="H61" s="91">
        <f t="shared" si="69"/>
        <v>0</v>
      </c>
      <c r="I61" s="91">
        <f t="shared" si="69"/>
        <v>0</v>
      </c>
      <c r="J61" s="91">
        <f t="shared" si="69"/>
        <v>0</v>
      </c>
      <c r="K61" s="91">
        <f t="shared" si="69"/>
        <v>0</v>
      </c>
      <c r="L61" s="91">
        <f t="shared" si="69"/>
        <v>0</v>
      </c>
      <c r="M61" s="91">
        <f t="shared" si="69"/>
        <v>0</v>
      </c>
      <c r="N61" s="91">
        <f t="shared" si="69"/>
        <v>0</v>
      </c>
      <c r="O61" s="91">
        <f t="shared" si="69"/>
        <v>0</v>
      </c>
      <c r="P61" s="91">
        <f>P47*$B61*(1+inflation_vente)</f>
        <v>0</v>
      </c>
      <c r="Q61" s="91">
        <f>Q47*$B61*(1+inflation_vente)</f>
        <v>0</v>
      </c>
      <c r="R61" s="91">
        <f>R47*$B61*(1+inflation_vente)</f>
        <v>0</v>
      </c>
      <c r="S61" s="91">
        <f>S47*$B61*(1+inflation_vente)</f>
        <v>0</v>
      </c>
      <c r="T61" s="91">
        <f>T47*$B61*(1+inflation_vente)</f>
        <v>0</v>
      </c>
      <c r="U61" s="91">
        <f>U47*$B61*(1+inflation_vente)</f>
        <v>0</v>
      </c>
      <c r="V61" s="91">
        <f>V47*$B61*(1+inflation_vente)</f>
        <v>0</v>
      </c>
      <c r="W61" s="91">
        <f>W47*$B61*(1+inflation_vente)</f>
        <v>0</v>
      </c>
      <c r="X61" s="91">
        <f>X47*$B61*(1+inflation_vente)</f>
        <v>0</v>
      </c>
      <c r="Y61" s="91">
        <f>Y47*$B61*(1+inflation_vente)</f>
        <v>0</v>
      </c>
      <c r="Z61" s="91">
        <f>Z47*$B61*(1+inflation_vente)</f>
        <v>0</v>
      </c>
      <c r="AA61" s="91">
        <f>AA47*$B61*(1+inflation_vente)</f>
        <v>0</v>
      </c>
      <c r="AB61" s="91">
        <f>AB47*$B61*(1+inflation_vente)^2</f>
        <v>0</v>
      </c>
      <c r="AC61" s="91">
        <f>AC47*$B61*(1+inflation_vente)^2</f>
        <v>0</v>
      </c>
      <c r="AD61" s="91">
        <f>AD47*$B61*(1+inflation_vente)^2</f>
        <v>0</v>
      </c>
      <c r="AE61" s="91">
        <f>AE47*$B61*(1+inflation_vente)^2</f>
        <v>0</v>
      </c>
      <c r="AF61" s="91">
        <f>AF47*$B61*(1+inflation_vente)^2</f>
        <v>0</v>
      </c>
      <c r="AG61" s="91">
        <f>AG47*$B61*(1+inflation_vente)^2</f>
        <v>0</v>
      </c>
      <c r="AH61" s="91">
        <f>AH47*$B61*(1+inflation_vente)^2</f>
        <v>0</v>
      </c>
      <c r="AI61" s="91">
        <f>AI47*$B61*(1+inflation_vente)^2</f>
        <v>0</v>
      </c>
      <c r="AJ61" s="91">
        <f>AJ47*$B61*(1+inflation_vente)^2</f>
        <v>0</v>
      </c>
      <c r="AK61" s="91">
        <f>AK47*$B61*(1+inflation_vente)^2</f>
        <v>0</v>
      </c>
      <c r="AL61" s="91">
        <f>AL47*$B61*(1+inflation_vente)^2</f>
        <v>0</v>
      </c>
      <c r="AM61" s="91">
        <f>AM47*$B61*(1+inflation_vente)^2</f>
        <v>0</v>
      </c>
      <c r="AN61" s="91">
        <f>AN47*$B61*(1+inflation_vente)^3</f>
        <v>0</v>
      </c>
      <c r="AO61" s="91">
        <f>AO47*$B61*(1+inflation_vente)^3</f>
        <v>0</v>
      </c>
      <c r="AP61" s="91">
        <f>AP47*$B61*(1+inflation_vente)^3</f>
        <v>0</v>
      </c>
      <c r="AQ61" s="91">
        <f>AQ47*$B61*(1+inflation_vente)^3</f>
        <v>0</v>
      </c>
      <c r="AR61" s="91">
        <f>AR47*$B61*(1+inflation_vente)^3</f>
        <v>0</v>
      </c>
      <c r="AS61" s="91">
        <f>AS47*$B61*(1+inflation_vente)^3</f>
        <v>0</v>
      </c>
      <c r="AT61" s="91">
        <f>AT47*$B61*(1+inflation_vente)^3</f>
        <v>0</v>
      </c>
      <c r="AU61" s="91">
        <f>AU47*$B61*(1+inflation_vente)^3</f>
        <v>0</v>
      </c>
      <c r="AV61" s="91">
        <f>AV47*$B61*(1+inflation_vente)^3</f>
        <v>0</v>
      </c>
      <c r="AW61" s="91">
        <f>AW47*$B61*(1+inflation_vente)^3</f>
        <v>0</v>
      </c>
      <c r="AX61" s="91">
        <f>AX47*$B61*(1+inflation_vente)^3</f>
        <v>0</v>
      </c>
      <c r="AY61" s="91">
        <f>AY47*$B61*(1+inflation_vente)^3</f>
        <v>0</v>
      </c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</row>
    <row r="62" ht="12.0" customHeight="1">
      <c r="A62" s="79"/>
      <c r="B62" s="111"/>
      <c r="C62" s="111"/>
      <c r="D62" s="112">
        <f>SUM(D55:O55)</f>
        <v>224858.7727</v>
      </c>
      <c r="P62" s="113">
        <f>SUM(P55:AA55)</f>
        <v>236699.665</v>
      </c>
      <c r="AB62" s="113">
        <f>SUM(AB55:AM55)</f>
        <v>245532.7671</v>
      </c>
      <c r="AN62" s="113">
        <f>SUM(AN55:AY55)</f>
        <v>283117.9166</v>
      </c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</row>
    <row r="63" ht="12.75" customHeight="1">
      <c r="A63" s="79"/>
      <c r="B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</row>
    <row r="64" ht="12.75" customHeight="1">
      <c r="A64" s="79"/>
      <c r="B64" s="76"/>
      <c r="C64" s="76"/>
      <c r="D64" s="76"/>
      <c r="E64" s="76"/>
      <c r="F64" s="76"/>
      <c r="G64" s="76"/>
      <c r="H64" s="114" t="s">
        <v>166</v>
      </c>
      <c r="L64" s="76"/>
      <c r="M64" s="76"/>
      <c r="N64" s="76"/>
      <c r="O64" s="115">
        <f>(P62-D62)/D62</f>
        <v>0.05265924086</v>
      </c>
      <c r="Q64" s="76"/>
      <c r="R64" s="76"/>
      <c r="S64" s="76"/>
      <c r="T64" s="114" t="s">
        <v>167</v>
      </c>
      <c r="X64" s="76"/>
      <c r="Y64" s="76"/>
      <c r="Z64" s="76"/>
      <c r="AA64" s="115">
        <f>(AB62-P62)/P62</f>
        <v>0.03731776338</v>
      </c>
      <c r="AC64" s="76"/>
      <c r="AD64" s="76"/>
      <c r="AE64" s="76"/>
      <c r="AF64" s="114" t="s">
        <v>168</v>
      </c>
      <c r="AJ64" s="76"/>
      <c r="AK64" s="76"/>
      <c r="AL64" s="76"/>
      <c r="AM64" s="115">
        <f>(AN62-AB62)/AB62</f>
        <v>0.1530759009</v>
      </c>
      <c r="AO64" s="76"/>
      <c r="AP64" s="76"/>
      <c r="AQ64" s="76"/>
      <c r="AR64" s="114" t="s">
        <v>169</v>
      </c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</row>
    <row r="65" ht="12.75" customHeight="1">
      <c r="A65" s="79"/>
      <c r="B65" s="76"/>
      <c r="C65" s="76"/>
      <c r="D65" s="110"/>
      <c r="E65" s="76"/>
      <c r="F65" s="76"/>
      <c r="G65" s="76"/>
      <c r="H65" s="76"/>
      <c r="I65" s="76"/>
      <c r="J65" s="76"/>
      <c r="K65" s="76"/>
      <c r="L65" s="76"/>
      <c r="M65" s="76"/>
      <c r="N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</row>
    <row r="66" ht="12.75" customHeight="1">
      <c r="A66" s="79"/>
      <c r="B66" s="76"/>
      <c r="C66" s="76"/>
      <c r="D66" s="110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</row>
    <row r="67" ht="12.75" customHeight="1">
      <c r="A67" s="79"/>
      <c r="B67" s="76"/>
      <c r="C67" s="116" t="s">
        <v>170</v>
      </c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</row>
    <row r="68" ht="12.75" customHeight="1">
      <c r="A68" s="118"/>
      <c r="C68" s="119"/>
      <c r="D68" s="119"/>
      <c r="E68" s="119"/>
      <c r="F68" s="120">
        <v>2025.0</v>
      </c>
      <c r="G68" s="121"/>
      <c r="H68" s="120">
        <v>2026.0</v>
      </c>
      <c r="I68" s="121"/>
      <c r="J68" s="120">
        <v>2027.0</v>
      </c>
      <c r="K68" s="121"/>
      <c r="L68" s="120">
        <v>2028.0</v>
      </c>
      <c r="M68" s="121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</row>
    <row r="69" ht="12.75" customHeight="1">
      <c r="A69" s="118"/>
      <c r="C69" s="122" t="s">
        <v>171</v>
      </c>
      <c r="D69" s="123"/>
      <c r="E69" s="121"/>
      <c r="F69" s="124">
        <f>D62</f>
        <v>224858.7727</v>
      </c>
      <c r="G69" s="121"/>
      <c r="H69" s="124">
        <f>P62</f>
        <v>236699.665</v>
      </c>
      <c r="I69" s="121"/>
      <c r="J69" s="124">
        <f>AB62</f>
        <v>245532.7671</v>
      </c>
      <c r="K69" s="121"/>
      <c r="L69" s="124">
        <f>AN62</f>
        <v>283117.9166</v>
      </c>
      <c r="M69" s="121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</row>
    <row r="70" ht="12.75" customHeight="1">
      <c r="A70" s="118"/>
      <c r="C70" s="122" t="s">
        <v>172</v>
      </c>
      <c r="D70" s="123"/>
      <c r="E70" s="121"/>
      <c r="F70" s="124">
        <f>F69/12</f>
        <v>18738.23106</v>
      </c>
      <c r="G70" s="121"/>
      <c r="H70" s="124">
        <f>H69/12</f>
        <v>19724.97208</v>
      </c>
      <c r="I70" s="121"/>
      <c r="J70" s="124">
        <f>J69/12</f>
        <v>20461.06392</v>
      </c>
      <c r="K70" s="121"/>
      <c r="L70" s="124">
        <f>L69/12</f>
        <v>23593.15972</v>
      </c>
      <c r="M70" s="121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</row>
    <row r="71" ht="12.75" customHeight="1">
      <c r="A71" s="118"/>
      <c r="C71" s="122" t="s">
        <v>173</v>
      </c>
      <c r="D71" s="123"/>
      <c r="E71" s="121"/>
      <c r="F71" s="124">
        <f>F70/24</f>
        <v>780.7596275</v>
      </c>
      <c r="G71" s="121"/>
      <c r="H71" s="124">
        <f>H70/24</f>
        <v>821.8738368</v>
      </c>
      <c r="I71" s="121"/>
      <c r="J71" s="124">
        <f>J70/24</f>
        <v>852.5443302</v>
      </c>
      <c r="K71" s="121"/>
      <c r="L71" s="124">
        <f>L70/24</f>
        <v>983.0483216</v>
      </c>
      <c r="M71" s="121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</row>
    <row r="72" ht="12.75" customHeight="1">
      <c r="A72" s="118"/>
      <c r="C72" s="122" t="s">
        <v>174</v>
      </c>
      <c r="D72" s="123"/>
      <c r="E72" s="121"/>
      <c r="F72" s="125">
        <f>SUM(D48:O48)</f>
        <v>17365</v>
      </c>
      <c r="G72" s="121"/>
      <c r="H72" s="125">
        <f>SUM(P48:AA48)</f>
        <v>18079</v>
      </c>
      <c r="I72" s="121"/>
      <c r="J72" s="125">
        <f>SUM(AB48:AM48)</f>
        <v>18157</v>
      </c>
      <c r="K72" s="121"/>
      <c r="L72" s="125">
        <f>SUM(AN48:AY48)</f>
        <v>20326</v>
      </c>
      <c r="M72" s="121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</row>
    <row r="73" ht="12.75" customHeight="1">
      <c r="C73" s="126" t="s">
        <v>175</v>
      </c>
      <c r="D73" s="123"/>
      <c r="E73" s="121"/>
      <c r="F73" s="125">
        <f>F72/Variables!$I$24</f>
        <v>60.29513889</v>
      </c>
      <c r="G73" s="121"/>
      <c r="H73" s="125">
        <f>H72/Variables!$I$24</f>
        <v>62.77430556</v>
      </c>
      <c r="I73" s="121"/>
      <c r="J73" s="125">
        <f>J72/Variables!$I$24</f>
        <v>63.04513889</v>
      </c>
      <c r="K73" s="121"/>
      <c r="L73" s="125">
        <f>L72/Variables!$I$24</f>
        <v>70.57638889</v>
      </c>
      <c r="M73" s="121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</row>
    <row r="74" ht="12.75" customHeight="1">
      <c r="C74" s="122" t="s">
        <v>176</v>
      </c>
      <c r="D74" s="123"/>
      <c r="E74" s="121"/>
      <c r="F74" s="124">
        <f>F69/F72</f>
        <v>12.94896474</v>
      </c>
      <c r="G74" s="121"/>
      <c r="H74" s="124">
        <f>H69/H72</f>
        <v>13.09251977</v>
      </c>
      <c r="I74" s="121"/>
      <c r="J74" s="124">
        <f>J69/J72</f>
        <v>13.52276076</v>
      </c>
      <c r="K74" s="121"/>
      <c r="L74" s="124">
        <f>L69/L72</f>
        <v>13.92885549</v>
      </c>
      <c r="M74" s="121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</row>
    <row r="75" ht="12.75" customHeight="1">
      <c r="A75" s="76"/>
      <c r="B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</row>
    <row r="76" ht="12.75" customHeight="1">
      <c r="A76" s="76"/>
      <c r="B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</row>
    <row r="77" ht="12.75" customHeight="1">
      <c r="A77" s="76"/>
      <c r="B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</row>
    <row r="78" ht="12.75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</row>
    <row r="79" ht="12.75" customHeight="1">
      <c r="A79" s="128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11"/>
      <c r="Z79" s="111"/>
      <c r="AA79" s="111"/>
      <c r="AB79" s="111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</row>
    <row r="80" ht="12.75" customHeight="1">
      <c r="A80" s="127"/>
      <c r="B80" s="127"/>
      <c r="C80" s="129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30"/>
      <c r="S80" s="130"/>
      <c r="T80" s="130"/>
      <c r="U80" s="130"/>
      <c r="V80" s="130"/>
      <c r="W80" s="130"/>
      <c r="X80" s="127"/>
      <c r="Y80" s="111"/>
      <c r="Z80" s="111"/>
      <c r="AA80" s="111"/>
      <c r="AB80" s="111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</row>
    <row r="81" ht="12.75" customHeight="1">
      <c r="A81" s="127"/>
      <c r="B81" s="127"/>
      <c r="C81" s="127"/>
      <c r="D81" s="131"/>
      <c r="E81" s="131"/>
      <c r="F81" s="131"/>
      <c r="G81" s="131"/>
      <c r="H81" s="131"/>
      <c r="I81" s="131"/>
      <c r="J81" s="132"/>
      <c r="K81" s="132"/>
      <c r="L81" s="132"/>
      <c r="M81" s="132"/>
      <c r="N81" s="127"/>
      <c r="O81" s="127"/>
      <c r="P81" s="127"/>
      <c r="Q81" s="127"/>
      <c r="R81" s="130"/>
      <c r="S81" s="130"/>
      <c r="T81" s="130"/>
      <c r="U81" s="133"/>
      <c r="V81" s="130"/>
      <c r="W81" s="130"/>
      <c r="X81" s="127"/>
      <c r="Y81" s="111"/>
      <c r="Z81" s="111"/>
      <c r="AA81" s="111"/>
      <c r="AB81" s="111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</row>
    <row r="82" ht="12.75" customHeight="1">
      <c r="A82" s="127"/>
      <c r="B82" s="134"/>
      <c r="C82" s="131"/>
      <c r="D82" s="130"/>
      <c r="E82" s="130"/>
      <c r="F82" s="130"/>
      <c r="G82" s="130"/>
      <c r="H82" s="130"/>
      <c r="I82" s="135"/>
      <c r="J82" s="130"/>
      <c r="K82" s="130"/>
      <c r="L82" s="130"/>
      <c r="M82" s="132"/>
      <c r="N82" s="127"/>
      <c r="O82" s="127"/>
      <c r="P82" s="127"/>
      <c r="Q82" s="127"/>
      <c r="R82" s="130"/>
      <c r="S82" s="130"/>
      <c r="T82" s="130"/>
      <c r="U82" s="132"/>
      <c r="V82" s="130"/>
      <c r="W82" s="130"/>
      <c r="X82" s="127"/>
      <c r="Y82" s="111"/>
      <c r="Z82" s="111"/>
      <c r="AA82" s="111"/>
      <c r="AB82" s="111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</row>
    <row r="83" ht="12.75" customHeight="1">
      <c r="A83" s="127"/>
      <c r="B83" s="134"/>
      <c r="C83" s="131"/>
      <c r="D83" s="130"/>
      <c r="E83" s="130"/>
      <c r="F83" s="130"/>
      <c r="G83" s="130"/>
      <c r="H83" s="130"/>
      <c r="I83" s="135"/>
      <c r="J83" s="130"/>
      <c r="K83" s="130"/>
      <c r="L83" s="136"/>
      <c r="M83" s="130"/>
      <c r="N83" s="127"/>
      <c r="O83" s="127"/>
      <c r="P83" s="127"/>
      <c r="Q83" s="127"/>
      <c r="R83" s="130"/>
      <c r="S83" s="130"/>
      <c r="T83" s="130"/>
      <c r="U83" s="130"/>
      <c r="V83" s="130"/>
      <c r="W83" s="130"/>
      <c r="X83" s="127"/>
      <c r="Y83" s="111"/>
      <c r="Z83" s="111"/>
      <c r="AA83" s="111"/>
      <c r="AB83" s="111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</row>
    <row r="84" ht="12.75" customHeight="1">
      <c r="A84" s="127"/>
      <c r="B84" s="134"/>
      <c r="C84" s="131"/>
      <c r="D84" s="130"/>
      <c r="E84" s="130"/>
      <c r="F84" s="130"/>
      <c r="G84" s="130"/>
      <c r="H84" s="130"/>
      <c r="I84" s="130"/>
      <c r="J84" s="130"/>
      <c r="K84" s="130"/>
      <c r="L84" s="136"/>
      <c r="M84" s="135"/>
      <c r="N84" s="127"/>
      <c r="O84" s="127"/>
      <c r="P84" s="127"/>
      <c r="Q84" s="127"/>
      <c r="R84" s="130"/>
      <c r="S84" s="132"/>
      <c r="T84" s="130"/>
      <c r="U84" s="130"/>
      <c r="V84" s="130"/>
      <c r="W84" s="135"/>
      <c r="X84" s="127"/>
      <c r="Y84" s="111"/>
      <c r="Z84" s="111"/>
      <c r="AA84" s="111"/>
      <c r="AB84" s="111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</row>
    <row r="85" ht="12.75" customHeight="1">
      <c r="A85" s="127"/>
      <c r="B85" s="134"/>
      <c r="C85" s="131"/>
      <c r="D85" s="135"/>
      <c r="E85" s="130"/>
      <c r="F85" s="130"/>
      <c r="G85" s="130"/>
      <c r="H85" s="130"/>
      <c r="I85" s="130"/>
      <c r="J85" s="130"/>
      <c r="K85" s="130"/>
      <c r="L85" s="136"/>
      <c r="M85" s="135"/>
      <c r="N85" s="127"/>
      <c r="O85" s="127"/>
      <c r="P85" s="127"/>
      <c r="Q85" s="127"/>
      <c r="R85" s="127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</row>
    <row r="86" ht="12.75" customHeight="1">
      <c r="A86" s="127"/>
      <c r="B86" s="134"/>
      <c r="C86" s="131"/>
      <c r="D86" s="135"/>
      <c r="E86" s="135"/>
      <c r="F86" s="135"/>
      <c r="G86" s="130"/>
      <c r="H86" s="130"/>
      <c r="I86" s="130"/>
      <c r="J86" s="130"/>
      <c r="K86" s="130"/>
      <c r="L86" s="136"/>
      <c r="M86" s="135"/>
      <c r="N86" s="127"/>
      <c r="O86" s="127"/>
      <c r="P86" s="127"/>
      <c r="Q86" s="127"/>
      <c r="R86" s="127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</row>
    <row r="87" ht="12.75" customHeight="1">
      <c r="A87" s="127"/>
      <c r="B87" s="127"/>
      <c r="C87" s="131"/>
      <c r="D87" s="127"/>
      <c r="E87" s="135"/>
      <c r="F87" s="135"/>
      <c r="G87" s="137"/>
      <c r="H87" s="137"/>
      <c r="I87" s="137"/>
      <c r="J87" s="137"/>
      <c r="K87" s="137"/>
      <c r="L87" s="136"/>
      <c r="M87" s="127"/>
      <c r="N87" s="127"/>
      <c r="O87" s="127"/>
      <c r="P87" s="127"/>
      <c r="Q87" s="127"/>
      <c r="R87" s="127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</row>
    <row r="88" ht="12.75" customHeight="1">
      <c r="A88" s="127"/>
      <c r="B88" s="127"/>
      <c r="C88" s="127"/>
      <c r="D88" s="138"/>
      <c r="E88" s="138"/>
      <c r="F88" s="138"/>
      <c r="G88" s="138"/>
      <c r="H88" s="138"/>
      <c r="I88" s="138"/>
      <c r="J88" s="138"/>
      <c r="K88" s="138"/>
      <c r="L88" s="136"/>
      <c r="M88" s="138"/>
      <c r="N88" s="127"/>
      <c r="O88" s="127"/>
      <c r="P88" s="127"/>
      <c r="Q88" s="127"/>
      <c r="R88" s="127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</row>
    <row r="89" ht="12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36"/>
      <c r="M89" s="127"/>
      <c r="N89" s="127"/>
      <c r="O89" s="127"/>
      <c r="P89" s="127"/>
      <c r="Q89" s="127"/>
      <c r="R89" s="127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</row>
    <row r="90" ht="12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36"/>
      <c r="M90" s="127"/>
      <c r="N90" s="127"/>
      <c r="O90" s="127"/>
      <c r="P90" s="127"/>
      <c r="Q90" s="127"/>
      <c r="R90" s="127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</row>
    <row r="91" ht="12.75" customHeight="1">
      <c r="A91" s="127"/>
      <c r="B91" s="127"/>
      <c r="C91" s="129"/>
      <c r="D91" s="127"/>
      <c r="E91" s="127"/>
      <c r="F91" s="127"/>
      <c r="G91" s="127"/>
      <c r="H91" s="127"/>
      <c r="I91" s="127"/>
      <c r="J91" s="127"/>
      <c r="K91" s="127"/>
      <c r="L91" s="136"/>
      <c r="M91" s="127"/>
      <c r="N91" s="127"/>
      <c r="O91" s="127"/>
      <c r="P91" s="127"/>
      <c r="Q91" s="127"/>
      <c r="R91" s="127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</row>
    <row r="92" ht="12.75" customHeight="1">
      <c r="A92" s="127"/>
      <c r="B92" s="127"/>
      <c r="C92" s="127"/>
      <c r="D92" s="131"/>
      <c r="E92" s="131"/>
      <c r="F92" s="131"/>
      <c r="G92" s="131"/>
      <c r="H92" s="131"/>
      <c r="I92" s="131"/>
      <c r="J92" s="132"/>
      <c r="K92" s="132"/>
      <c r="L92" s="132"/>
      <c r="M92" s="132"/>
      <c r="N92" s="127"/>
      <c r="O92" s="127"/>
      <c r="P92" s="127"/>
      <c r="Q92" s="127"/>
      <c r="R92" s="127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</row>
    <row r="93" ht="12.75" customHeight="1">
      <c r="A93" s="127"/>
      <c r="B93" s="127"/>
      <c r="C93" s="127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27"/>
      <c r="O93" s="127"/>
      <c r="P93" s="127"/>
      <c r="Q93" s="127"/>
      <c r="R93" s="127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</row>
    <row r="94" ht="12.75" customHeight="1">
      <c r="A94" s="127"/>
      <c r="B94" s="127"/>
      <c r="C94" s="131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27"/>
      <c r="O94" s="127"/>
      <c r="P94" s="127"/>
      <c r="Q94" s="127"/>
      <c r="R94" s="127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</row>
    <row r="95" ht="12.75" customHeight="1">
      <c r="A95" s="127"/>
      <c r="B95" s="127"/>
      <c r="C95" s="131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27"/>
      <c r="O95" s="127"/>
      <c r="P95" s="127"/>
      <c r="Q95" s="127"/>
      <c r="R95" s="127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</row>
    <row r="96" ht="12.75" customHeight="1">
      <c r="A96" s="127"/>
      <c r="B96" s="127"/>
      <c r="C96" s="131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27"/>
      <c r="O96" s="127"/>
      <c r="P96" s="127"/>
      <c r="Q96" s="127"/>
      <c r="R96" s="127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</row>
    <row r="97" ht="12.75" customHeight="1">
      <c r="A97" s="127"/>
      <c r="B97" s="127"/>
      <c r="C97" s="131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27"/>
      <c r="O97" s="127"/>
      <c r="P97" s="127"/>
      <c r="Q97" s="127"/>
      <c r="R97" s="127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</row>
    <row r="98" ht="12.75" customHeight="1">
      <c r="A98" s="127"/>
      <c r="B98" s="127"/>
      <c r="C98" s="131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27"/>
      <c r="O98" s="127"/>
      <c r="P98" s="127"/>
      <c r="Q98" s="127"/>
      <c r="R98" s="127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</row>
    <row r="99" ht="12.75" customHeight="1">
      <c r="A99" s="127"/>
      <c r="B99" s="127"/>
      <c r="C99" s="131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27"/>
      <c r="O99" s="127"/>
      <c r="P99" s="127"/>
      <c r="Q99" s="127"/>
      <c r="R99" s="127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</row>
    <row r="100" ht="12.75" customHeight="1">
      <c r="A100" s="127"/>
      <c r="B100" s="127"/>
      <c r="C100" s="127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27"/>
      <c r="O100" s="127"/>
      <c r="P100" s="127"/>
      <c r="Q100" s="127"/>
      <c r="R100" s="127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</row>
    <row r="101" ht="12.75" customHeight="1">
      <c r="A101" s="127"/>
      <c r="B101" s="127"/>
      <c r="C101" s="129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11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</row>
    <row r="102" ht="12.75" customHeight="1">
      <c r="A102" s="127"/>
      <c r="B102" s="127"/>
      <c r="C102" s="127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11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</row>
    <row r="103" ht="12.75" customHeight="1">
      <c r="A103" s="127"/>
      <c r="B103" s="127"/>
      <c r="C103" s="127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84"/>
      <c r="T103" s="84"/>
      <c r="U103" s="84"/>
      <c r="V103" s="84"/>
      <c r="W103" s="84"/>
      <c r="X103" s="84"/>
      <c r="Y103" s="84"/>
      <c r="Z103" s="84"/>
      <c r="AA103" s="84"/>
      <c r="AB103" s="111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</row>
    <row r="104" ht="12.75" customHeight="1">
      <c r="A104" s="127"/>
      <c r="B104" s="127"/>
      <c r="C104" s="131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11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</row>
    <row r="105" ht="12.75" customHeight="1">
      <c r="A105" s="127"/>
      <c r="B105" s="127"/>
      <c r="C105" s="131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11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</row>
    <row r="106" ht="12.75" customHeight="1">
      <c r="A106" s="127"/>
      <c r="B106" s="127"/>
      <c r="C106" s="131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11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</row>
    <row r="107" ht="12.75" customHeight="1">
      <c r="A107" s="127"/>
      <c r="B107" s="127"/>
      <c r="C107" s="131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11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</row>
    <row r="108" ht="12.75" customHeight="1">
      <c r="A108" s="127"/>
      <c r="B108" s="127"/>
      <c r="C108" s="131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11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</row>
    <row r="109" ht="12.75" customHeight="1">
      <c r="A109" s="127"/>
      <c r="B109" s="127"/>
      <c r="C109" s="131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11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</row>
    <row r="110" ht="12.75" customHeight="1">
      <c r="A110" s="127"/>
      <c r="B110" s="127"/>
      <c r="C110" s="127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94"/>
      <c r="T110" s="94"/>
      <c r="U110" s="94"/>
      <c r="V110" s="94"/>
      <c r="W110" s="94"/>
      <c r="X110" s="94"/>
      <c r="Y110" s="94"/>
      <c r="Z110" s="94"/>
      <c r="AA110" s="94"/>
      <c r="AB110" s="111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</row>
    <row r="111" ht="12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</row>
    <row r="112" ht="12.75" customHeight="1">
      <c r="A112" s="127"/>
      <c r="B112" s="127"/>
      <c r="C112" s="129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</row>
    <row r="113" ht="12.75" customHeight="1">
      <c r="A113" s="144"/>
      <c r="B113" s="111"/>
      <c r="C113" s="111"/>
      <c r="D113" s="143"/>
      <c r="E113" s="111"/>
      <c r="F113" s="111"/>
      <c r="G113" s="111"/>
      <c r="H113" s="111"/>
      <c r="I113" s="111"/>
      <c r="J113" s="111"/>
      <c r="K113" s="142"/>
      <c r="L113" s="111"/>
      <c r="M113" s="111"/>
      <c r="N113" s="111"/>
      <c r="O113" s="111"/>
      <c r="P113" s="143"/>
      <c r="Q113" s="111"/>
      <c r="R113" s="111"/>
      <c r="S113" s="111"/>
      <c r="T113" s="111"/>
      <c r="U113" s="111"/>
      <c r="V113" s="111"/>
      <c r="W113" s="142"/>
      <c r="X113" s="111"/>
      <c r="Y113" s="111"/>
      <c r="Z113" s="111"/>
      <c r="AA113" s="111"/>
      <c r="AB113" s="111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</row>
    <row r="114" ht="12.75" customHeight="1">
      <c r="A114" s="144"/>
      <c r="B114" s="111"/>
      <c r="C114" s="111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11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</row>
    <row r="115" ht="12.75" customHeight="1">
      <c r="A115" s="144"/>
      <c r="B115" s="111"/>
      <c r="C115" s="111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111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</row>
    <row r="116" ht="12.75" customHeight="1">
      <c r="A116" s="144"/>
      <c r="B116" s="111"/>
      <c r="C116" s="8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11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</row>
    <row r="117" ht="12.75" customHeight="1">
      <c r="A117" s="144"/>
      <c r="B117" s="111"/>
      <c r="C117" s="8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11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</row>
    <row r="118" ht="12.75" customHeight="1">
      <c r="A118" s="144"/>
      <c r="B118" s="111"/>
      <c r="C118" s="8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11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</row>
    <row r="119" ht="12.75" customHeight="1">
      <c r="A119" s="144"/>
      <c r="B119" s="111"/>
      <c r="C119" s="8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11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</row>
    <row r="120" ht="12.75" customHeight="1">
      <c r="A120" s="144"/>
      <c r="B120" s="111"/>
      <c r="C120" s="8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11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</row>
    <row r="121" ht="12.75" customHeight="1">
      <c r="A121" s="144"/>
      <c r="B121" s="111"/>
      <c r="C121" s="8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11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</row>
    <row r="122" ht="12.75" customHeight="1">
      <c r="A122" s="144"/>
      <c r="B122" s="111"/>
      <c r="C122" s="111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111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</row>
    <row r="123" ht="12.75" customHeight="1">
      <c r="A123" s="144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</row>
    <row r="124" ht="12.75" customHeight="1">
      <c r="A124" s="144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</row>
    <row r="125" ht="12.75" customHeight="1">
      <c r="A125" s="144"/>
      <c r="B125" s="111"/>
      <c r="C125" s="145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</row>
    <row r="126" ht="12.75" customHeight="1">
      <c r="A126" s="144"/>
      <c r="B126" s="111"/>
      <c r="C126" s="111"/>
      <c r="D126" s="143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43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</row>
    <row r="127" ht="12.75" customHeight="1">
      <c r="A127" s="144"/>
      <c r="B127" s="111"/>
      <c r="C127" s="111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11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</row>
    <row r="128" ht="12.75" customHeight="1">
      <c r="A128" s="144"/>
      <c r="B128" s="111"/>
      <c r="C128" s="111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11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</row>
    <row r="129" ht="12.75" customHeight="1">
      <c r="A129" s="144"/>
      <c r="B129" s="111"/>
      <c r="C129" s="111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11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</row>
    <row r="130" ht="12.75" customHeight="1">
      <c r="A130" s="144"/>
      <c r="B130" s="149">
        <f>UNIT_PRICE_CLIENT_A</f>
        <v>5</v>
      </c>
      <c r="C130" s="8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11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</row>
    <row r="131" ht="12.75" customHeight="1">
      <c r="A131" s="144"/>
      <c r="B131" s="149">
        <f>UNIT_PRICE_CLIENT_B</f>
        <v>9.181818182</v>
      </c>
      <c r="C131" s="8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11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</row>
    <row r="132" ht="12.75" customHeight="1">
      <c r="A132" s="144"/>
      <c r="B132" s="149">
        <f>UNIT_PRICE_CLIENT_C</f>
        <v>12.72727273</v>
      </c>
      <c r="C132" s="8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11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</row>
    <row r="133" ht="12.75" customHeight="1">
      <c r="A133" s="144"/>
      <c r="B133" s="149">
        <f>UNIT_PRICE_CLIENT_D</f>
        <v>16.36363636</v>
      </c>
      <c r="C133" s="8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11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</row>
    <row r="134" ht="12.75" customHeight="1">
      <c r="A134" s="144"/>
      <c r="B134" s="149">
        <f>UNIT_PRICE_CLIENT_E</f>
        <v>20.59090909</v>
      </c>
      <c r="C134" s="8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11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</row>
    <row r="135" ht="12.75" customHeight="1">
      <c r="A135" s="144"/>
      <c r="B135" s="149">
        <f>UNIT_PRICE_CLIENT_F</f>
        <v>0</v>
      </c>
      <c r="C135" s="8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11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</row>
    <row r="136" ht="12.75" customHeight="1">
      <c r="A136" s="144"/>
      <c r="B136" s="111"/>
      <c r="C136" s="111"/>
      <c r="D136" s="150"/>
      <c r="P136" s="151"/>
      <c r="AB136" s="111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</row>
    <row r="137" ht="12.75" customHeight="1">
      <c r="A137" s="144"/>
      <c r="B137" s="111"/>
      <c r="C137" s="111"/>
      <c r="AB137" s="111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</row>
    <row r="138" ht="12.75" customHeight="1">
      <c r="A138" s="144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52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</row>
    <row r="139" ht="12.75" customHeight="1">
      <c r="A139" s="144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</row>
    <row r="140" ht="12.75" customHeight="1">
      <c r="A140" s="144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</row>
    <row r="141" ht="12.75" customHeight="1">
      <c r="A141" s="144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</row>
    <row r="142" ht="12.75" customHeight="1">
      <c r="A142" s="144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</row>
    <row r="143" ht="12.75" customHeight="1">
      <c r="A143" s="144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</row>
    <row r="144" ht="12.75" customHeight="1">
      <c r="A144" s="111"/>
      <c r="B144" s="153" t="s">
        <v>177</v>
      </c>
      <c r="C144" s="153" t="s">
        <v>178</v>
      </c>
      <c r="D144" s="154">
        <v>2024.0</v>
      </c>
      <c r="E144" s="154">
        <v>2025.0</v>
      </c>
      <c r="F144" s="154">
        <v>2026.0</v>
      </c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</row>
    <row r="145" ht="12.75" customHeight="1">
      <c r="A145" s="155" t="s">
        <v>179</v>
      </c>
      <c r="B145" s="156"/>
      <c r="C145" s="156"/>
      <c r="D145" s="156"/>
      <c r="E145" s="156"/>
      <c r="F145" s="156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</row>
    <row r="146" ht="12.75" customHeight="1">
      <c r="A146" s="111"/>
      <c r="B146" s="154">
        <v>8.0</v>
      </c>
      <c r="C146" s="153" t="s">
        <v>180</v>
      </c>
      <c r="D146" s="154">
        <v>10.0</v>
      </c>
      <c r="E146" s="154">
        <v>25.0</v>
      </c>
      <c r="F146" s="154">
        <v>30.0</v>
      </c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</row>
    <row r="147" ht="12.75" customHeight="1">
      <c r="A147" s="111"/>
      <c r="B147" s="154">
        <v>20.0</v>
      </c>
      <c r="C147" s="153" t="s">
        <v>181</v>
      </c>
      <c r="D147" s="154">
        <v>0.0</v>
      </c>
      <c r="E147" s="154">
        <v>10.0</v>
      </c>
      <c r="F147" s="154">
        <v>30.0</v>
      </c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</row>
    <row r="148" ht="12.75" customHeight="1">
      <c r="A148" s="111"/>
      <c r="B148" s="154">
        <v>15.0</v>
      </c>
      <c r="C148" s="153" t="s">
        <v>182</v>
      </c>
      <c r="D148" s="154">
        <v>0.0</v>
      </c>
      <c r="E148" s="154">
        <v>0.0</v>
      </c>
      <c r="F148" s="154">
        <v>10.0</v>
      </c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</row>
    <row r="149" ht="12.75" customHeight="1">
      <c r="A149" s="111"/>
      <c r="B149" s="154">
        <v>10.0</v>
      </c>
      <c r="C149" s="153" t="s">
        <v>183</v>
      </c>
      <c r="D149" s="154">
        <v>10.0</v>
      </c>
      <c r="E149" s="154">
        <v>25.0</v>
      </c>
      <c r="F149" s="154">
        <v>30.0</v>
      </c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</row>
    <row r="150" ht="12.75" customHeight="1">
      <c r="A150" s="111"/>
      <c r="B150" s="157">
        <v>30.0</v>
      </c>
      <c r="C150" s="156" t="s">
        <v>184</v>
      </c>
      <c r="D150" s="154">
        <v>0.0</v>
      </c>
      <c r="E150" s="154">
        <v>0.0</v>
      </c>
      <c r="F150" s="154">
        <v>5.0</v>
      </c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</row>
    <row r="151" ht="12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</row>
    <row r="152" ht="12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</row>
    <row r="153" ht="12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</row>
    <row r="154" ht="12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</row>
    <row r="155" ht="12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</row>
    <row r="156" ht="12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</row>
    <row r="159" ht="12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</row>
    <row r="160" ht="12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</row>
    <row r="711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/>
      <c r="DH711" s="76"/>
    </row>
    <row r="71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/>
      <c r="DH712" s="76"/>
    </row>
    <row r="713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/>
      <c r="DA713" s="76"/>
      <c r="DB713" s="76"/>
      <c r="DC713" s="76"/>
      <c r="DD713" s="76"/>
      <c r="DE713" s="76"/>
      <c r="DF713" s="76"/>
      <c r="DG713" s="76"/>
      <c r="DH713" s="76"/>
    </row>
    <row r="714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/>
      <c r="DH714" s="76"/>
    </row>
    <row r="715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/>
      <c r="DH715" s="76"/>
    </row>
    <row r="716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</row>
    <row r="717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/>
      <c r="DA717" s="76"/>
      <c r="DB717" s="76"/>
      <c r="DC717" s="76"/>
      <c r="DD717" s="76"/>
      <c r="DE717" s="76"/>
      <c r="DF717" s="76"/>
      <c r="DG717" s="76"/>
      <c r="DH717" s="76"/>
    </row>
    <row r="718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</row>
    <row r="719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</row>
    <row r="720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/>
      <c r="DH720" s="76"/>
    </row>
    <row r="721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/>
      <c r="DH721" s="76"/>
    </row>
    <row r="72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</row>
    <row r="723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/>
      <c r="DA723" s="76"/>
      <c r="DB723" s="76"/>
      <c r="DC723" s="76"/>
      <c r="DD723" s="76"/>
      <c r="DE723" s="76"/>
      <c r="DF723" s="76"/>
      <c r="DG723" s="76"/>
      <c r="DH723" s="76"/>
    </row>
    <row r="724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</row>
    <row r="725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</row>
    <row r="726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</row>
    <row r="727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</row>
    <row r="728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</row>
    <row r="729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</row>
    <row r="730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</row>
    <row r="731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</row>
    <row r="733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</row>
    <row r="734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</row>
    <row r="735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</row>
    <row r="736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</row>
    <row r="737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</row>
    <row r="738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</row>
    <row r="739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</row>
    <row r="740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</row>
    <row r="741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</row>
    <row r="74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</row>
    <row r="743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</row>
    <row r="744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</row>
    <row r="745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</row>
    <row r="746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</row>
    <row r="747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</row>
    <row r="748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</row>
    <row r="749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</row>
    <row r="750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</row>
    <row r="751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</row>
    <row r="75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</row>
    <row r="753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</row>
    <row r="754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</row>
    <row r="755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</row>
    <row r="756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</row>
    <row r="757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</row>
    <row r="758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</row>
    <row r="759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</row>
    <row r="760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</row>
    <row r="761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</row>
    <row r="76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</row>
    <row r="763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</row>
    <row r="764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</row>
    <row r="765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</row>
    <row r="766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</row>
    <row r="767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</row>
    <row r="768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</row>
    <row r="769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</row>
    <row r="770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</row>
    <row r="771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</row>
    <row r="77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</row>
    <row r="773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</row>
    <row r="774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</row>
  </sheetData>
  <autoFilter ref="$C$38:$AA$49"/>
  <mergeCells count="65">
    <mergeCell ref="J69:K69"/>
    <mergeCell ref="L69:M69"/>
    <mergeCell ref="J70:K70"/>
    <mergeCell ref="L70:M70"/>
    <mergeCell ref="J71:K71"/>
    <mergeCell ref="L71:M71"/>
    <mergeCell ref="F69:G69"/>
    <mergeCell ref="H69:I69"/>
    <mergeCell ref="C70:E70"/>
    <mergeCell ref="F70:G70"/>
    <mergeCell ref="H70:I70"/>
    <mergeCell ref="F71:G71"/>
    <mergeCell ref="H71:I71"/>
    <mergeCell ref="H74:I74"/>
    <mergeCell ref="J74:K74"/>
    <mergeCell ref="D136:O137"/>
    <mergeCell ref="P136:AA137"/>
    <mergeCell ref="O138:P139"/>
    <mergeCell ref="C73:E73"/>
    <mergeCell ref="F73:G73"/>
    <mergeCell ref="H73:I73"/>
    <mergeCell ref="J73:K73"/>
    <mergeCell ref="L73:M73"/>
    <mergeCell ref="C74:E74"/>
    <mergeCell ref="F74:G74"/>
    <mergeCell ref="L74:M74"/>
    <mergeCell ref="AC25:AZ25"/>
    <mergeCell ref="BB25:BY25"/>
    <mergeCell ref="D3:I3"/>
    <mergeCell ref="K3:P3"/>
    <mergeCell ref="R3:W3"/>
    <mergeCell ref="D14:I14"/>
    <mergeCell ref="K14:P14"/>
    <mergeCell ref="R14:W14"/>
    <mergeCell ref="D25:AA25"/>
    <mergeCell ref="D39:O39"/>
    <mergeCell ref="P39:AA39"/>
    <mergeCell ref="AB39:AM39"/>
    <mergeCell ref="AN39:AY39"/>
    <mergeCell ref="P52:AA52"/>
    <mergeCell ref="AB52:AM52"/>
    <mergeCell ref="AN52:AY52"/>
    <mergeCell ref="AF64:AI64"/>
    <mergeCell ref="AM64:AN65"/>
    <mergeCell ref="D52:O52"/>
    <mergeCell ref="D62:O63"/>
    <mergeCell ref="P62:AA63"/>
    <mergeCell ref="AB62:AM63"/>
    <mergeCell ref="AN62:AY63"/>
    <mergeCell ref="H64:K64"/>
    <mergeCell ref="O64:P65"/>
    <mergeCell ref="AR64:AU64"/>
    <mergeCell ref="T64:W64"/>
    <mergeCell ref="AA64:AB65"/>
    <mergeCell ref="F68:G68"/>
    <mergeCell ref="H68:I68"/>
    <mergeCell ref="J68:K68"/>
    <mergeCell ref="L68:M68"/>
    <mergeCell ref="C69:E69"/>
    <mergeCell ref="C71:E71"/>
    <mergeCell ref="C72:E72"/>
    <mergeCell ref="F72:G72"/>
    <mergeCell ref="H72:I72"/>
    <mergeCell ref="J72:K72"/>
    <mergeCell ref="L72:M7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18.38"/>
    <col customWidth="1" min="4" max="112" width="7.63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</row>
    <row r="2" ht="23.25" customHeight="1">
      <c r="A2" s="78" t="s">
        <v>185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</row>
    <row r="3" ht="12.75" customHeight="1">
      <c r="A3" s="79"/>
      <c r="B3" s="76"/>
      <c r="C3" s="80" t="s">
        <v>140</v>
      </c>
      <c r="D3" s="81">
        <v>2025.0</v>
      </c>
      <c r="J3" s="76"/>
      <c r="K3" s="81">
        <v>2026.0</v>
      </c>
      <c r="Q3" s="76"/>
      <c r="R3" s="81">
        <v>2027.0</v>
      </c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</row>
    <row r="4" ht="12.75" customHeight="1">
      <c r="A4" s="79"/>
      <c r="B4" s="76"/>
      <c r="C4" s="82" t="s">
        <v>141</v>
      </c>
      <c r="D4" s="83" t="s">
        <v>142</v>
      </c>
      <c r="E4" s="83" t="s">
        <v>143</v>
      </c>
      <c r="F4" s="83" t="s">
        <v>144</v>
      </c>
      <c r="G4" s="83" t="s">
        <v>145</v>
      </c>
      <c r="H4" s="83" t="s">
        <v>146</v>
      </c>
      <c r="I4" s="83" t="s">
        <v>147</v>
      </c>
      <c r="J4" s="76"/>
      <c r="K4" s="83" t="s">
        <v>142</v>
      </c>
      <c r="L4" s="83" t="s">
        <v>143</v>
      </c>
      <c r="M4" s="83" t="s">
        <v>144</v>
      </c>
      <c r="N4" s="83" t="s">
        <v>145</v>
      </c>
      <c r="O4" s="83" t="s">
        <v>146</v>
      </c>
      <c r="P4" s="83" t="s">
        <v>147</v>
      </c>
      <c r="Q4" s="76"/>
      <c r="R4" s="83" t="s">
        <v>142</v>
      </c>
      <c r="S4" s="83" t="s">
        <v>143</v>
      </c>
      <c r="T4" s="83" t="s">
        <v>144</v>
      </c>
      <c r="U4" s="83" t="s">
        <v>145</v>
      </c>
      <c r="V4" s="83" t="s">
        <v>146</v>
      </c>
      <c r="W4" s="83" t="s">
        <v>147</v>
      </c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</row>
    <row r="5" ht="12.75" customHeight="1">
      <c r="A5" s="79"/>
      <c r="B5" s="158">
        <v>5.5</v>
      </c>
      <c r="C5" s="76" t="s">
        <v>148</v>
      </c>
      <c r="D5" s="84"/>
      <c r="E5" s="84"/>
      <c r="F5" s="84"/>
      <c r="G5" s="84"/>
      <c r="H5" s="84"/>
      <c r="I5" s="84"/>
      <c r="J5" s="76"/>
      <c r="K5" s="84"/>
      <c r="L5" s="84"/>
      <c r="M5" s="84"/>
      <c r="N5" s="84"/>
      <c r="O5" s="84"/>
      <c r="P5" s="84"/>
      <c r="Q5" s="76"/>
      <c r="R5" s="84"/>
      <c r="S5" s="84"/>
      <c r="T5" s="84"/>
      <c r="U5" s="84"/>
      <c r="V5" s="84"/>
      <c r="W5" s="84"/>
      <c r="X5" s="85"/>
      <c r="Y5" s="76"/>
      <c r="Z5" s="76"/>
      <c r="AA5" s="76"/>
      <c r="AB5" s="76"/>
      <c r="AC5" s="76"/>
      <c r="AD5" s="60"/>
      <c r="AE5" s="60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</row>
    <row r="6" ht="12.75" customHeight="1">
      <c r="A6" s="79"/>
      <c r="B6" s="158">
        <v>10.1</v>
      </c>
      <c r="C6" s="76" t="s">
        <v>76</v>
      </c>
      <c r="D6" s="84"/>
      <c r="E6" s="84"/>
      <c r="F6" s="84">
        <v>0.05</v>
      </c>
      <c r="G6" s="86"/>
      <c r="H6" s="84">
        <v>0.3</v>
      </c>
      <c r="I6" s="84">
        <v>1.0</v>
      </c>
      <c r="J6" s="76"/>
      <c r="K6" s="84"/>
      <c r="L6" s="84"/>
      <c r="M6" s="84">
        <v>0.05</v>
      </c>
      <c r="N6" s="86"/>
      <c r="O6" s="84">
        <v>0.3</v>
      </c>
      <c r="P6" s="84">
        <v>1.0</v>
      </c>
      <c r="Q6" s="76"/>
      <c r="R6" s="84"/>
      <c r="S6" s="84"/>
      <c r="T6" s="84">
        <v>0.05</v>
      </c>
      <c r="U6" s="86"/>
      <c r="V6" s="84">
        <v>0.3</v>
      </c>
      <c r="W6" s="84">
        <v>1.0</v>
      </c>
      <c r="X6" s="85"/>
      <c r="Y6" s="76"/>
      <c r="Z6" s="76"/>
      <c r="AA6" s="76"/>
      <c r="AB6" s="76"/>
      <c r="AC6" s="76"/>
      <c r="AD6" s="60"/>
      <c r="AE6" s="60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</row>
    <row r="7" ht="12.75" customHeight="1">
      <c r="A7" s="79"/>
      <c r="B7" s="158">
        <v>14.0</v>
      </c>
      <c r="C7" s="76" t="s">
        <v>80</v>
      </c>
      <c r="D7" s="84"/>
      <c r="E7" s="84"/>
      <c r="F7" s="84">
        <v>0.05</v>
      </c>
      <c r="G7" s="84"/>
      <c r="H7" s="84"/>
      <c r="I7" s="84"/>
      <c r="J7" s="76"/>
      <c r="K7" s="84"/>
      <c r="L7" s="84"/>
      <c r="M7" s="84">
        <v>0.05</v>
      </c>
      <c r="N7" s="84"/>
      <c r="O7" s="84"/>
      <c r="P7" s="84"/>
      <c r="Q7" s="76"/>
      <c r="R7" s="84"/>
      <c r="S7" s="84"/>
      <c r="T7" s="84">
        <v>0.05</v>
      </c>
      <c r="U7" s="84"/>
      <c r="V7" s="84"/>
      <c r="W7" s="84"/>
      <c r="X7" s="85"/>
      <c r="Y7" s="76"/>
      <c r="Z7" s="76"/>
      <c r="AA7" s="76"/>
      <c r="AB7" s="76"/>
      <c r="AC7" s="76"/>
      <c r="AD7" s="60"/>
      <c r="AE7" s="60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</row>
    <row r="8" ht="12.75" customHeight="1">
      <c r="A8" s="79"/>
      <c r="B8" s="158">
        <v>18.0</v>
      </c>
      <c r="C8" s="76" t="s">
        <v>83</v>
      </c>
      <c r="D8" s="84"/>
      <c r="E8" s="84"/>
      <c r="F8" s="84">
        <v>0.7</v>
      </c>
      <c r="G8" s="84">
        <v>0.8</v>
      </c>
      <c r="H8" s="84">
        <v>0.5</v>
      </c>
      <c r="I8" s="84"/>
      <c r="J8" s="76"/>
      <c r="K8" s="84"/>
      <c r="L8" s="84"/>
      <c r="M8" s="84">
        <v>0.7</v>
      </c>
      <c r="N8" s="84">
        <v>0.8</v>
      </c>
      <c r="O8" s="84">
        <v>0.5</v>
      </c>
      <c r="P8" s="84"/>
      <c r="Q8" s="76"/>
      <c r="R8" s="84"/>
      <c r="S8" s="84"/>
      <c r="T8" s="84">
        <v>0.7</v>
      </c>
      <c r="U8" s="84">
        <v>0.8</v>
      </c>
      <c r="V8" s="84">
        <v>0.5</v>
      </c>
      <c r="W8" s="84"/>
      <c r="X8" s="85"/>
      <c r="Y8" s="76"/>
      <c r="Z8" s="76"/>
      <c r="AA8" s="76"/>
      <c r="AB8" s="76"/>
      <c r="AC8" s="76"/>
      <c r="AD8" s="60"/>
      <c r="AE8" s="60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</row>
    <row r="9" ht="12.75" customHeight="1">
      <c r="A9" s="79"/>
      <c r="B9" s="158">
        <v>22.65</v>
      </c>
      <c r="C9" s="76" t="s">
        <v>87</v>
      </c>
      <c r="D9" s="84"/>
      <c r="E9" s="84"/>
      <c r="F9" s="84">
        <v>0.2</v>
      </c>
      <c r="G9" s="84">
        <v>0.2</v>
      </c>
      <c r="H9" s="84">
        <v>0.2</v>
      </c>
      <c r="I9" s="86"/>
      <c r="J9" s="76"/>
      <c r="K9" s="84"/>
      <c r="L9" s="84"/>
      <c r="M9" s="84">
        <v>0.2</v>
      </c>
      <c r="N9" s="84">
        <v>0.2</v>
      </c>
      <c r="O9" s="84">
        <v>0.2</v>
      </c>
      <c r="P9" s="86"/>
      <c r="Q9" s="76"/>
      <c r="R9" s="84"/>
      <c r="S9" s="84"/>
      <c r="T9" s="84">
        <v>0.2</v>
      </c>
      <c r="U9" s="84">
        <v>0.2</v>
      </c>
      <c r="V9" s="84">
        <v>0.2</v>
      </c>
      <c r="W9" s="86"/>
      <c r="X9" s="85"/>
      <c r="Y9" s="76"/>
      <c r="Z9" s="76"/>
      <c r="AA9" s="76"/>
      <c r="AB9" s="76"/>
      <c r="AC9" s="76"/>
      <c r="AD9" s="60"/>
      <c r="AE9" s="60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</row>
    <row r="10" ht="12.75" customHeight="1">
      <c r="A10" s="79"/>
      <c r="B10" s="76"/>
      <c r="C10" s="76"/>
      <c r="D10" s="88"/>
      <c r="E10" s="88"/>
      <c r="F10" s="88"/>
      <c r="G10" s="88"/>
      <c r="H10" s="88"/>
      <c r="I10" s="88"/>
      <c r="J10" s="76"/>
      <c r="K10" s="88"/>
      <c r="L10" s="88"/>
      <c r="M10" s="88"/>
      <c r="N10" s="88"/>
      <c r="O10" s="88"/>
      <c r="P10" s="88"/>
      <c r="Q10" s="76"/>
      <c r="R10" s="88"/>
      <c r="S10" s="88"/>
      <c r="T10" s="88"/>
      <c r="U10" s="88"/>
      <c r="V10" s="88"/>
      <c r="W10" s="88"/>
      <c r="X10" s="85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</row>
    <row r="11" ht="12.75" customHeight="1">
      <c r="A11" s="79"/>
      <c r="B11" s="76"/>
      <c r="C11" s="76"/>
      <c r="D11" s="89">
        <f t="shared" ref="D11:I11" si="1">SUM(D5:D10)</f>
        <v>0</v>
      </c>
      <c r="E11" s="89">
        <f t="shared" si="1"/>
        <v>0</v>
      </c>
      <c r="F11" s="89">
        <f t="shared" si="1"/>
        <v>1</v>
      </c>
      <c r="G11" s="89">
        <f t="shared" si="1"/>
        <v>1</v>
      </c>
      <c r="H11" s="89">
        <f t="shared" si="1"/>
        <v>1</v>
      </c>
      <c r="I11" s="89">
        <f t="shared" si="1"/>
        <v>1</v>
      </c>
      <c r="J11" s="76"/>
      <c r="K11" s="89">
        <f t="shared" ref="K11:P11" si="2">SUM(K5:K10)</f>
        <v>0</v>
      </c>
      <c r="L11" s="89">
        <f t="shared" si="2"/>
        <v>0</v>
      </c>
      <c r="M11" s="89">
        <f t="shared" si="2"/>
        <v>1</v>
      </c>
      <c r="N11" s="89">
        <f t="shared" si="2"/>
        <v>1</v>
      </c>
      <c r="O11" s="89">
        <f t="shared" si="2"/>
        <v>1</v>
      </c>
      <c r="P11" s="89">
        <f t="shared" si="2"/>
        <v>1</v>
      </c>
      <c r="Q11" s="76"/>
      <c r="R11" s="89">
        <f t="shared" ref="R11:W11" si="3">SUM(R5:R10)</f>
        <v>0</v>
      </c>
      <c r="S11" s="89">
        <f t="shared" si="3"/>
        <v>0</v>
      </c>
      <c r="T11" s="89">
        <f t="shared" si="3"/>
        <v>1</v>
      </c>
      <c r="U11" s="89">
        <f t="shared" si="3"/>
        <v>1</v>
      </c>
      <c r="V11" s="89">
        <f t="shared" si="3"/>
        <v>1</v>
      </c>
      <c r="W11" s="89">
        <f t="shared" si="3"/>
        <v>1</v>
      </c>
      <c r="X11" s="85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</row>
    <row r="12" ht="12.75" customHeight="1">
      <c r="A12" s="79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85"/>
      <c r="U12" s="85"/>
      <c r="V12" s="90"/>
      <c r="W12" s="90"/>
      <c r="X12" s="85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</row>
    <row r="13" ht="12.75" customHeight="1">
      <c r="A13" s="79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85"/>
      <c r="U13" s="85"/>
      <c r="V13" s="90"/>
      <c r="W13" s="90"/>
      <c r="X13" s="85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</row>
    <row r="14" ht="12.75" customHeight="1">
      <c r="A14" s="79"/>
      <c r="B14" s="76"/>
      <c r="C14" s="80" t="s">
        <v>140</v>
      </c>
      <c r="D14" s="81">
        <v>2025.0</v>
      </c>
      <c r="J14" s="76"/>
      <c r="K14" s="81">
        <v>2026.0</v>
      </c>
      <c r="Q14" s="76"/>
      <c r="R14" s="81">
        <v>2027.0</v>
      </c>
      <c r="X14" s="85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</row>
    <row r="15" ht="12.75" customHeight="1">
      <c r="A15" s="79"/>
      <c r="B15" s="76"/>
      <c r="D15" s="83" t="s">
        <v>142</v>
      </c>
      <c r="E15" s="83" t="s">
        <v>143</v>
      </c>
      <c r="F15" s="83" t="s">
        <v>144</v>
      </c>
      <c r="G15" s="83" t="s">
        <v>145</v>
      </c>
      <c r="H15" s="83" t="s">
        <v>146</v>
      </c>
      <c r="I15" s="83" t="s">
        <v>147</v>
      </c>
      <c r="J15" s="76"/>
      <c r="K15" s="83" t="s">
        <v>142</v>
      </c>
      <c r="L15" s="83" t="s">
        <v>143</v>
      </c>
      <c r="M15" s="83" t="s">
        <v>144</v>
      </c>
      <c r="N15" s="83" t="s">
        <v>145</v>
      </c>
      <c r="O15" s="83" t="s">
        <v>146</v>
      </c>
      <c r="P15" s="83" t="s">
        <v>147</v>
      </c>
      <c r="Q15" s="76"/>
      <c r="R15" s="83" t="s">
        <v>142</v>
      </c>
      <c r="S15" s="83" t="s">
        <v>143</v>
      </c>
      <c r="T15" s="83" t="s">
        <v>144</v>
      </c>
      <c r="U15" s="83" t="s">
        <v>145</v>
      </c>
      <c r="V15" s="83" t="s">
        <v>146</v>
      </c>
      <c r="W15" s="83" t="s">
        <v>147</v>
      </c>
      <c r="X15" s="85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</row>
    <row r="16" ht="12.75" customHeight="1">
      <c r="A16" s="79"/>
      <c r="B16" s="76"/>
      <c r="C16" s="82" t="s">
        <v>149</v>
      </c>
      <c r="D16" s="87"/>
      <c r="E16" s="87"/>
      <c r="F16" s="87">
        <v>10.0</v>
      </c>
      <c r="G16" s="87">
        <v>9.0</v>
      </c>
      <c r="H16" s="87">
        <v>9.0</v>
      </c>
      <c r="I16" s="87">
        <v>5.0</v>
      </c>
      <c r="J16" s="76"/>
      <c r="K16" s="87"/>
      <c r="L16" s="87"/>
      <c r="M16" s="87">
        <v>12.0</v>
      </c>
      <c r="N16" s="87">
        <v>12.0</v>
      </c>
      <c r="O16" s="87">
        <v>10.0</v>
      </c>
      <c r="P16" s="87">
        <v>5.0</v>
      </c>
      <c r="Q16" s="76"/>
      <c r="R16" s="87"/>
      <c r="S16" s="87"/>
      <c r="T16" s="87">
        <v>13.0</v>
      </c>
      <c r="U16" s="87">
        <v>12.0</v>
      </c>
      <c r="V16" s="87">
        <v>10.0</v>
      </c>
      <c r="W16" s="87">
        <v>5.0</v>
      </c>
      <c r="X16" s="85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</row>
    <row r="17" ht="12.75" customHeight="1">
      <c r="A17" s="79"/>
      <c r="B17" s="76"/>
      <c r="C17" s="76" t="s">
        <v>72</v>
      </c>
      <c r="D17" s="91">
        <f t="shared" ref="D17:I17" si="4">ROUND( D$16*D5,0)</f>
        <v>0</v>
      </c>
      <c r="E17" s="91">
        <f t="shared" si="4"/>
        <v>0</v>
      </c>
      <c r="F17" s="91">
        <f t="shared" si="4"/>
        <v>0</v>
      </c>
      <c r="G17" s="91">
        <f t="shared" si="4"/>
        <v>0</v>
      </c>
      <c r="H17" s="91">
        <f t="shared" si="4"/>
        <v>0</v>
      </c>
      <c r="I17" s="91">
        <f t="shared" si="4"/>
        <v>0</v>
      </c>
      <c r="J17" s="76"/>
      <c r="K17" s="91">
        <f t="shared" ref="K17:P17" si="5">ROUND( K$16*K5,0)</f>
        <v>0</v>
      </c>
      <c r="L17" s="91">
        <f t="shared" si="5"/>
        <v>0</v>
      </c>
      <c r="M17" s="91">
        <f t="shared" si="5"/>
        <v>0</v>
      </c>
      <c r="N17" s="91">
        <f t="shared" si="5"/>
        <v>0</v>
      </c>
      <c r="O17" s="91">
        <f t="shared" si="5"/>
        <v>0</v>
      </c>
      <c r="P17" s="91">
        <f t="shared" si="5"/>
        <v>0</v>
      </c>
      <c r="Q17" s="76"/>
      <c r="R17" s="92">
        <f t="shared" ref="R17:W17" si="6">ROUND( R$16*R5,0)</f>
        <v>0</v>
      </c>
      <c r="S17" s="92">
        <f t="shared" si="6"/>
        <v>0</v>
      </c>
      <c r="T17" s="92">
        <f t="shared" si="6"/>
        <v>0</v>
      </c>
      <c r="U17" s="92">
        <f t="shared" si="6"/>
        <v>0</v>
      </c>
      <c r="V17" s="92">
        <f t="shared" si="6"/>
        <v>0</v>
      </c>
      <c r="W17" s="92">
        <f t="shared" si="6"/>
        <v>0</v>
      </c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</row>
    <row r="18" ht="12.75" customHeight="1">
      <c r="A18" s="79"/>
      <c r="B18" s="76"/>
      <c r="C18" s="76" t="s">
        <v>76</v>
      </c>
      <c r="D18" s="91">
        <f t="shared" ref="D18:I18" si="7">ROUND( D$16*D6,0)</f>
        <v>0</v>
      </c>
      <c r="E18" s="91">
        <f t="shared" si="7"/>
        <v>0</v>
      </c>
      <c r="F18" s="91">
        <f t="shared" si="7"/>
        <v>1</v>
      </c>
      <c r="G18" s="91">
        <f t="shared" si="7"/>
        <v>0</v>
      </c>
      <c r="H18" s="91">
        <f t="shared" si="7"/>
        <v>3</v>
      </c>
      <c r="I18" s="91">
        <f t="shared" si="7"/>
        <v>5</v>
      </c>
      <c r="J18" s="76"/>
      <c r="K18" s="91">
        <f t="shared" ref="K18:P18" si="8">ROUND( K$16*K6,0)</f>
        <v>0</v>
      </c>
      <c r="L18" s="91">
        <f t="shared" si="8"/>
        <v>0</v>
      </c>
      <c r="M18" s="91">
        <f t="shared" si="8"/>
        <v>1</v>
      </c>
      <c r="N18" s="91">
        <f t="shared" si="8"/>
        <v>0</v>
      </c>
      <c r="O18" s="91">
        <f t="shared" si="8"/>
        <v>3</v>
      </c>
      <c r="P18" s="91">
        <f t="shared" si="8"/>
        <v>5</v>
      </c>
      <c r="Q18" s="76"/>
      <c r="R18" s="92">
        <f t="shared" ref="R18:W18" si="9">ROUND( R$16*R6,0)</f>
        <v>0</v>
      </c>
      <c r="S18" s="92">
        <f t="shared" si="9"/>
        <v>0</v>
      </c>
      <c r="T18" s="92">
        <f t="shared" si="9"/>
        <v>1</v>
      </c>
      <c r="U18" s="92">
        <f t="shared" si="9"/>
        <v>0</v>
      </c>
      <c r="V18" s="92">
        <f t="shared" si="9"/>
        <v>3</v>
      </c>
      <c r="W18" s="92">
        <f t="shared" si="9"/>
        <v>5</v>
      </c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</row>
    <row r="19" ht="12.75" customHeight="1">
      <c r="A19" s="79"/>
      <c r="B19" s="76"/>
      <c r="C19" s="76" t="s">
        <v>80</v>
      </c>
      <c r="D19" s="91">
        <f t="shared" ref="D19:I19" si="10">ROUND( D$16*D7,0)</f>
        <v>0</v>
      </c>
      <c r="E19" s="91">
        <f t="shared" si="10"/>
        <v>0</v>
      </c>
      <c r="F19" s="91">
        <f t="shared" si="10"/>
        <v>1</v>
      </c>
      <c r="G19" s="91">
        <f t="shared" si="10"/>
        <v>0</v>
      </c>
      <c r="H19" s="91">
        <f t="shared" si="10"/>
        <v>0</v>
      </c>
      <c r="I19" s="91">
        <f t="shared" si="10"/>
        <v>0</v>
      </c>
      <c r="J19" s="76"/>
      <c r="K19" s="91">
        <f t="shared" ref="K19:P19" si="11">ROUND( K$16*K7,0)</f>
        <v>0</v>
      </c>
      <c r="L19" s="91">
        <f t="shared" si="11"/>
        <v>0</v>
      </c>
      <c r="M19" s="91">
        <f t="shared" si="11"/>
        <v>1</v>
      </c>
      <c r="N19" s="91">
        <f t="shared" si="11"/>
        <v>0</v>
      </c>
      <c r="O19" s="91">
        <f t="shared" si="11"/>
        <v>0</v>
      </c>
      <c r="P19" s="91">
        <f t="shared" si="11"/>
        <v>0</v>
      </c>
      <c r="Q19" s="76"/>
      <c r="R19" s="92">
        <f t="shared" ref="R19:W19" si="12">ROUND( R$16*R7,0)</f>
        <v>0</v>
      </c>
      <c r="S19" s="92">
        <f t="shared" si="12"/>
        <v>0</v>
      </c>
      <c r="T19" s="92">
        <f t="shared" si="12"/>
        <v>1</v>
      </c>
      <c r="U19" s="92">
        <f t="shared" si="12"/>
        <v>0</v>
      </c>
      <c r="V19" s="92">
        <f t="shared" si="12"/>
        <v>0</v>
      </c>
      <c r="W19" s="92">
        <f t="shared" si="12"/>
        <v>0</v>
      </c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</row>
    <row r="20" ht="12.75" customHeight="1">
      <c r="A20" s="79"/>
      <c r="B20" s="76"/>
      <c r="C20" s="76" t="s">
        <v>83</v>
      </c>
      <c r="D20" s="91">
        <f t="shared" ref="D20:I20" si="13">ROUND( D$16*D8,0)</f>
        <v>0</v>
      </c>
      <c r="E20" s="91">
        <f t="shared" si="13"/>
        <v>0</v>
      </c>
      <c r="F20" s="91">
        <f t="shared" si="13"/>
        <v>7</v>
      </c>
      <c r="G20" s="91">
        <f t="shared" si="13"/>
        <v>7</v>
      </c>
      <c r="H20" s="91">
        <f t="shared" si="13"/>
        <v>5</v>
      </c>
      <c r="I20" s="91">
        <f t="shared" si="13"/>
        <v>0</v>
      </c>
      <c r="J20" s="76"/>
      <c r="K20" s="91">
        <f t="shared" ref="K20:P20" si="14">ROUND( K$16*K8,0)</f>
        <v>0</v>
      </c>
      <c r="L20" s="91">
        <f t="shared" si="14"/>
        <v>0</v>
      </c>
      <c r="M20" s="91">
        <f t="shared" si="14"/>
        <v>8</v>
      </c>
      <c r="N20" s="91">
        <f t="shared" si="14"/>
        <v>10</v>
      </c>
      <c r="O20" s="91">
        <f t="shared" si="14"/>
        <v>5</v>
      </c>
      <c r="P20" s="91">
        <f t="shared" si="14"/>
        <v>0</v>
      </c>
      <c r="Q20" s="76"/>
      <c r="R20" s="92">
        <f t="shared" ref="R20:W20" si="15">ROUND( R$16*R8,0)</f>
        <v>0</v>
      </c>
      <c r="S20" s="92">
        <f t="shared" si="15"/>
        <v>0</v>
      </c>
      <c r="T20" s="92">
        <f t="shared" si="15"/>
        <v>9</v>
      </c>
      <c r="U20" s="92">
        <f t="shared" si="15"/>
        <v>10</v>
      </c>
      <c r="V20" s="92">
        <f t="shared" si="15"/>
        <v>5</v>
      </c>
      <c r="W20" s="92">
        <f t="shared" si="15"/>
        <v>0</v>
      </c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</row>
    <row r="21" ht="12.75" customHeight="1">
      <c r="A21" s="79"/>
      <c r="B21" s="76"/>
      <c r="C21" s="76" t="s">
        <v>87</v>
      </c>
      <c r="D21" s="91">
        <f t="shared" ref="D21:I21" si="16">ROUND( D$16*D9,0)</f>
        <v>0</v>
      </c>
      <c r="E21" s="91">
        <f t="shared" si="16"/>
        <v>0</v>
      </c>
      <c r="F21" s="91">
        <f t="shared" si="16"/>
        <v>2</v>
      </c>
      <c r="G21" s="91">
        <f t="shared" si="16"/>
        <v>2</v>
      </c>
      <c r="H21" s="91">
        <f t="shared" si="16"/>
        <v>2</v>
      </c>
      <c r="I21" s="91">
        <f t="shared" si="16"/>
        <v>0</v>
      </c>
      <c r="J21" s="76"/>
      <c r="K21" s="91">
        <f t="shared" ref="K21:P21" si="17">ROUND( K$16*K9,0)</f>
        <v>0</v>
      </c>
      <c r="L21" s="91">
        <f t="shared" si="17"/>
        <v>0</v>
      </c>
      <c r="M21" s="91">
        <f t="shared" si="17"/>
        <v>2</v>
      </c>
      <c r="N21" s="91">
        <f t="shared" si="17"/>
        <v>2</v>
      </c>
      <c r="O21" s="91">
        <f t="shared" si="17"/>
        <v>2</v>
      </c>
      <c r="P21" s="91">
        <f t="shared" si="17"/>
        <v>0</v>
      </c>
      <c r="Q21" s="76"/>
      <c r="R21" s="92">
        <f t="shared" ref="R21:W21" si="18">ROUND( R$16*R9,0)</f>
        <v>0</v>
      </c>
      <c r="S21" s="92">
        <f t="shared" si="18"/>
        <v>0</v>
      </c>
      <c r="T21" s="92">
        <f t="shared" si="18"/>
        <v>3</v>
      </c>
      <c r="U21" s="92">
        <f t="shared" si="18"/>
        <v>2</v>
      </c>
      <c r="V21" s="92">
        <f t="shared" si="18"/>
        <v>2</v>
      </c>
      <c r="W21" s="92">
        <f t="shared" si="18"/>
        <v>0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</row>
    <row r="22" ht="12.75" customHeight="1">
      <c r="A22" s="79"/>
      <c r="B22" s="76"/>
      <c r="C22" s="76"/>
      <c r="D22" s="91">
        <f t="shared" ref="D22:I22" si="19">ROUND( D$16*D10,0)</f>
        <v>0</v>
      </c>
      <c r="E22" s="91">
        <f t="shared" si="19"/>
        <v>0</v>
      </c>
      <c r="F22" s="91">
        <f t="shared" si="19"/>
        <v>0</v>
      </c>
      <c r="G22" s="91">
        <f t="shared" si="19"/>
        <v>0</v>
      </c>
      <c r="H22" s="91">
        <f t="shared" si="19"/>
        <v>0</v>
      </c>
      <c r="I22" s="91">
        <f t="shared" si="19"/>
        <v>0</v>
      </c>
      <c r="J22" s="76"/>
      <c r="K22" s="91">
        <f t="shared" ref="K22:P22" si="20">ROUND( K$16*K10,0)</f>
        <v>0</v>
      </c>
      <c r="L22" s="91">
        <f t="shared" si="20"/>
        <v>0</v>
      </c>
      <c r="M22" s="91">
        <f t="shared" si="20"/>
        <v>0</v>
      </c>
      <c r="N22" s="91">
        <f t="shared" si="20"/>
        <v>0</v>
      </c>
      <c r="O22" s="91">
        <f t="shared" si="20"/>
        <v>0</v>
      </c>
      <c r="P22" s="91">
        <f t="shared" si="20"/>
        <v>0</v>
      </c>
      <c r="Q22" s="76"/>
      <c r="R22" s="92">
        <f t="shared" ref="R22:W22" si="21">ROUND( R$16*R10,0)</f>
        <v>0</v>
      </c>
      <c r="S22" s="92">
        <f t="shared" si="21"/>
        <v>0</v>
      </c>
      <c r="T22" s="92">
        <f t="shared" si="21"/>
        <v>0</v>
      </c>
      <c r="U22" s="92">
        <f t="shared" si="21"/>
        <v>0</v>
      </c>
      <c r="V22" s="92">
        <f t="shared" si="21"/>
        <v>0</v>
      </c>
      <c r="W22" s="92">
        <f t="shared" si="21"/>
        <v>0</v>
      </c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</row>
    <row r="23" ht="12.75" customHeight="1">
      <c r="A23" s="79"/>
      <c r="B23" s="76"/>
      <c r="C23" s="76"/>
      <c r="D23" s="93">
        <f t="shared" ref="D23:I23" si="22">SUM(D17:D22)</f>
        <v>0</v>
      </c>
      <c r="E23" s="93">
        <f t="shared" si="22"/>
        <v>0</v>
      </c>
      <c r="F23" s="93">
        <f t="shared" si="22"/>
        <v>11</v>
      </c>
      <c r="G23" s="93">
        <f t="shared" si="22"/>
        <v>9</v>
      </c>
      <c r="H23" s="93">
        <f t="shared" si="22"/>
        <v>10</v>
      </c>
      <c r="I23" s="93">
        <f t="shared" si="22"/>
        <v>5</v>
      </c>
      <c r="J23" s="93"/>
      <c r="K23" s="93">
        <f t="shared" ref="K23:P23" si="23">SUM(K17:K22)</f>
        <v>0</v>
      </c>
      <c r="L23" s="93">
        <f t="shared" si="23"/>
        <v>0</v>
      </c>
      <c r="M23" s="93">
        <f t="shared" si="23"/>
        <v>12</v>
      </c>
      <c r="N23" s="93">
        <f t="shared" si="23"/>
        <v>12</v>
      </c>
      <c r="O23" s="93">
        <f t="shared" si="23"/>
        <v>10</v>
      </c>
      <c r="P23" s="93">
        <f t="shared" si="23"/>
        <v>5</v>
      </c>
      <c r="Q23" s="76"/>
      <c r="R23" s="94">
        <f t="shared" ref="R23:W23" si="24">SUM(R17:R22)</f>
        <v>0</v>
      </c>
      <c r="S23" s="94">
        <f t="shared" si="24"/>
        <v>0</v>
      </c>
      <c r="T23" s="94">
        <f t="shared" si="24"/>
        <v>14</v>
      </c>
      <c r="U23" s="94">
        <f t="shared" si="24"/>
        <v>12</v>
      </c>
      <c r="V23" s="94">
        <f t="shared" si="24"/>
        <v>10</v>
      </c>
      <c r="W23" s="94">
        <f t="shared" si="24"/>
        <v>5</v>
      </c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</row>
    <row r="24" ht="12.75" customHeight="1">
      <c r="A24" s="79"/>
      <c r="B24" s="76"/>
      <c r="C24" s="8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</row>
    <row r="25" ht="12.75" customHeight="1">
      <c r="A25" s="79"/>
      <c r="B25" s="76"/>
      <c r="C25" s="80"/>
      <c r="D25" s="96">
        <v>2025.0</v>
      </c>
      <c r="AB25" s="97"/>
      <c r="AC25" s="96">
        <v>2026.0</v>
      </c>
      <c r="BA25" s="76"/>
      <c r="BB25" s="81">
        <v>2027.0</v>
      </c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</row>
    <row r="26" ht="12.75" customHeight="1">
      <c r="A26" s="79"/>
      <c r="B26" s="76"/>
      <c r="C26" s="80" t="s">
        <v>150</v>
      </c>
      <c r="D26" s="95" t="s">
        <v>151</v>
      </c>
      <c r="E26" s="95" t="s">
        <v>152</v>
      </c>
      <c r="F26" s="95" t="s">
        <v>153</v>
      </c>
      <c r="G26" s="95" t="s">
        <v>154</v>
      </c>
      <c r="H26" s="95" t="s">
        <v>155</v>
      </c>
      <c r="I26" s="95" t="s">
        <v>156</v>
      </c>
      <c r="J26" s="95" t="s">
        <v>151</v>
      </c>
      <c r="K26" s="95" t="s">
        <v>152</v>
      </c>
      <c r="L26" s="95" t="s">
        <v>153</v>
      </c>
      <c r="M26" s="95" t="s">
        <v>154</v>
      </c>
      <c r="N26" s="95" t="s">
        <v>155</v>
      </c>
      <c r="O26" s="95" t="s">
        <v>156</v>
      </c>
      <c r="P26" s="95" t="s">
        <v>151</v>
      </c>
      <c r="Q26" s="95" t="s">
        <v>152</v>
      </c>
      <c r="R26" s="95" t="s">
        <v>153</v>
      </c>
      <c r="S26" s="95" t="s">
        <v>154</v>
      </c>
      <c r="T26" s="95" t="s">
        <v>155</v>
      </c>
      <c r="U26" s="95" t="s">
        <v>156</v>
      </c>
      <c r="V26" s="95" t="s">
        <v>151</v>
      </c>
      <c r="W26" s="95" t="s">
        <v>152</v>
      </c>
      <c r="X26" s="95" t="s">
        <v>153</v>
      </c>
      <c r="Y26" s="95" t="s">
        <v>154</v>
      </c>
      <c r="Z26" s="95" t="s">
        <v>155</v>
      </c>
      <c r="AA26" s="95" t="s">
        <v>156</v>
      </c>
      <c r="AB26" s="76"/>
      <c r="AC26" s="95" t="s">
        <v>151</v>
      </c>
      <c r="AD26" s="95" t="s">
        <v>152</v>
      </c>
      <c r="AE26" s="95" t="s">
        <v>153</v>
      </c>
      <c r="AF26" s="95" t="s">
        <v>154</v>
      </c>
      <c r="AG26" s="95" t="s">
        <v>155</v>
      </c>
      <c r="AH26" s="95" t="s">
        <v>156</v>
      </c>
      <c r="AI26" s="95" t="s">
        <v>151</v>
      </c>
      <c r="AJ26" s="95" t="s">
        <v>152</v>
      </c>
      <c r="AK26" s="95" t="s">
        <v>153</v>
      </c>
      <c r="AL26" s="95" t="s">
        <v>154</v>
      </c>
      <c r="AM26" s="95" t="s">
        <v>155</v>
      </c>
      <c r="AN26" s="95" t="s">
        <v>156</v>
      </c>
      <c r="AO26" s="95" t="s">
        <v>151</v>
      </c>
      <c r="AP26" s="95" t="s">
        <v>152</v>
      </c>
      <c r="AQ26" s="95" t="s">
        <v>153</v>
      </c>
      <c r="AR26" s="95" t="s">
        <v>154</v>
      </c>
      <c r="AS26" s="95" t="s">
        <v>155</v>
      </c>
      <c r="AT26" s="95" t="s">
        <v>156</v>
      </c>
      <c r="AU26" s="95" t="s">
        <v>151</v>
      </c>
      <c r="AV26" s="95" t="s">
        <v>152</v>
      </c>
      <c r="AW26" s="95" t="s">
        <v>153</v>
      </c>
      <c r="AX26" s="95" t="s">
        <v>154</v>
      </c>
      <c r="AY26" s="95" t="s">
        <v>155</v>
      </c>
      <c r="AZ26" s="95" t="s">
        <v>156</v>
      </c>
      <c r="BA26" s="95"/>
      <c r="BB26" s="95" t="s">
        <v>151</v>
      </c>
      <c r="BC26" s="95" t="s">
        <v>152</v>
      </c>
      <c r="BD26" s="95" t="s">
        <v>153</v>
      </c>
      <c r="BE26" s="95" t="s">
        <v>154</v>
      </c>
      <c r="BF26" s="95" t="s">
        <v>155</v>
      </c>
      <c r="BG26" s="95" t="s">
        <v>156</v>
      </c>
      <c r="BH26" s="95" t="s">
        <v>151</v>
      </c>
      <c r="BI26" s="95" t="s">
        <v>152</v>
      </c>
      <c r="BJ26" s="95" t="s">
        <v>153</v>
      </c>
      <c r="BK26" s="95" t="s">
        <v>154</v>
      </c>
      <c r="BL26" s="95" t="s">
        <v>155</v>
      </c>
      <c r="BM26" s="95" t="s">
        <v>156</v>
      </c>
      <c r="BN26" s="95" t="s">
        <v>151</v>
      </c>
      <c r="BO26" s="95" t="s">
        <v>152</v>
      </c>
      <c r="BP26" s="95" t="s">
        <v>153</v>
      </c>
      <c r="BQ26" s="95" t="s">
        <v>154</v>
      </c>
      <c r="BR26" s="95" t="s">
        <v>155</v>
      </c>
      <c r="BS26" s="95" t="s">
        <v>156</v>
      </c>
      <c r="BT26" s="95" t="s">
        <v>151</v>
      </c>
      <c r="BU26" s="95" t="s">
        <v>152</v>
      </c>
      <c r="BV26" s="95" t="s">
        <v>153</v>
      </c>
      <c r="BW26" s="95" t="s">
        <v>154</v>
      </c>
      <c r="BX26" s="95" t="s">
        <v>155</v>
      </c>
      <c r="BY26" s="95" t="s">
        <v>156</v>
      </c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</row>
    <row r="27" ht="12.75" customHeight="1">
      <c r="A27" s="79"/>
      <c r="B27" s="76"/>
      <c r="C27" s="76"/>
      <c r="D27" s="76">
        <v>1.0</v>
      </c>
      <c r="E27" s="76">
        <v>2.0</v>
      </c>
      <c r="F27" s="76">
        <v>3.0</v>
      </c>
      <c r="G27" s="76">
        <v>4.0</v>
      </c>
      <c r="H27" s="76">
        <v>5.0</v>
      </c>
      <c r="I27" s="76">
        <v>6.0</v>
      </c>
      <c r="J27" s="76">
        <v>7.0</v>
      </c>
      <c r="K27" s="76">
        <v>8.0</v>
      </c>
      <c r="L27" s="76">
        <v>9.0</v>
      </c>
      <c r="M27" s="76">
        <v>10.0</v>
      </c>
      <c r="N27" s="76">
        <v>11.0</v>
      </c>
      <c r="O27" s="76">
        <v>12.0</v>
      </c>
      <c r="P27" s="76">
        <v>13.0</v>
      </c>
      <c r="Q27" s="76">
        <v>14.0</v>
      </c>
      <c r="R27" s="76">
        <v>15.0</v>
      </c>
      <c r="S27" s="76">
        <v>16.0</v>
      </c>
      <c r="T27" s="76">
        <v>17.0</v>
      </c>
      <c r="U27" s="76">
        <v>18.0</v>
      </c>
      <c r="V27" s="76">
        <v>19.0</v>
      </c>
      <c r="W27" s="76">
        <v>20.0</v>
      </c>
      <c r="X27" s="76">
        <v>21.0</v>
      </c>
      <c r="Y27" s="76">
        <v>22.0</v>
      </c>
      <c r="Z27" s="76">
        <v>23.0</v>
      </c>
      <c r="AA27" s="76">
        <v>24.0</v>
      </c>
      <c r="AB27" s="76"/>
      <c r="AC27" s="76">
        <v>1.0</v>
      </c>
      <c r="AD27" s="76">
        <v>2.0</v>
      </c>
      <c r="AE27" s="76">
        <v>3.0</v>
      </c>
      <c r="AF27" s="76">
        <v>4.0</v>
      </c>
      <c r="AG27" s="76">
        <v>5.0</v>
      </c>
      <c r="AH27" s="76">
        <v>6.0</v>
      </c>
      <c r="AI27" s="76">
        <v>7.0</v>
      </c>
      <c r="AJ27" s="76">
        <v>8.0</v>
      </c>
      <c r="AK27" s="76">
        <v>9.0</v>
      </c>
      <c r="AL27" s="76">
        <v>10.0</v>
      </c>
      <c r="AM27" s="76">
        <v>11.0</v>
      </c>
      <c r="AN27" s="76">
        <v>12.0</v>
      </c>
      <c r="AO27" s="76">
        <v>13.0</v>
      </c>
      <c r="AP27" s="76">
        <v>14.0</v>
      </c>
      <c r="AQ27" s="76">
        <v>15.0</v>
      </c>
      <c r="AR27" s="76">
        <v>16.0</v>
      </c>
      <c r="AS27" s="76">
        <v>17.0</v>
      </c>
      <c r="AT27" s="76">
        <v>18.0</v>
      </c>
      <c r="AU27" s="76">
        <v>19.0</v>
      </c>
      <c r="AV27" s="76">
        <v>20.0</v>
      </c>
      <c r="AW27" s="76">
        <v>21.0</v>
      </c>
      <c r="AX27" s="76">
        <v>22.0</v>
      </c>
      <c r="AY27" s="76">
        <v>23.0</v>
      </c>
      <c r="AZ27" s="76">
        <v>24.0</v>
      </c>
      <c r="BA27" s="76"/>
      <c r="BB27" s="76">
        <v>1.0</v>
      </c>
      <c r="BC27" s="76">
        <v>2.0</v>
      </c>
      <c r="BD27" s="76">
        <v>3.0</v>
      </c>
      <c r="BE27" s="76">
        <v>4.0</v>
      </c>
      <c r="BF27" s="76">
        <v>5.0</v>
      </c>
      <c r="BG27" s="76">
        <v>6.0</v>
      </c>
      <c r="BH27" s="76">
        <v>7.0</v>
      </c>
      <c r="BI27" s="76">
        <v>8.0</v>
      </c>
      <c r="BJ27" s="76">
        <v>9.0</v>
      </c>
      <c r="BK27" s="76">
        <v>10.0</v>
      </c>
      <c r="BL27" s="76">
        <v>11.0</v>
      </c>
      <c r="BM27" s="76">
        <v>12.0</v>
      </c>
      <c r="BN27" s="76">
        <v>13.0</v>
      </c>
      <c r="BO27" s="76">
        <v>14.0</v>
      </c>
      <c r="BP27" s="76">
        <v>15.0</v>
      </c>
      <c r="BQ27" s="76">
        <v>16.0</v>
      </c>
      <c r="BR27" s="76">
        <v>17.0</v>
      </c>
      <c r="BS27" s="76">
        <v>18.0</v>
      </c>
      <c r="BT27" s="76">
        <v>19.0</v>
      </c>
      <c r="BU27" s="76">
        <v>20.0</v>
      </c>
      <c r="BV27" s="76">
        <v>21.0</v>
      </c>
      <c r="BW27" s="76">
        <v>22.0</v>
      </c>
      <c r="BX27" s="76">
        <v>23.0</v>
      </c>
      <c r="BY27" s="76">
        <v>24.0</v>
      </c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</row>
    <row r="28" ht="12.75" customHeight="1">
      <c r="A28" s="79"/>
      <c r="B28" s="76"/>
      <c r="C28" s="82" t="s">
        <v>157</v>
      </c>
      <c r="D28" s="98">
        <v>0.5</v>
      </c>
      <c r="E28" s="98">
        <v>0.5</v>
      </c>
      <c r="F28" s="98">
        <v>0.7</v>
      </c>
      <c r="G28" s="98">
        <v>0.7</v>
      </c>
      <c r="H28" s="98">
        <v>0.7</v>
      </c>
      <c r="I28" s="98">
        <v>0.7</v>
      </c>
      <c r="J28" s="98">
        <v>0.5</v>
      </c>
      <c r="K28" s="98">
        <v>0.5</v>
      </c>
      <c r="L28" s="98">
        <v>0.7</v>
      </c>
      <c r="M28" s="98">
        <v>0.7</v>
      </c>
      <c r="N28" s="98">
        <v>0.7</v>
      </c>
      <c r="O28" s="98">
        <v>0.7</v>
      </c>
      <c r="P28" s="98">
        <v>0.5</v>
      </c>
      <c r="Q28" s="98">
        <v>0.5</v>
      </c>
      <c r="R28" s="98">
        <v>0.7</v>
      </c>
      <c r="S28" s="98">
        <v>0.7</v>
      </c>
      <c r="T28" s="98">
        <v>0.7</v>
      </c>
      <c r="U28" s="98">
        <v>0.7</v>
      </c>
      <c r="V28" s="98">
        <v>0.5</v>
      </c>
      <c r="W28" s="98">
        <v>0.5</v>
      </c>
      <c r="X28" s="98">
        <v>0.7</v>
      </c>
      <c r="Y28" s="98">
        <v>0.7</v>
      </c>
      <c r="Z28" s="98">
        <v>0.7</v>
      </c>
      <c r="AA28" s="98">
        <v>0.7</v>
      </c>
      <c r="AB28" s="76"/>
      <c r="AC28" s="98">
        <v>0.4</v>
      </c>
      <c r="AD28" s="98">
        <v>0.4</v>
      </c>
      <c r="AE28" s="98">
        <v>0.4</v>
      </c>
      <c r="AF28" s="98">
        <v>0.5</v>
      </c>
      <c r="AG28" s="98">
        <v>0.5</v>
      </c>
      <c r="AH28" s="98">
        <v>0.5</v>
      </c>
      <c r="AI28" s="98">
        <v>0.4</v>
      </c>
      <c r="AJ28" s="98">
        <v>0.4</v>
      </c>
      <c r="AK28" s="98">
        <v>0.4</v>
      </c>
      <c r="AL28" s="98">
        <v>0.5</v>
      </c>
      <c r="AM28" s="98">
        <v>0.5</v>
      </c>
      <c r="AN28" s="98">
        <v>0.5</v>
      </c>
      <c r="AO28" s="98">
        <v>0.4</v>
      </c>
      <c r="AP28" s="98">
        <v>0.4</v>
      </c>
      <c r="AQ28" s="98">
        <v>0.4</v>
      </c>
      <c r="AR28" s="98">
        <v>0.5</v>
      </c>
      <c r="AS28" s="98">
        <v>0.5</v>
      </c>
      <c r="AT28" s="98">
        <v>0.5</v>
      </c>
      <c r="AU28" s="98">
        <v>0.4</v>
      </c>
      <c r="AV28" s="98">
        <v>0.4</v>
      </c>
      <c r="AW28" s="98">
        <v>0.4</v>
      </c>
      <c r="AX28" s="98">
        <v>0.5</v>
      </c>
      <c r="AY28" s="98">
        <v>0.5</v>
      </c>
      <c r="AZ28" s="98">
        <v>0.5</v>
      </c>
      <c r="BA28" s="98"/>
      <c r="BB28" s="98">
        <v>0.4</v>
      </c>
      <c r="BC28" s="98">
        <v>0.4</v>
      </c>
      <c r="BD28" s="98">
        <v>0.5</v>
      </c>
      <c r="BE28" s="98">
        <v>0.5</v>
      </c>
      <c r="BF28" s="98">
        <v>0.5</v>
      </c>
      <c r="BG28" s="98">
        <v>0.5</v>
      </c>
      <c r="BH28" s="98">
        <v>0.4</v>
      </c>
      <c r="BI28" s="98">
        <v>0.4</v>
      </c>
      <c r="BJ28" s="98">
        <v>0.4</v>
      </c>
      <c r="BK28" s="98">
        <v>0.5</v>
      </c>
      <c r="BL28" s="98">
        <v>0.5</v>
      </c>
      <c r="BM28" s="98">
        <v>0.5</v>
      </c>
      <c r="BN28" s="98">
        <v>0.4</v>
      </c>
      <c r="BO28" s="98">
        <v>0.4</v>
      </c>
      <c r="BP28" s="98">
        <v>0.4</v>
      </c>
      <c r="BQ28" s="98">
        <v>0.5</v>
      </c>
      <c r="BR28" s="98">
        <v>0.5</v>
      </c>
      <c r="BS28" s="98">
        <v>0.5</v>
      </c>
      <c r="BT28" s="98">
        <v>0.4</v>
      </c>
      <c r="BU28" s="98">
        <v>0.4</v>
      </c>
      <c r="BV28" s="98">
        <v>0.4</v>
      </c>
      <c r="BW28" s="98">
        <v>0.5</v>
      </c>
      <c r="BX28" s="98">
        <v>0.5</v>
      </c>
      <c r="BY28" s="98">
        <v>0.5</v>
      </c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</row>
    <row r="29" ht="12.75" customHeight="1">
      <c r="A29" s="79"/>
      <c r="B29" s="76"/>
      <c r="C29" s="76" t="s">
        <v>148</v>
      </c>
      <c r="D29" s="76">
        <f t="shared" ref="D29:AA29" si="25">ROUND(SUM($D17:$I17)*D$28,0)</f>
        <v>0</v>
      </c>
      <c r="E29" s="76">
        <f t="shared" si="25"/>
        <v>0</v>
      </c>
      <c r="F29" s="76">
        <f t="shared" si="25"/>
        <v>0</v>
      </c>
      <c r="G29" s="76">
        <f t="shared" si="25"/>
        <v>0</v>
      </c>
      <c r="H29" s="76">
        <f t="shared" si="25"/>
        <v>0</v>
      </c>
      <c r="I29" s="76">
        <f t="shared" si="25"/>
        <v>0</v>
      </c>
      <c r="J29" s="76">
        <f t="shared" si="25"/>
        <v>0</v>
      </c>
      <c r="K29" s="76">
        <f t="shared" si="25"/>
        <v>0</v>
      </c>
      <c r="L29" s="76">
        <f t="shared" si="25"/>
        <v>0</v>
      </c>
      <c r="M29" s="76">
        <f t="shared" si="25"/>
        <v>0</v>
      </c>
      <c r="N29" s="76">
        <f t="shared" si="25"/>
        <v>0</v>
      </c>
      <c r="O29" s="76">
        <f t="shared" si="25"/>
        <v>0</v>
      </c>
      <c r="P29" s="76">
        <f t="shared" si="25"/>
        <v>0</v>
      </c>
      <c r="Q29" s="76">
        <f t="shared" si="25"/>
        <v>0</v>
      </c>
      <c r="R29" s="76">
        <f t="shared" si="25"/>
        <v>0</v>
      </c>
      <c r="S29" s="76">
        <f t="shared" si="25"/>
        <v>0</v>
      </c>
      <c r="T29" s="76">
        <f t="shared" si="25"/>
        <v>0</v>
      </c>
      <c r="U29" s="76">
        <f t="shared" si="25"/>
        <v>0</v>
      </c>
      <c r="V29" s="76">
        <f t="shared" si="25"/>
        <v>0</v>
      </c>
      <c r="W29" s="76">
        <f t="shared" si="25"/>
        <v>0</v>
      </c>
      <c r="X29" s="76">
        <f t="shared" si="25"/>
        <v>0</v>
      </c>
      <c r="Y29" s="76">
        <f t="shared" si="25"/>
        <v>0</v>
      </c>
      <c r="Z29" s="76">
        <f t="shared" si="25"/>
        <v>0</v>
      </c>
      <c r="AA29" s="76">
        <f t="shared" si="25"/>
        <v>0</v>
      </c>
      <c r="AB29" s="76"/>
      <c r="AC29" s="76">
        <f t="shared" ref="AC29:AZ29" si="26">ROUND(SUM($K17:$P17)*AC$28,0)</f>
        <v>0</v>
      </c>
      <c r="AD29" s="76">
        <f t="shared" si="26"/>
        <v>0</v>
      </c>
      <c r="AE29" s="76">
        <f t="shared" si="26"/>
        <v>0</v>
      </c>
      <c r="AF29" s="76">
        <f t="shared" si="26"/>
        <v>0</v>
      </c>
      <c r="AG29" s="76">
        <f t="shared" si="26"/>
        <v>0</v>
      </c>
      <c r="AH29" s="76">
        <f t="shared" si="26"/>
        <v>0</v>
      </c>
      <c r="AI29" s="76">
        <f t="shared" si="26"/>
        <v>0</v>
      </c>
      <c r="AJ29" s="76">
        <f t="shared" si="26"/>
        <v>0</v>
      </c>
      <c r="AK29" s="76">
        <f t="shared" si="26"/>
        <v>0</v>
      </c>
      <c r="AL29" s="76">
        <f t="shared" si="26"/>
        <v>0</v>
      </c>
      <c r="AM29" s="76">
        <f t="shared" si="26"/>
        <v>0</v>
      </c>
      <c r="AN29" s="76">
        <f t="shared" si="26"/>
        <v>0</v>
      </c>
      <c r="AO29" s="76">
        <f t="shared" si="26"/>
        <v>0</v>
      </c>
      <c r="AP29" s="76">
        <f t="shared" si="26"/>
        <v>0</v>
      </c>
      <c r="AQ29" s="76">
        <f t="shared" si="26"/>
        <v>0</v>
      </c>
      <c r="AR29" s="76">
        <f t="shared" si="26"/>
        <v>0</v>
      </c>
      <c r="AS29" s="76">
        <f t="shared" si="26"/>
        <v>0</v>
      </c>
      <c r="AT29" s="76">
        <f t="shared" si="26"/>
        <v>0</v>
      </c>
      <c r="AU29" s="76">
        <f t="shared" si="26"/>
        <v>0</v>
      </c>
      <c r="AV29" s="76">
        <f t="shared" si="26"/>
        <v>0</v>
      </c>
      <c r="AW29" s="76">
        <f t="shared" si="26"/>
        <v>0</v>
      </c>
      <c r="AX29" s="76">
        <f t="shared" si="26"/>
        <v>0</v>
      </c>
      <c r="AY29" s="76">
        <f t="shared" si="26"/>
        <v>0</v>
      </c>
      <c r="AZ29" s="76">
        <f t="shared" si="26"/>
        <v>0</v>
      </c>
      <c r="BA29" s="76"/>
      <c r="BB29" s="76">
        <f t="shared" ref="BB29:BY29" si="27">ROUND(SUM($R17:$W17)*BB$28,0)</f>
        <v>0</v>
      </c>
      <c r="BC29" s="76">
        <f t="shared" si="27"/>
        <v>0</v>
      </c>
      <c r="BD29" s="76">
        <f t="shared" si="27"/>
        <v>0</v>
      </c>
      <c r="BE29" s="76">
        <f t="shared" si="27"/>
        <v>0</v>
      </c>
      <c r="BF29" s="76">
        <f t="shared" si="27"/>
        <v>0</v>
      </c>
      <c r="BG29" s="76">
        <f t="shared" si="27"/>
        <v>0</v>
      </c>
      <c r="BH29" s="76">
        <f t="shared" si="27"/>
        <v>0</v>
      </c>
      <c r="BI29" s="76">
        <f t="shared" si="27"/>
        <v>0</v>
      </c>
      <c r="BJ29" s="76">
        <f t="shared" si="27"/>
        <v>0</v>
      </c>
      <c r="BK29" s="76">
        <f t="shared" si="27"/>
        <v>0</v>
      </c>
      <c r="BL29" s="76">
        <f t="shared" si="27"/>
        <v>0</v>
      </c>
      <c r="BM29" s="76">
        <f t="shared" si="27"/>
        <v>0</v>
      </c>
      <c r="BN29" s="76">
        <f t="shared" si="27"/>
        <v>0</v>
      </c>
      <c r="BO29" s="76">
        <f t="shared" si="27"/>
        <v>0</v>
      </c>
      <c r="BP29" s="76">
        <f t="shared" si="27"/>
        <v>0</v>
      </c>
      <c r="BQ29" s="76">
        <f t="shared" si="27"/>
        <v>0</v>
      </c>
      <c r="BR29" s="76">
        <f t="shared" si="27"/>
        <v>0</v>
      </c>
      <c r="BS29" s="76">
        <f t="shared" si="27"/>
        <v>0</v>
      </c>
      <c r="BT29" s="76">
        <f t="shared" si="27"/>
        <v>0</v>
      </c>
      <c r="BU29" s="76">
        <f t="shared" si="27"/>
        <v>0</v>
      </c>
      <c r="BV29" s="76">
        <f t="shared" si="27"/>
        <v>0</v>
      </c>
      <c r="BW29" s="76">
        <f t="shared" si="27"/>
        <v>0</v>
      </c>
      <c r="BX29" s="76">
        <f t="shared" si="27"/>
        <v>0</v>
      </c>
      <c r="BY29" s="76">
        <f t="shared" si="27"/>
        <v>0</v>
      </c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</row>
    <row r="30" ht="12.75" customHeight="1">
      <c r="A30" s="79"/>
      <c r="B30" s="76"/>
      <c r="C30" s="76" t="s">
        <v>76</v>
      </c>
      <c r="D30" s="76">
        <f t="shared" ref="D30:AA30" si="28">ROUND(SUM($D18:$I18)*D$28,0)</f>
        <v>5</v>
      </c>
      <c r="E30" s="76">
        <f t="shared" si="28"/>
        <v>5</v>
      </c>
      <c r="F30" s="76">
        <f t="shared" si="28"/>
        <v>6</v>
      </c>
      <c r="G30" s="76">
        <f t="shared" si="28"/>
        <v>6</v>
      </c>
      <c r="H30" s="76">
        <f t="shared" si="28"/>
        <v>6</v>
      </c>
      <c r="I30" s="76">
        <f t="shared" si="28"/>
        <v>6</v>
      </c>
      <c r="J30" s="76">
        <f t="shared" si="28"/>
        <v>5</v>
      </c>
      <c r="K30" s="76">
        <f t="shared" si="28"/>
        <v>5</v>
      </c>
      <c r="L30" s="76">
        <f t="shared" si="28"/>
        <v>6</v>
      </c>
      <c r="M30" s="76">
        <f t="shared" si="28"/>
        <v>6</v>
      </c>
      <c r="N30" s="76">
        <f t="shared" si="28"/>
        <v>6</v>
      </c>
      <c r="O30" s="76">
        <f t="shared" si="28"/>
        <v>6</v>
      </c>
      <c r="P30" s="76">
        <f t="shared" si="28"/>
        <v>5</v>
      </c>
      <c r="Q30" s="76">
        <f t="shared" si="28"/>
        <v>5</v>
      </c>
      <c r="R30" s="76">
        <f t="shared" si="28"/>
        <v>6</v>
      </c>
      <c r="S30" s="76">
        <f t="shared" si="28"/>
        <v>6</v>
      </c>
      <c r="T30" s="76">
        <f t="shared" si="28"/>
        <v>6</v>
      </c>
      <c r="U30" s="76">
        <f t="shared" si="28"/>
        <v>6</v>
      </c>
      <c r="V30" s="76">
        <f t="shared" si="28"/>
        <v>5</v>
      </c>
      <c r="W30" s="76">
        <f t="shared" si="28"/>
        <v>5</v>
      </c>
      <c r="X30" s="76">
        <f t="shared" si="28"/>
        <v>6</v>
      </c>
      <c r="Y30" s="76">
        <f t="shared" si="28"/>
        <v>6</v>
      </c>
      <c r="Z30" s="76">
        <f t="shared" si="28"/>
        <v>6</v>
      </c>
      <c r="AA30" s="76">
        <f t="shared" si="28"/>
        <v>6</v>
      </c>
      <c r="AB30" s="76"/>
      <c r="AC30" s="76">
        <f t="shared" ref="AC30:AZ30" si="29">ROUND(SUM($K18:$P18)*AC$28,0)</f>
        <v>4</v>
      </c>
      <c r="AD30" s="76">
        <f t="shared" si="29"/>
        <v>4</v>
      </c>
      <c r="AE30" s="76">
        <f t="shared" si="29"/>
        <v>4</v>
      </c>
      <c r="AF30" s="76">
        <f t="shared" si="29"/>
        <v>5</v>
      </c>
      <c r="AG30" s="76">
        <f t="shared" si="29"/>
        <v>5</v>
      </c>
      <c r="AH30" s="76">
        <f t="shared" si="29"/>
        <v>5</v>
      </c>
      <c r="AI30" s="76">
        <f t="shared" si="29"/>
        <v>4</v>
      </c>
      <c r="AJ30" s="76">
        <f t="shared" si="29"/>
        <v>4</v>
      </c>
      <c r="AK30" s="76">
        <f t="shared" si="29"/>
        <v>4</v>
      </c>
      <c r="AL30" s="76">
        <f t="shared" si="29"/>
        <v>5</v>
      </c>
      <c r="AM30" s="76">
        <f t="shared" si="29"/>
        <v>5</v>
      </c>
      <c r="AN30" s="76">
        <f t="shared" si="29"/>
        <v>5</v>
      </c>
      <c r="AO30" s="76">
        <f t="shared" si="29"/>
        <v>4</v>
      </c>
      <c r="AP30" s="76">
        <f t="shared" si="29"/>
        <v>4</v>
      </c>
      <c r="AQ30" s="76">
        <f t="shared" si="29"/>
        <v>4</v>
      </c>
      <c r="AR30" s="76">
        <f t="shared" si="29"/>
        <v>5</v>
      </c>
      <c r="AS30" s="76">
        <f t="shared" si="29"/>
        <v>5</v>
      </c>
      <c r="AT30" s="76">
        <f t="shared" si="29"/>
        <v>5</v>
      </c>
      <c r="AU30" s="76">
        <f t="shared" si="29"/>
        <v>4</v>
      </c>
      <c r="AV30" s="76">
        <f t="shared" si="29"/>
        <v>4</v>
      </c>
      <c r="AW30" s="76">
        <f t="shared" si="29"/>
        <v>4</v>
      </c>
      <c r="AX30" s="76">
        <f t="shared" si="29"/>
        <v>5</v>
      </c>
      <c r="AY30" s="76">
        <f t="shared" si="29"/>
        <v>5</v>
      </c>
      <c r="AZ30" s="76">
        <f t="shared" si="29"/>
        <v>5</v>
      </c>
      <c r="BA30" s="76"/>
      <c r="BB30" s="76">
        <f t="shared" ref="BB30:BY30" si="30">ROUND(SUM($R18:$W18)*BB$28,0)</f>
        <v>4</v>
      </c>
      <c r="BC30" s="76">
        <f t="shared" si="30"/>
        <v>4</v>
      </c>
      <c r="BD30" s="76">
        <f t="shared" si="30"/>
        <v>5</v>
      </c>
      <c r="BE30" s="76">
        <f t="shared" si="30"/>
        <v>5</v>
      </c>
      <c r="BF30" s="76">
        <f t="shared" si="30"/>
        <v>5</v>
      </c>
      <c r="BG30" s="76">
        <f t="shared" si="30"/>
        <v>5</v>
      </c>
      <c r="BH30" s="76">
        <f t="shared" si="30"/>
        <v>4</v>
      </c>
      <c r="BI30" s="76">
        <f t="shared" si="30"/>
        <v>4</v>
      </c>
      <c r="BJ30" s="76">
        <f t="shared" si="30"/>
        <v>4</v>
      </c>
      <c r="BK30" s="76">
        <f t="shared" si="30"/>
        <v>5</v>
      </c>
      <c r="BL30" s="76">
        <f t="shared" si="30"/>
        <v>5</v>
      </c>
      <c r="BM30" s="76">
        <f t="shared" si="30"/>
        <v>5</v>
      </c>
      <c r="BN30" s="76">
        <f t="shared" si="30"/>
        <v>4</v>
      </c>
      <c r="BO30" s="76">
        <f t="shared" si="30"/>
        <v>4</v>
      </c>
      <c r="BP30" s="76">
        <f t="shared" si="30"/>
        <v>4</v>
      </c>
      <c r="BQ30" s="76">
        <f t="shared" si="30"/>
        <v>5</v>
      </c>
      <c r="BR30" s="76">
        <f t="shared" si="30"/>
        <v>5</v>
      </c>
      <c r="BS30" s="76">
        <f t="shared" si="30"/>
        <v>5</v>
      </c>
      <c r="BT30" s="76">
        <f t="shared" si="30"/>
        <v>4</v>
      </c>
      <c r="BU30" s="76">
        <f t="shared" si="30"/>
        <v>4</v>
      </c>
      <c r="BV30" s="76">
        <f t="shared" si="30"/>
        <v>4</v>
      </c>
      <c r="BW30" s="76">
        <f t="shared" si="30"/>
        <v>5</v>
      </c>
      <c r="BX30" s="76">
        <f t="shared" si="30"/>
        <v>5</v>
      </c>
      <c r="BY30" s="76">
        <f t="shared" si="30"/>
        <v>5</v>
      </c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</row>
    <row r="31" ht="12.75" customHeight="1">
      <c r="A31" s="79"/>
      <c r="B31" s="76"/>
      <c r="C31" s="76" t="s">
        <v>80</v>
      </c>
      <c r="D31" s="76">
        <f t="shared" ref="D31:AA31" si="31">ROUND(SUM($D19:$I19)*D$28,0)</f>
        <v>1</v>
      </c>
      <c r="E31" s="76">
        <f t="shared" si="31"/>
        <v>1</v>
      </c>
      <c r="F31" s="76">
        <f t="shared" si="31"/>
        <v>1</v>
      </c>
      <c r="G31" s="76">
        <f t="shared" si="31"/>
        <v>1</v>
      </c>
      <c r="H31" s="76">
        <f t="shared" si="31"/>
        <v>1</v>
      </c>
      <c r="I31" s="76">
        <f t="shared" si="31"/>
        <v>1</v>
      </c>
      <c r="J31" s="76">
        <f t="shared" si="31"/>
        <v>1</v>
      </c>
      <c r="K31" s="76">
        <f t="shared" si="31"/>
        <v>1</v>
      </c>
      <c r="L31" s="76">
        <f t="shared" si="31"/>
        <v>1</v>
      </c>
      <c r="M31" s="76">
        <f t="shared" si="31"/>
        <v>1</v>
      </c>
      <c r="N31" s="76">
        <f t="shared" si="31"/>
        <v>1</v>
      </c>
      <c r="O31" s="76">
        <f t="shared" si="31"/>
        <v>1</v>
      </c>
      <c r="P31" s="76">
        <f t="shared" si="31"/>
        <v>1</v>
      </c>
      <c r="Q31" s="76">
        <f t="shared" si="31"/>
        <v>1</v>
      </c>
      <c r="R31" s="76">
        <f t="shared" si="31"/>
        <v>1</v>
      </c>
      <c r="S31" s="76">
        <f t="shared" si="31"/>
        <v>1</v>
      </c>
      <c r="T31" s="76">
        <f t="shared" si="31"/>
        <v>1</v>
      </c>
      <c r="U31" s="76">
        <f t="shared" si="31"/>
        <v>1</v>
      </c>
      <c r="V31" s="76">
        <f t="shared" si="31"/>
        <v>1</v>
      </c>
      <c r="W31" s="76">
        <f t="shared" si="31"/>
        <v>1</v>
      </c>
      <c r="X31" s="76">
        <f t="shared" si="31"/>
        <v>1</v>
      </c>
      <c r="Y31" s="76">
        <f t="shared" si="31"/>
        <v>1</v>
      </c>
      <c r="Z31" s="76">
        <f t="shared" si="31"/>
        <v>1</v>
      </c>
      <c r="AA31" s="76">
        <f t="shared" si="31"/>
        <v>1</v>
      </c>
      <c r="AB31" s="76"/>
      <c r="AC31" s="76">
        <f t="shared" ref="AC31:AZ31" si="32">ROUND(SUM($K19:$P19)*AC$28,0)</f>
        <v>0</v>
      </c>
      <c r="AD31" s="76">
        <f t="shared" si="32"/>
        <v>0</v>
      </c>
      <c r="AE31" s="76">
        <f t="shared" si="32"/>
        <v>0</v>
      </c>
      <c r="AF31" s="76">
        <f t="shared" si="32"/>
        <v>1</v>
      </c>
      <c r="AG31" s="76">
        <f t="shared" si="32"/>
        <v>1</v>
      </c>
      <c r="AH31" s="76">
        <f t="shared" si="32"/>
        <v>1</v>
      </c>
      <c r="AI31" s="76">
        <f t="shared" si="32"/>
        <v>0</v>
      </c>
      <c r="AJ31" s="76">
        <f t="shared" si="32"/>
        <v>0</v>
      </c>
      <c r="AK31" s="76">
        <f t="shared" si="32"/>
        <v>0</v>
      </c>
      <c r="AL31" s="76">
        <f t="shared" si="32"/>
        <v>1</v>
      </c>
      <c r="AM31" s="76">
        <f t="shared" si="32"/>
        <v>1</v>
      </c>
      <c r="AN31" s="76">
        <f t="shared" si="32"/>
        <v>1</v>
      </c>
      <c r="AO31" s="76">
        <f t="shared" si="32"/>
        <v>0</v>
      </c>
      <c r="AP31" s="76">
        <f t="shared" si="32"/>
        <v>0</v>
      </c>
      <c r="AQ31" s="76">
        <f t="shared" si="32"/>
        <v>0</v>
      </c>
      <c r="AR31" s="76">
        <f t="shared" si="32"/>
        <v>1</v>
      </c>
      <c r="AS31" s="76">
        <f t="shared" si="32"/>
        <v>1</v>
      </c>
      <c r="AT31" s="76">
        <f t="shared" si="32"/>
        <v>1</v>
      </c>
      <c r="AU31" s="76">
        <f t="shared" si="32"/>
        <v>0</v>
      </c>
      <c r="AV31" s="76">
        <f t="shared" si="32"/>
        <v>0</v>
      </c>
      <c r="AW31" s="76">
        <f t="shared" si="32"/>
        <v>0</v>
      </c>
      <c r="AX31" s="76">
        <f t="shared" si="32"/>
        <v>1</v>
      </c>
      <c r="AY31" s="76">
        <f t="shared" si="32"/>
        <v>1</v>
      </c>
      <c r="AZ31" s="76">
        <f t="shared" si="32"/>
        <v>1</v>
      </c>
      <c r="BA31" s="76"/>
      <c r="BB31" s="76">
        <f t="shared" ref="BB31:BY31" si="33">ROUND(SUM($R19:$W19)*BB$28,0)</f>
        <v>0</v>
      </c>
      <c r="BC31" s="76">
        <f t="shared" si="33"/>
        <v>0</v>
      </c>
      <c r="BD31" s="76">
        <f t="shared" si="33"/>
        <v>1</v>
      </c>
      <c r="BE31" s="76">
        <f t="shared" si="33"/>
        <v>1</v>
      </c>
      <c r="BF31" s="76">
        <f t="shared" si="33"/>
        <v>1</v>
      </c>
      <c r="BG31" s="76">
        <f t="shared" si="33"/>
        <v>1</v>
      </c>
      <c r="BH31" s="76">
        <f t="shared" si="33"/>
        <v>0</v>
      </c>
      <c r="BI31" s="76">
        <f t="shared" si="33"/>
        <v>0</v>
      </c>
      <c r="BJ31" s="76">
        <f t="shared" si="33"/>
        <v>0</v>
      </c>
      <c r="BK31" s="76">
        <f t="shared" si="33"/>
        <v>1</v>
      </c>
      <c r="BL31" s="76">
        <f t="shared" si="33"/>
        <v>1</v>
      </c>
      <c r="BM31" s="76">
        <f t="shared" si="33"/>
        <v>1</v>
      </c>
      <c r="BN31" s="76">
        <f t="shared" si="33"/>
        <v>0</v>
      </c>
      <c r="BO31" s="76">
        <f t="shared" si="33"/>
        <v>0</v>
      </c>
      <c r="BP31" s="76">
        <f t="shared" si="33"/>
        <v>0</v>
      </c>
      <c r="BQ31" s="76">
        <f t="shared" si="33"/>
        <v>1</v>
      </c>
      <c r="BR31" s="76">
        <f t="shared" si="33"/>
        <v>1</v>
      </c>
      <c r="BS31" s="76">
        <f t="shared" si="33"/>
        <v>1</v>
      </c>
      <c r="BT31" s="76">
        <f t="shared" si="33"/>
        <v>0</v>
      </c>
      <c r="BU31" s="76">
        <f t="shared" si="33"/>
        <v>0</v>
      </c>
      <c r="BV31" s="76">
        <f t="shared" si="33"/>
        <v>0</v>
      </c>
      <c r="BW31" s="76">
        <f t="shared" si="33"/>
        <v>1</v>
      </c>
      <c r="BX31" s="76">
        <f t="shared" si="33"/>
        <v>1</v>
      </c>
      <c r="BY31" s="76">
        <f t="shared" si="33"/>
        <v>1</v>
      </c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</row>
    <row r="32" ht="12.75" customHeight="1">
      <c r="A32" s="79"/>
      <c r="B32" s="76"/>
      <c r="C32" s="76" t="s">
        <v>83</v>
      </c>
      <c r="D32" s="76">
        <f t="shared" ref="D32:AA32" si="34">ROUND(SUM($D20:$I20)*D$28,0)</f>
        <v>10</v>
      </c>
      <c r="E32" s="76">
        <f t="shared" si="34"/>
        <v>10</v>
      </c>
      <c r="F32" s="76">
        <f t="shared" si="34"/>
        <v>13</v>
      </c>
      <c r="G32" s="76">
        <f t="shared" si="34"/>
        <v>13</v>
      </c>
      <c r="H32" s="76">
        <f t="shared" si="34"/>
        <v>13</v>
      </c>
      <c r="I32" s="76">
        <f t="shared" si="34"/>
        <v>13</v>
      </c>
      <c r="J32" s="76">
        <f t="shared" si="34"/>
        <v>10</v>
      </c>
      <c r="K32" s="76">
        <f t="shared" si="34"/>
        <v>10</v>
      </c>
      <c r="L32" s="76">
        <f t="shared" si="34"/>
        <v>13</v>
      </c>
      <c r="M32" s="76">
        <f t="shared" si="34"/>
        <v>13</v>
      </c>
      <c r="N32" s="76">
        <f t="shared" si="34"/>
        <v>13</v>
      </c>
      <c r="O32" s="76">
        <f t="shared" si="34"/>
        <v>13</v>
      </c>
      <c r="P32" s="76">
        <f t="shared" si="34"/>
        <v>10</v>
      </c>
      <c r="Q32" s="76">
        <f t="shared" si="34"/>
        <v>10</v>
      </c>
      <c r="R32" s="76">
        <f t="shared" si="34"/>
        <v>13</v>
      </c>
      <c r="S32" s="76">
        <f t="shared" si="34"/>
        <v>13</v>
      </c>
      <c r="T32" s="76">
        <f t="shared" si="34"/>
        <v>13</v>
      </c>
      <c r="U32" s="76">
        <f t="shared" si="34"/>
        <v>13</v>
      </c>
      <c r="V32" s="76">
        <f t="shared" si="34"/>
        <v>10</v>
      </c>
      <c r="W32" s="76">
        <f t="shared" si="34"/>
        <v>10</v>
      </c>
      <c r="X32" s="76">
        <f t="shared" si="34"/>
        <v>13</v>
      </c>
      <c r="Y32" s="76">
        <f t="shared" si="34"/>
        <v>13</v>
      </c>
      <c r="Z32" s="76">
        <f t="shared" si="34"/>
        <v>13</v>
      </c>
      <c r="AA32" s="76">
        <f t="shared" si="34"/>
        <v>13</v>
      </c>
      <c r="AB32" s="76"/>
      <c r="AC32" s="76">
        <f t="shared" ref="AC32:AZ32" si="35">ROUND(SUM($K20:$P20)*AC$28,0)</f>
        <v>9</v>
      </c>
      <c r="AD32" s="76">
        <f t="shared" si="35"/>
        <v>9</v>
      </c>
      <c r="AE32" s="76">
        <f t="shared" si="35"/>
        <v>9</v>
      </c>
      <c r="AF32" s="76">
        <f t="shared" si="35"/>
        <v>12</v>
      </c>
      <c r="AG32" s="76">
        <f t="shared" si="35"/>
        <v>12</v>
      </c>
      <c r="AH32" s="76">
        <f t="shared" si="35"/>
        <v>12</v>
      </c>
      <c r="AI32" s="76">
        <f t="shared" si="35"/>
        <v>9</v>
      </c>
      <c r="AJ32" s="76">
        <f t="shared" si="35"/>
        <v>9</v>
      </c>
      <c r="AK32" s="76">
        <f t="shared" si="35"/>
        <v>9</v>
      </c>
      <c r="AL32" s="76">
        <f t="shared" si="35"/>
        <v>12</v>
      </c>
      <c r="AM32" s="76">
        <f t="shared" si="35"/>
        <v>12</v>
      </c>
      <c r="AN32" s="76">
        <f t="shared" si="35"/>
        <v>12</v>
      </c>
      <c r="AO32" s="76">
        <f t="shared" si="35"/>
        <v>9</v>
      </c>
      <c r="AP32" s="76">
        <f t="shared" si="35"/>
        <v>9</v>
      </c>
      <c r="AQ32" s="76">
        <f t="shared" si="35"/>
        <v>9</v>
      </c>
      <c r="AR32" s="76">
        <f t="shared" si="35"/>
        <v>12</v>
      </c>
      <c r="AS32" s="76">
        <f t="shared" si="35"/>
        <v>12</v>
      </c>
      <c r="AT32" s="76">
        <f t="shared" si="35"/>
        <v>12</v>
      </c>
      <c r="AU32" s="76">
        <f t="shared" si="35"/>
        <v>9</v>
      </c>
      <c r="AV32" s="76">
        <f t="shared" si="35"/>
        <v>9</v>
      </c>
      <c r="AW32" s="76">
        <f t="shared" si="35"/>
        <v>9</v>
      </c>
      <c r="AX32" s="76">
        <f t="shared" si="35"/>
        <v>12</v>
      </c>
      <c r="AY32" s="76">
        <f t="shared" si="35"/>
        <v>12</v>
      </c>
      <c r="AZ32" s="76">
        <f t="shared" si="35"/>
        <v>12</v>
      </c>
      <c r="BA32" s="76"/>
      <c r="BB32" s="76">
        <f t="shared" ref="BB32:BY32" si="36">ROUND(SUM($R20:$W20)*BB$28,0)</f>
        <v>10</v>
      </c>
      <c r="BC32" s="76">
        <f t="shared" si="36"/>
        <v>10</v>
      </c>
      <c r="BD32" s="76">
        <f t="shared" si="36"/>
        <v>12</v>
      </c>
      <c r="BE32" s="76">
        <f t="shared" si="36"/>
        <v>12</v>
      </c>
      <c r="BF32" s="76">
        <f t="shared" si="36"/>
        <v>12</v>
      </c>
      <c r="BG32" s="76">
        <f t="shared" si="36"/>
        <v>12</v>
      </c>
      <c r="BH32" s="76">
        <f t="shared" si="36"/>
        <v>10</v>
      </c>
      <c r="BI32" s="76">
        <f t="shared" si="36"/>
        <v>10</v>
      </c>
      <c r="BJ32" s="76">
        <f t="shared" si="36"/>
        <v>10</v>
      </c>
      <c r="BK32" s="76">
        <f t="shared" si="36"/>
        <v>12</v>
      </c>
      <c r="BL32" s="76">
        <f t="shared" si="36"/>
        <v>12</v>
      </c>
      <c r="BM32" s="76">
        <f t="shared" si="36"/>
        <v>12</v>
      </c>
      <c r="BN32" s="76">
        <f t="shared" si="36"/>
        <v>10</v>
      </c>
      <c r="BO32" s="76">
        <f t="shared" si="36"/>
        <v>10</v>
      </c>
      <c r="BP32" s="76">
        <f t="shared" si="36"/>
        <v>10</v>
      </c>
      <c r="BQ32" s="76">
        <f t="shared" si="36"/>
        <v>12</v>
      </c>
      <c r="BR32" s="76">
        <f t="shared" si="36"/>
        <v>12</v>
      </c>
      <c r="BS32" s="76">
        <f t="shared" si="36"/>
        <v>12</v>
      </c>
      <c r="BT32" s="76">
        <f t="shared" si="36"/>
        <v>10</v>
      </c>
      <c r="BU32" s="76">
        <f t="shared" si="36"/>
        <v>10</v>
      </c>
      <c r="BV32" s="76">
        <f t="shared" si="36"/>
        <v>10</v>
      </c>
      <c r="BW32" s="76">
        <f t="shared" si="36"/>
        <v>12</v>
      </c>
      <c r="BX32" s="76">
        <f t="shared" si="36"/>
        <v>12</v>
      </c>
      <c r="BY32" s="76">
        <f t="shared" si="36"/>
        <v>12</v>
      </c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</row>
    <row r="33" ht="12.75" customHeight="1">
      <c r="A33" s="79"/>
      <c r="B33" s="76"/>
      <c r="C33" s="76" t="s">
        <v>87</v>
      </c>
      <c r="D33" s="76">
        <f t="shared" ref="D33:AA33" si="37">ROUND(SUM($D21:$I21)*D$28,0)</f>
        <v>3</v>
      </c>
      <c r="E33" s="76">
        <f t="shared" si="37"/>
        <v>3</v>
      </c>
      <c r="F33" s="76">
        <f t="shared" si="37"/>
        <v>4</v>
      </c>
      <c r="G33" s="76">
        <f t="shared" si="37"/>
        <v>4</v>
      </c>
      <c r="H33" s="76">
        <f t="shared" si="37"/>
        <v>4</v>
      </c>
      <c r="I33" s="76">
        <f t="shared" si="37"/>
        <v>4</v>
      </c>
      <c r="J33" s="76">
        <f t="shared" si="37"/>
        <v>3</v>
      </c>
      <c r="K33" s="76">
        <f t="shared" si="37"/>
        <v>3</v>
      </c>
      <c r="L33" s="76">
        <f t="shared" si="37"/>
        <v>4</v>
      </c>
      <c r="M33" s="76">
        <f t="shared" si="37"/>
        <v>4</v>
      </c>
      <c r="N33" s="76">
        <f t="shared" si="37"/>
        <v>4</v>
      </c>
      <c r="O33" s="76">
        <f t="shared" si="37"/>
        <v>4</v>
      </c>
      <c r="P33" s="76">
        <f t="shared" si="37"/>
        <v>3</v>
      </c>
      <c r="Q33" s="76">
        <f t="shared" si="37"/>
        <v>3</v>
      </c>
      <c r="R33" s="76">
        <f t="shared" si="37"/>
        <v>4</v>
      </c>
      <c r="S33" s="76">
        <f t="shared" si="37"/>
        <v>4</v>
      </c>
      <c r="T33" s="76">
        <f t="shared" si="37"/>
        <v>4</v>
      </c>
      <c r="U33" s="76">
        <f t="shared" si="37"/>
        <v>4</v>
      </c>
      <c r="V33" s="76">
        <f t="shared" si="37"/>
        <v>3</v>
      </c>
      <c r="W33" s="76">
        <f t="shared" si="37"/>
        <v>3</v>
      </c>
      <c r="X33" s="76">
        <f t="shared" si="37"/>
        <v>4</v>
      </c>
      <c r="Y33" s="76">
        <f t="shared" si="37"/>
        <v>4</v>
      </c>
      <c r="Z33" s="76">
        <f t="shared" si="37"/>
        <v>4</v>
      </c>
      <c r="AA33" s="76">
        <f t="shared" si="37"/>
        <v>4</v>
      </c>
      <c r="AB33" s="76"/>
      <c r="AC33" s="76">
        <f t="shared" ref="AC33:AZ33" si="38">ROUND(SUM($K21:$P21)*AC$28,0)</f>
        <v>2</v>
      </c>
      <c r="AD33" s="76">
        <f t="shared" si="38"/>
        <v>2</v>
      </c>
      <c r="AE33" s="76">
        <f t="shared" si="38"/>
        <v>2</v>
      </c>
      <c r="AF33" s="76">
        <f t="shared" si="38"/>
        <v>3</v>
      </c>
      <c r="AG33" s="76">
        <f t="shared" si="38"/>
        <v>3</v>
      </c>
      <c r="AH33" s="76">
        <f t="shared" si="38"/>
        <v>3</v>
      </c>
      <c r="AI33" s="76">
        <f t="shared" si="38"/>
        <v>2</v>
      </c>
      <c r="AJ33" s="76">
        <f t="shared" si="38"/>
        <v>2</v>
      </c>
      <c r="AK33" s="76">
        <f t="shared" si="38"/>
        <v>2</v>
      </c>
      <c r="AL33" s="76">
        <f t="shared" si="38"/>
        <v>3</v>
      </c>
      <c r="AM33" s="76">
        <f t="shared" si="38"/>
        <v>3</v>
      </c>
      <c r="AN33" s="76">
        <f t="shared" si="38"/>
        <v>3</v>
      </c>
      <c r="AO33" s="76">
        <f t="shared" si="38"/>
        <v>2</v>
      </c>
      <c r="AP33" s="76">
        <f t="shared" si="38"/>
        <v>2</v>
      </c>
      <c r="AQ33" s="76">
        <f t="shared" si="38"/>
        <v>2</v>
      </c>
      <c r="AR33" s="76">
        <f t="shared" si="38"/>
        <v>3</v>
      </c>
      <c r="AS33" s="76">
        <f t="shared" si="38"/>
        <v>3</v>
      </c>
      <c r="AT33" s="76">
        <f t="shared" si="38"/>
        <v>3</v>
      </c>
      <c r="AU33" s="76">
        <f t="shared" si="38"/>
        <v>2</v>
      </c>
      <c r="AV33" s="76">
        <f t="shared" si="38"/>
        <v>2</v>
      </c>
      <c r="AW33" s="76">
        <f t="shared" si="38"/>
        <v>2</v>
      </c>
      <c r="AX33" s="76">
        <f t="shared" si="38"/>
        <v>3</v>
      </c>
      <c r="AY33" s="76">
        <f t="shared" si="38"/>
        <v>3</v>
      </c>
      <c r="AZ33" s="76">
        <f t="shared" si="38"/>
        <v>3</v>
      </c>
      <c r="BA33" s="76"/>
      <c r="BB33" s="76">
        <f t="shared" ref="BB33:BY33" si="39">ROUND(SUM($R21:$W21)*BB$28,0)</f>
        <v>3</v>
      </c>
      <c r="BC33" s="76">
        <f t="shared" si="39"/>
        <v>3</v>
      </c>
      <c r="BD33" s="76">
        <f t="shared" si="39"/>
        <v>4</v>
      </c>
      <c r="BE33" s="76">
        <f t="shared" si="39"/>
        <v>4</v>
      </c>
      <c r="BF33" s="76">
        <f t="shared" si="39"/>
        <v>4</v>
      </c>
      <c r="BG33" s="76">
        <f t="shared" si="39"/>
        <v>4</v>
      </c>
      <c r="BH33" s="76">
        <f t="shared" si="39"/>
        <v>3</v>
      </c>
      <c r="BI33" s="76">
        <f t="shared" si="39"/>
        <v>3</v>
      </c>
      <c r="BJ33" s="76">
        <f t="shared" si="39"/>
        <v>3</v>
      </c>
      <c r="BK33" s="76">
        <f t="shared" si="39"/>
        <v>4</v>
      </c>
      <c r="BL33" s="76">
        <f t="shared" si="39"/>
        <v>4</v>
      </c>
      <c r="BM33" s="76">
        <f t="shared" si="39"/>
        <v>4</v>
      </c>
      <c r="BN33" s="76">
        <f t="shared" si="39"/>
        <v>3</v>
      </c>
      <c r="BO33" s="76">
        <f t="shared" si="39"/>
        <v>3</v>
      </c>
      <c r="BP33" s="76">
        <f t="shared" si="39"/>
        <v>3</v>
      </c>
      <c r="BQ33" s="76">
        <f t="shared" si="39"/>
        <v>4</v>
      </c>
      <c r="BR33" s="76">
        <f t="shared" si="39"/>
        <v>4</v>
      </c>
      <c r="BS33" s="76">
        <f t="shared" si="39"/>
        <v>4</v>
      </c>
      <c r="BT33" s="76">
        <f t="shared" si="39"/>
        <v>3</v>
      </c>
      <c r="BU33" s="76">
        <f t="shared" si="39"/>
        <v>3</v>
      </c>
      <c r="BV33" s="76">
        <f t="shared" si="39"/>
        <v>3</v>
      </c>
      <c r="BW33" s="76">
        <f t="shared" si="39"/>
        <v>4</v>
      </c>
      <c r="BX33" s="76">
        <f t="shared" si="39"/>
        <v>4</v>
      </c>
      <c r="BY33" s="76">
        <f t="shared" si="39"/>
        <v>4</v>
      </c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</row>
    <row r="34" ht="12.75" customHeight="1">
      <c r="A34" s="79"/>
      <c r="B34" s="76"/>
      <c r="C34" s="76"/>
      <c r="D34" s="76">
        <f t="shared" ref="D34:AA34" si="40">ROUND(SUM($D22:$I22)*D$28,0)</f>
        <v>0</v>
      </c>
      <c r="E34" s="76">
        <f t="shared" si="40"/>
        <v>0</v>
      </c>
      <c r="F34" s="76">
        <f t="shared" si="40"/>
        <v>0</v>
      </c>
      <c r="G34" s="76">
        <f t="shared" si="40"/>
        <v>0</v>
      </c>
      <c r="H34" s="76">
        <f t="shared" si="40"/>
        <v>0</v>
      </c>
      <c r="I34" s="76">
        <f t="shared" si="40"/>
        <v>0</v>
      </c>
      <c r="J34" s="76">
        <f t="shared" si="40"/>
        <v>0</v>
      </c>
      <c r="K34" s="76">
        <f t="shared" si="40"/>
        <v>0</v>
      </c>
      <c r="L34" s="76">
        <f t="shared" si="40"/>
        <v>0</v>
      </c>
      <c r="M34" s="76">
        <f t="shared" si="40"/>
        <v>0</v>
      </c>
      <c r="N34" s="76">
        <f t="shared" si="40"/>
        <v>0</v>
      </c>
      <c r="O34" s="76">
        <f t="shared" si="40"/>
        <v>0</v>
      </c>
      <c r="P34" s="76">
        <f t="shared" si="40"/>
        <v>0</v>
      </c>
      <c r="Q34" s="76">
        <f t="shared" si="40"/>
        <v>0</v>
      </c>
      <c r="R34" s="76">
        <f t="shared" si="40"/>
        <v>0</v>
      </c>
      <c r="S34" s="76">
        <f t="shared" si="40"/>
        <v>0</v>
      </c>
      <c r="T34" s="76">
        <f t="shared" si="40"/>
        <v>0</v>
      </c>
      <c r="U34" s="76">
        <f t="shared" si="40"/>
        <v>0</v>
      </c>
      <c r="V34" s="76">
        <f t="shared" si="40"/>
        <v>0</v>
      </c>
      <c r="W34" s="76">
        <f t="shared" si="40"/>
        <v>0</v>
      </c>
      <c r="X34" s="76">
        <f t="shared" si="40"/>
        <v>0</v>
      </c>
      <c r="Y34" s="76">
        <f t="shared" si="40"/>
        <v>0</v>
      </c>
      <c r="Z34" s="76">
        <f t="shared" si="40"/>
        <v>0</v>
      </c>
      <c r="AA34" s="76">
        <f t="shared" si="40"/>
        <v>0</v>
      </c>
      <c r="AB34" s="76"/>
      <c r="AC34" s="76">
        <f t="shared" ref="AC34:AZ34" si="41">ROUND(SUM($K22:$P22)*AC$28,0)</f>
        <v>0</v>
      </c>
      <c r="AD34" s="76">
        <f t="shared" si="41"/>
        <v>0</v>
      </c>
      <c r="AE34" s="76">
        <f t="shared" si="41"/>
        <v>0</v>
      </c>
      <c r="AF34" s="76">
        <f t="shared" si="41"/>
        <v>0</v>
      </c>
      <c r="AG34" s="76">
        <f t="shared" si="41"/>
        <v>0</v>
      </c>
      <c r="AH34" s="76">
        <f t="shared" si="41"/>
        <v>0</v>
      </c>
      <c r="AI34" s="76">
        <f t="shared" si="41"/>
        <v>0</v>
      </c>
      <c r="AJ34" s="76">
        <f t="shared" si="41"/>
        <v>0</v>
      </c>
      <c r="AK34" s="76">
        <f t="shared" si="41"/>
        <v>0</v>
      </c>
      <c r="AL34" s="76">
        <f t="shared" si="41"/>
        <v>0</v>
      </c>
      <c r="AM34" s="76">
        <f t="shared" si="41"/>
        <v>0</v>
      </c>
      <c r="AN34" s="76">
        <f t="shared" si="41"/>
        <v>0</v>
      </c>
      <c r="AO34" s="76">
        <f t="shared" si="41"/>
        <v>0</v>
      </c>
      <c r="AP34" s="76">
        <f t="shared" si="41"/>
        <v>0</v>
      </c>
      <c r="AQ34" s="76">
        <f t="shared" si="41"/>
        <v>0</v>
      </c>
      <c r="AR34" s="76">
        <f t="shared" si="41"/>
        <v>0</v>
      </c>
      <c r="AS34" s="76">
        <f t="shared" si="41"/>
        <v>0</v>
      </c>
      <c r="AT34" s="76">
        <f t="shared" si="41"/>
        <v>0</v>
      </c>
      <c r="AU34" s="76">
        <f t="shared" si="41"/>
        <v>0</v>
      </c>
      <c r="AV34" s="76">
        <f t="shared" si="41"/>
        <v>0</v>
      </c>
      <c r="AW34" s="76">
        <f t="shared" si="41"/>
        <v>0</v>
      </c>
      <c r="AX34" s="76">
        <f t="shared" si="41"/>
        <v>0</v>
      </c>
      <c r="AY34" s="76">
        <f t="shared" si="41"/>
        <v>0</v>
      </c>
      <c r="AZ34" s="76">
        <f t="shared" si="41"/>
        <v>0</v>
      </c>
      <c r="BA34" s="76"/>
      <c r="BB34" s="76">
        <f t="shared" ref="BB34:BY34" si="42">ROUND(SUM($R22:$W22)*BB$28,0)</f>
        <v>0</v>
      </c>
      <c r="BC34" s="76">
        <f t="shared" si="42"/>
        <v>0</v>
      </c>
      <c r="BD34" s="76">
        <f t="shared" si="42"/>
        <v>0</v>
      </c>
      <c r="BE34" s="76">
        <f t="shared" si="42"/>
        <v>0</v>
      </c>
      <c r="BF34" s="76">
        <f t="shared" si="42"/>
        <v>0</v>
      </c>
      <c r="BG34" s="76">
        <f t="shared" si="42"/>
        <v>0</v>
      </c>
      <c r="BH34" s="76">
        <f t="shared" si="42"/>
        <v>0</v>
      </c>
      <c r="BI34" s="76">
        <f t="shared" si="42"/>
        <v>0</v>
      </c>
      <c r="BJ34" s="76">
        <f t="shared" si="42"/>
        <v>0</v>
      </c>
      <c r="BK34" s="76">
        <f t="shared" si="42"/>
        <v>0</v>
      </c>
      <c r="BL34" s="76">
        <f t="shared" si="42"/>
        <v>0</v>
      </c>
      <c r="BM34" s="76">
        <f t="shared" si="42"/>
        <v>0</v>
      </c>
      <c r="BN34" s="76">
        <f t="shared" si="42"/>
        <v>0</v>
      </c>
      <c r="BO34" s="76">
        <f t="shared" si="42"/>
        <v>0</v>
      </c>
      <c r="BP34" s="76">
        <f t="shared" si="42"/>
        <v>0</v>
      </c>
      <c r="BQ34" s="76">
        <f t="shared" si="42"/>
        <v>0</v>
      </c>
      <c r="BR34" s="76">
        <f t="shared" si="42"/>
        <v>0</v>
      </c>
      <c r="BS34" s="76">
        <f t="shared" si="42"/>
        <v>0</v>
      </c>
      <c r="BT34" s="76">
        <f t="shared" si="42"/>
        <v>0</v>
      </c>
      <c r="BU34" s="76">
        <f t="shared" si="42"/>
        <v>0</v>
      </c>
      <c r="BV34" s="76">
        <f t="shared" si="42"/>
        <v>0</v>
      </c>
      <c r="BW34" s="76">
        <f t="shared" si="42"/>
        <v>0</v>
      </c>
      <c r="BX34" s="76">
        <f t="shared" si="42"/>
        <v>0</v>
      </c>
      <c r="BY34" s="76">
        <f t="shared" si="42"/>
        <v>0</v>
      </c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</row>
    <row r="35" ht="12.75" customHeight="1">
      <c r="A35" s="79"/>
      <c r="B35" s="76"/>
      <c r="C35" s="76"/>
      <c r="D35" s="93">
        <f t="shared" ref="D35:AA35" si="43">SUM(D29:D34)</f>
        <v>19</v>
      </c>
      <c r="E35" s="93">
        <f t="shared" si="43"/>
        <v>19</v>
      </c>
      <c r="F35" s="93">
        <f t="shared" si="43"/>
        <v>24</v>
      </c>
      <c r="G35" s="93">
        <f t="shared" si="43"/>
        <v>24</v>
      </c>
      <c r="H35" s="93">
        <f t="shared" si="43"/>
        <v>24</v>
      </c>
      <c r="I35" s="93">
        <f t="shared" si="43"/>
        <v>24</v>
      </c>
      <c r="J35" s="93">
        <f t="shared" si="43"/>
        <v>19</v>
      </c>
      <c r="K35" s="93">
        <f t="shared" si="43"/>
        <v>19</v>
      </c>
      <c r="L35" s="93">
        <f t="shared" si="43"/>
        <v>24</v>
      </c>
      <c r="M35" s="93">
        <f t="shared" si="43"/>
        <v>24</v>
      </c>
      <c r="N35" s="93">
        <f t="shared" si="43"/>
        <v>24</v>
      </c>
      <c r="O35" s="93">
        <f t="shared" si="43"/>
        <v>24</v>
      </c>
      <c r="P35" s="93">
        <f t="shared" si="43"/>
        <v>19</v>
      </c>
      <c r="Q35" s="93">
        <f t="shared" si="43"/>
        <v>19</v>
      </c>
      <c r="R35" s="93">
        <f t="shared" si="43"/>
        <v>24</v>
      </c>
      <c r="S35" s="93">
        <f t="shared" si="43"/>
        <v>24</v>
      </c>
      <c r="T35" s="93">
        <f t="shared" si="43"/>
        <v>24</v>
      </c>
      <c r="U35" s="93">
        <f t="shared" si="43"/>
        <v>24</v>
      </c>
      <c r="V35" s="93">
        <f t="shared" si="43"/>
        <v>19</v>
      </c>
      <c r="W35" s="93">
        <f t="shared" si="43"/>
        <v>19</v>
      </c>
      <c r="X35" s="93">
        <f t="shared" si="43"/>
        <v>24</v>
      </c>
      <c r="Y35" s="93">
        <f t="shared" si="43"/>
        <v>24</v>
      </c>
      <c r="Z35" s="93">
        <f t="shared" si="43"/>
        <v>24</v>
      </c>
      <c r="AA35" s="93">
        <f t="shared" si="43"/>
        <v>24</v>
      </c>
      <c r="AB35" s="76"/>
      <c r="AC35" s="93">
        <f t="shared" ref="AC35:AZ35" si="44">SUM(AC29:AC34)</f>
        <v>15</v>
      </c>
      <c r="AD35" s="93">
        <f t="shared" si="44"/>
        <v>15</v>
      </c>
      <c r="AE35" s="93">
        <f t="shared" si="44"/>
        <v>15</v>
      </c>
      <c r="AF35" s="93">
        <f t="shared" si="44"/>
        <v>21</v>
      </c>
      <c r="AG35" s="93">
        <f t="shared" si="44"/>
        <v>21</v>
      </c>
      <c r="AH35" s="93">
        <f t="shared" si="44"/>
        <v>21</v>
      </c>
      <c r="AI35" s="93">
        <f t="shared" si="44"/>
        <v>15</v>
      </c>
      <c r="AJ35" s="93">
        <f t="shared" si="44"/>
        <v>15</v>
      </c>
      <c r="AK35" s="93">
        <f t="shared" si="44"/>
        <v>15</v>
      </c>
      <c r="AL35" s="93">
        <f t="shared" si="44"/>
        <v>21</v>
      </c>
      <c r="AM35" s="93">
        <f t="shared" si="44"/>
        <v>21</v>
      </c>
      <c r="AN35" s="93">
        <f t="shared" si="44"/>
        <v>21</v>
      </c>
      <c r="AO35" s="93">
        <f t="shared" si="44"/>
        <v>15</v>
      </c>
      <c r="AP35" s="93">
        <f t="shared" si="44"/>
        <v>15</v>
      </c>
      <c r="AQ35" s="93">
        <f t="shared" si="44"/>
        <v>15</v>
      </c>
      <c r="AR35" s="93">
        <f t="shared" si="44"/>
        <v>21</v>
      </c>
      <c r="AS35" s="93">
        <f t="shared" si="44"/>
        <v>21</v>
      </c>
      <c r="AT35" s="93">
        <f t="shared" si="44"/>
        <v>21</v>
      </c>
      <c r="AU35" s="93">
        <f t="shared" si="44"/>
        <v>15</v>
      </c>
      <c r="AV35" s="93">
        <f t="shared" si="44"/>
        <v>15</v>
      </c>
      <c r="AW35" s="93">
        <f t="shared" si="44"/>
        <v>15</v>
      </c>
      <c r="AX35" s="93">
        <f t="shared" si="44"/>
        <v>21</v>
      </c>
      <c r="AY35" s="93">
        <f t="shared" si="44"/>
        <v>21</v>
      </c>
      <c r="AZ35" s="93">
        <f t="shared" si="44"/>
        <v>21</v>
      </c>
      <c r="BA35" s="93"/>
      <c r="BB35" s="93">
        <f t="shared" ref="BB35:BY35" si="45">SUM(BB29:BB34)</f>
        <v>17</v>
      </c>
      <c r="BC35" s="93">
        <f t="shared" si="45"/>
        <v>17</v>
      </c>
      <c r="BD35" s="93">
        <f t="shared" si="45"/>
        <v>22</v>
      </c>
      <c r="BE35" s="93">
        <f t="shared" si="45"/>
        <v>22</v>
      </c>
      <c r="BF35" s="93">
        <f t="shared" si="45"/>
        <v>22</v>
      </c>
      <c r="BG35" s="93">
        <f t="shared" si="45"/>
        <v>22</v>
      </c>
      <c r="BH35" s="93">
        <f t="shared" si="45"/>
        <v>17</v>
      </c>
      <c r="BI35" s="93">
        <f t="shared" si="45"/>
        <v>17</v>
      </c>
      <c r="BJ35" s="93">
        <f t="shared" si="45"/>
        <v>17</v>
      </c>
      <c r="BK35" s="93">
        <f t="shared" si="45"/>
        <v>22</v>
      </c>
      <c r="BL35" s="93">
        <f t="shared" si="45"/>
        <v>22</v>
      </c>
      <c r="BM35" s="93">
        <f t="shared" si="45"/>
        <v>22</v>
      </c>
      <c r="BN35" s="93">
        <f t="shared" si="45"/>
        <v>17</v>
      </c>
      <c r="BO35" s="93">
        <f t="shared" si="45"/>
        <v>17</v>
      </c>
      <c r="BP35" s="93">
        <f t="shared" si="45"/>
        <v>17</v>
      </c>
      <c r="BQ35" s="93">
        <f t="shared" si="45"/>
        <v>22</v>
      </c>
      <c r="BR35" s="93">
        <f t="shared" si="45"/>
        <v>22</v>
      </c>
      <c r="BS35" s="93">
        <f t="shared" si="45"/>
        <v>22</v>
      </c>
      <c r="BT35" s="93">
        <f t="shared" si="45"/>
        <v>17</v>
      </c>
      <c r="BU35" s="93">
        <f t="shared" si="45"/>
        <v>17</v>
      </c>
      <c r="BV35" s="93">
        <f t="shared" si="45"/>
        <v>17</v>
      </c>
      <c r="BW35" s="93">
        <f t="shared" si="45"/>
        <v>22</v>
      </c>
      <c r="BX35" s="93">
        <f t="shared" si="45"/>
        <v>22</v>
      </c>
      <c r="BY35" s="93">
        <f t="shared" si="45"/>
        <v>22</v>
      </c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</row>
    <row r="36" ht="12.75" customHeight="1">
      <c r="A36" s="79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</row>
    <row r="37" ht="12.75" customHeight="1">
      <c r="A37" s="79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</row>
    <row r="38" ht="12.75" customHeight="1">
      <c r="A38" s="79"/>
      <c r="B38" s="76"/>
      <c r="C38" s="80" t="s">
        <v>158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</row>
    <row r="39" ht="12.75" customHeight="1">
      <c r="A39" s="79"/>
      <c r="B39" s="76"/>
      <c r="C39" s="76"/>
      <c r="D39" s="99">
        <v>2025.0</v>
      </c>
      <c r="P39" s="99">
        <v>2026.0</v>
      </c>
      <c r="AB39" s="100">
        <v>2027.0</v>
      </c>
      <c r="AN39" s="100">
        <v>2028.0</v>
      </c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</row>
    <row r="40" ht="12.75" customHeight="1">
      <c r="A40" s="79"/>
      <c r="B40" s="76"/>
      <c r="C40" s="101" t="s">
        <v>159</v>
      </c>
      <c r="D40" s="102">
        <v>1.0</v>
      </c>
      <c r="E40" s="102">
        <v>2.0</v>
      </c>
      <c r="F40" s="102">
        <v>3.0</v>
      </c>
      <c r="G40" s="102">
        <v>4.0</v>
      </c>
      <c r="H40" s="102">
        <v>5.0</v>
      </c>
      <c r="I40" s="102">
        <v>6.0</v>
      </c>
      <c r="J40" s="102">
        <v>7.0</v>
      </c>
      <c r="K40" s="102">
        <v>8.0</v>
      </c>
      <c r="L40" s="102">
        <v>9.0</v>
      </c>
      <c r="M40" s="102">
        <v>10.0</v>
      </c>
      <c r="N40" s="102">
        <v>11.0</v>
      </c>
      <c r="O40" s="102">
        <v>12.0</v>
      </c>
      <c r="P40" s="103">
        <v>1.0</v>
      </c>
      <c r="Q40" s="103">
        <v>2.0</v>
      </c>
      <c r="R40" s="103">
        <v>3.0</v>
      </c>
      <c r="S40" s="103">
        <v>4.0</v>
      </c>
      <c r="T40" s="103">
        <v>5.0</v>
      </c>
      <c r="U40" s="103">
        <v>6.0</v>
      </c>
      <c r="V40" s="103">
        <v>7.0</v>
      </c>
      <c r="W40" s="103">
        <v>8.0</v>
      </c>
      <c r="X40" s="103">
        <v>9.0</v>
      </c>
      <c r="Y40" s="103">
        <v>10.0</v>
      </c>
      <c r="Z40" s="103">
        <v>11.0</v>
      </c>
      <c r="AA40" s="103">
        <v>12.0</v>
      </c>
      <c r="AB40" s="104">
        <v>1.0</v>
      </c>
      <c r="AC40" s="104">
        <v>2.0</v>
      </c>
      <c r="AD40" s="104">
        <v>3.0</v>
      </c>
      <c r="AE40" s="104">
        <v>4.0</v>
      </c>
      <c r="AF40" s="104">
        <v>5.0</v>
      </c>
      <c r="AG40" s="104">
        <v>6.0</v>
      </c>
      <c r="AH40" s="104">
        <v>7.0</v>
      </c>
      <c r="AI40" s="104">
        <v>8.0</v>
      </c>
      <c r="AJ40" s="104">
        <v>9.0</v>
      </c>
      <c r="AK40" s="104">
        <v>10.0</v>
      </c>
      <c r="AL40" s="104">
        <v>11.0</v>
      </c>
      <c r="AM40" s="104">
        <v>12.0</v>
      </c>
      <c r="AN40" s="105">
        <v>1.0</v>
      </c>
      <c r="AO40" s="105">
        <v>2.0</v>
      </c>
      <c r="AP40" s="105">
        <v>3.0</v>
      </c>
      <c r="AQ40" s="105">
        <v>4.0</v>
      </c>
      <c r="AR40" s="105">
        <v>5.0</v>
      </c>
      <c r="AS40" s="105">
        <v>6.0</v>
      </c>
      <c r="AT40" s="105">
        <v>7.0</v>
      </c>
      <c r="AU40" s="105">
        <v>8.0</v>
      </c>
      <c r="AV40" s="105">
        <v>9.0</v>
      </c>
      <c r="AW40" s="105">
        <v>10.0</v>
      </c>
      <c r="AX40" s="105">
        <v>11.0</v>
      </c>
      <c r="AY40" s="105">
        <v>12.0</v>
      </c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</row>
    <row r="41" ht="12.75" customHeight="1">
      <c r="A41" s="79"/>
      <c r="B41" s="76"/>
      <c r="C41" s="82" t="s">
        <v>160</v>
      </c>
      <c r="D41" s="159">
        <v>0.0</v>
      </c>
      <c r="E41" s="98">
        <v>0.0</v>
      </c>
      <c r="F41" s="98">
        <v>0.0</v>
      </c>
      <c r="G41" s="98">
        <v>0.4</v>
      </c>
      <c r="H41" s="98">
        <v>0.6</v>
      </c>
      <c r="I41" s="98">
        <v>0.6</v>
      </c>
      <c r="J41" s="98">
        <v>0.7</v>
      </c>
      <c r="K41" s="98">
        <v>0.7</v>
      </c>
      <c r="L41" s="98">
        <v>0.7</v>
      </c>
      <c r="M41" s="98">
        <v>0.7</v>
      </c>
      <c r="N41" s="98">
        <v>0.5</v>
      </c>
      <c r="O41" s="98">
        <v>0.3</v>
      </c>
      <c r="P41" s="98">
        <v>0.5</v>
      </c>
      <c r="Q41" s="98">
        <v>0.5</v>
      </c>
      <c r="R41" s="98">
        <v>0.5</v>
      </c>
      <c r="S41" s="98">
        <v>0.5</v>
      </c>
      <c r="T41" s="98">
        <v>0.6</v>
      </c>
      <c r="U41" s="98">
        <v>0.6</v>
      </c>
      <c r="V41" s="98">
        <v>0.6</v>
      </c>
      <c r="W41" s="98">
        <v>0.6</v>
      </c>
      <c r="X41" s="98">
        <v>0.7</v>
      </c>
      <c r="Y41" s="98">
        <v>0.5</v>
      </c>
      <c r="Z41" s="98">
        <v>0.6</v>
      </c>
      <c r="AA41" s="98">
        <v>0.5</v>
      </c>
      <c r="AB41" s="98">
        <v>0.4</v>
      </c>
      <c r="AC41" s="98">
        <v>0.4</v>
      </c>
      <c r="AD41" s="98">
        <v>0.4</v>
      </c>
      <c r="AE41" s="98">
        <v>0.5</v>
      </c>
      <c r="AF41" s="98">
        <v>0.6</v>
      </c>
      <c r="AG41" s="98">
        <v>0.6</v>
      </c>
      <c r="AH41" s="98">
        <v>0.6</v>
      </c>
      <c r="AI41" s="98">
        <v>0.6</v>
      </c>
      <c r="AJ41" s="98">
        <v>0.7</v>
      </c>
      <c r="AK41" s="98">
        <v>0.5</v>
      </c>
      <c r="AL41" s="98">
        <v>0.6</v>
      </c>
      <c r="AM41" s="98">
        <v>0.5</v>
      </c>
      <c r="AN41" s="98">
        <v>0.6</v>
      </c>
      <c r="AO41" s="98">
        <v>0.6</v>
      </c>
      <c r="AP41" s="98">
        <v>0.6</v>
      </c>
      <c r="AQ41" s="98">
        <v>0.6</v>
      </c>
      <c r="AR41" s="98">
        <v>0.6</v>
      </c>
      <c r="AS41" s="98">
        <v>0.6</v>
      </c>
      <c r="AT41" s="98">
        <v>0.6</v>
      </c>
      <c r="AU41" s="98">
        <v>0.7</v>
      </c>
      <c r="AV41" s="98">
        <v>0.7</v>
      </c>
      <c r="AW41" s="98">
        <v>0.5</v>
      </c>
      <c r="AX41" s="98">
        <v>0.3</v>
      </c>
      <c r="AY41" s="98">
        <v>0.3</v>
      </c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</row>
    <row r="42" ht="12.75" customHeight="1">
      <c r="A42" s="79"/>
      <c r="B42" s="76"/>
      <c r="C42" s="76" t="s">
        <v>148</v>
      </c>
      <c r="D42" s="76">
        <f t="shared" ref="D42:O42" si="46">ROUND(SUM($D29:$AA29)*D$41,0)</f>
        <v>0</v>
      </c>
      <c r="E42" s="76">
        <f t="shared" si="46"/>
        <v>0</v>
      </c>
      <c r="F42" s="76">
        <f t="shared" si="46"/>
        <v>0</v>
      </c>
      <c r="G42" s="76">
        <f t="shared" si="46"/>
        <v>0</v>
      </c>
      <c r="H42" s="76">
        <f t="shared" si="46"/>
        <v>0</v>
      </c>
      <c r="I42" s="76">
        <f t="shared" si="46"/>
        <v>0</v>
      </c>
      <c r="J42" s="76">
        <f t="shared" si="46"/>
        <v>0</v>
      </c>
      <c r="K42" s="76">
        <f t="shared" si="46"/>
        <v>0</v>
      </c>
      <c r="L42" s="76">
        <f t="shared" si="46"/>
        <v>0</v>
      </c>
      <c r="M42" s="76">
        <f t="shared" si="46"/>
        <v>0</v>
      </c>
      <c r="N42" s="76">
        <f t="shared" si="46"/>
        <v>0</v>
      </c>
      <c r="O42" s="76">
        <f t="shared" si="46"/>
        <v>0</v>
      </c>
      <c r="P42" s="76">
        <f t="shared" ref="P42:AA42" si="47">ROUND(SUM($AC29:$AZ29)*P$41,0)</f>
        <v>0</v>
      </c>
      <c r="Q42" s="76">
        <f t="shared" si="47"/>
        <v>0</v>
      </c>
      <c r="R42" s="76">
        <f t="shared" si="47"/>
        <v>0</v>
      </c>
      <c r="S42" s="76">
        <f t="shared" si="47"/>
        <v>0</v>
      </c>
      <c r="T42" s="76">
        <f t="shared" si="47"/>
        <v>0</v>
      </c>
      <c r="U42" s="76">
        <f t="shared" si="47"/>
        <v>0</v>
      </c>
      <c r="V42" s="76">
        <f t="shared" si="47"/>
        <v>0</v>
      </c>
      <c r="W42" s="76">
        <f t="shared" si="47"/>
        <v>0</v>
      </c>
      <c r="X42" s="76">
        <f t="shared" si="47"/>
        <v>0</v>
      </c>
      <c r="Y42" s="76">
        <f t="shared" si="47"/>
        <v>0</v>
      </c>
      <c r="Z42" s="76">
        <f t="shared" si="47"/>
        <v>0</v>
      </c>
      <c r="AA42" s="76">
        <f t="shared" si="47"/>
        <v>0</v>
      </c>
      <c r="AB42" s="76">
        <f t="shared" ref="AB42:AY42" si="48">ROUND(SUM($BB29:$BY29)*AB$41,0)</f>
        <v>0</v>
      </c>
      <c r="AC42" s="76">
        <f t="shared" si="48"/>
        <v>0</v>
      </c>
      <c r="AD42" s="76">
        <f t="shared" si="48"/>
        <v>0</v>
      </c>
      <c r="AE42" s="76">
        <f t="shared" si="48"/>
        <v>0</v>
      </c>
      <c r="AF42" s="76">
        <f t="shared" si="48"/>
        <v>0</v>
      </c>
      <c r="AG42" s="76">
        <f t="shared" si="48"/>
        <v>0</v>
      </c>
      <c r="AH42" s="76">
        <f t="shared" si="48"/>
        <v>0</v>
      </c>
      <c r="AI42" s="76">
        <f t="shared" si="48"/>
        <v>0</v>
      </c>
      <c r="AJ42" s="76">
        <f t="shared" si="48"/>
        <v>0</v>
      </c>
      <c r="AK42" s="76">
        <f t="shared" si="48"/>
        <v>0</v>
      </c>
      <c r="AL42" s="76">
        <f t="shared" si="48"/>
        <v>0</v>
      </c>
      <c r="AM42" s="76">
        <f t="shared" si="48"/>
        <v>0</v>
      </c>
      <c r="AN42" s="76">
        <f t="shared" si="48"/>
        <v>0</v>
      </c>
      <c r="AO42" s="76">
        <f t="shared" si="48"/>
        <v>0</v>
      </c>
      <c r="AP42" s="76">
        <f t="shared" si="48"/>
        <v>0</v>
      </c>
      <c r="AQ42" s="76">
        <f t="shared" si="48"/>
        <v>0</v>
      </c>
      <c r="AR42" s="76">
        <f t="shared" si="48"/>
        <v>0</v>
      </c>
      <c r="AS42" s="76">
        <f t="shared" si="48"/>
        <v>0</v>
      </c>
      <c r="AT42" s="76">
        <f t="shared" si="48"/>
        <v>0</v>
      </c>
      <c r="AU42" s="76">
        <f t="shared" si="48"/>
        <v>0</v>
      </c>
      <c r="AV42" s="76">
        <f t="shared" si="48"/>
        <v>0</v>
      </c>
      <c r="AW42" s="76">
        <f t="shared" si="48"/>
        <v>0</v>
      </c>
      <c r="AX42" s="76">
        <f t="shared" si="48"/>
        <v>0</v>
      </c>
      <c r="AY42" s="76">
        <f t="shared" si="48"/>
        <v>0</v>
      </c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</row>
    <row r="43" ht="12.75" customHeight="1">
      <c r="A43" s="79"/>
      <c r="B43" s="76"/>
      <c r="C43" s="76" t="s">
        <v>76</v>
      </c>
      <c r="D43" s="76">
        <f t="shared" ref="D43:O43" si="49">ROUND(SUM($D30:$AA30)*D$41,0)</f>
        <v>0</v>
      </c>
      <c r="E43" s="76">
        <f t="shared" si="49"/>
        <v>0</v>
      </c>
      <c r="F43" s="76">
        <f t="shared" si="49"/>
        <v>0</v>
      </c>
      <c r="G43" s="76">
        <f t="shared" si="49"/>
        <v>54</v>
      </c>
      <c r="H43" s="76">
        <f t="shared" si="49"/>
        <v>82</v>
      </c>
      <c r="I43" s="76">
        <f t="shared" si="49"/>
        <v>82</v>
      </c>
      <c r="J43" s="76">
        <f t="shared" si="49"/>
        <v>95</v>
      </c>
      <c r="K43" s="76">
        <f t="shared" si="49"/>
        <v>95</v>
      </c>
      <c r="L43" s="76">
        <f t="shared" si="49"/>
        <v>95</v>
      </c>
      <c r="M43" s="76">
        <f t="shared" si="49"/>
        <v>95</v>
      </c>
      <c r="N43" s="76">
        <f t="shared" si="49"/>
        <v>68</v>
      </c>
      <c r="O43" s="76">
        <f t="shared" si="49"/>
        <v>41</v>
      </c>
      <c r="P43" s="76">
        <f t="shared" ref="P43:AA43" si="50">ROUND(SUM($AC30:$AZ30)*P$41,0)</f>
        <v>54</v>
      </c>
      <c r="Q43" s="76">
        <f t="shared" si="50"/>
        <v>54</v>
      </c>
      <c r="R43" s="76">
        <f t="shared" si="50"/>
        <v>54</v>
      </c>
      <c r="S43" s="76">
        <f t="shared" si="50"/>
        <v>54</v>
      </c>
      <c r="T43" s="76">
        <f t="shared" si="50"/>
        <v>65</v>
      </c>
      <c r="U43" s="76">
        <f t="shared" si="50"/>
        <v>65</v>
      </c>
      <c r="V43" s="76">
        <f t="shared" si="50"/>
        <v>65</v>
      </c>
      <c r="W43" s="76">
        <f t="shared" si="50"/>
        <v>65</v>
      </c>
      <c r="X43" s="76">
        <f t="shared" si="50"/>
        <v>76</v>
      </c>
      <c r="Y43" s="76">
        <f t="shared" si="50"/>
        <v>54</v>
      </c>
      <c r="Z43" s="76">
        <f t="shared" si="50"/>
        <v>65</v>
      </c>
      <c r="AA43" s="76">
        <f t="shared" si="50"/>
        <v>54</v>
      </c>
      <c r="AB43" s="76">
        <f t="shared" ref="AB43:AY43" si="51">ROUND(SUM($BB30:$BY30)*AB$41,0)</f>
        <v>44</v>
      </c>
      <c r="AC43" s="76">
        <f t="shared" si="51"/>
        <v>44</v>
      </c>
      <c r="AD43" s="76">
        <f t="shared" si="51"/>
        <v>44</v>
      </c>
      <c r="AE43" s="76">
        <f t="shared" si="51"/>
        <v>55</v>
      </c>
      <c r="AF43" s="76">
        <f t="shared" si="51"/>
        <v>65</v>
      </c>
      <c r="AG43" s="76">
        <f t="shared" si="51"/>
        <v>65</v>
      </c>
      <c r="AH43" s="76">
        <f t="shared" si="51"/>
        <v>65</v>
      </c>
      <c r="AI43" s="76">
        <f t="shared" si="51"/>
        <v>65</v>
      </c>
      <c r="AJ43" s="76">
        <f t="shared" si="51"/>
        <v>76</v>
      </c>
      <c r="AK43" s="76">
        <f t="shared" si="51"/>
        <v>55</v>
      </c>
      <c r="AL43" s="76">
        <f t="shared" si="51"/>
        <v>65</v>
      </c>
      <c r="AM43" s="76">
        <f t="shared" si="51"/>
        <v>55</v>
      </c>
      <c r="AN43" s="76">
        <f t="shared" si="51"/>
        <v>65</v>
      </c>
      <c r="AO43" s="76">
        <f t="shared" si="51"/>
        <v>65</v>
      </c>
      <c r="AP43" s="76">
        <f t="shared" si="51"/>
        <v>65</v>
      </c>
      <c r="AQ43" s="76">
        <f t="shared" si="51"/>
        <v>65</v>
      </c>
      <c r="AR43" s="76">
        <f t="shared" si="51"/>
        <v>65</v>
      </c>
      <c r="AS43" s="76">
        <f t="shared" si="51"/>
        <v>65</v>
      </c>
      <c r="AT43" s="76">
        <f t="shared" si="51"/>
        <v>65</v>
      </c>
      <c r="AU43" s="76">
        <f t="shared" si="51"/>
        <v>76</v>
      </c>
      <c r="AV43" s="76">
        <f t="shared" si="51"/>
        <v>76</v>
      </c>
      <c r="AW43" s="76">
        <f t="shared" si="51"/>
        <v>55</v>
      </c>
      <c r="AX43" s="76">
        <f t="shared" si="51"/>
        <v>33</v>
      </c>
      <c r="AY43" s="76">
        <f t="shared" si="51"/>
        <v>33</v>
      </c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</row>
    <row r="44" ht="12.75" customHeight="1">
      <c r="A44" s="79"/>
      <c r="B44" s="76"/>
      <c r="C44" s="76" t="s">
        <v>80</v>
      </c>
      <c r="D44" s="76">
        <f t="shared" ref="D44:O44" si="52">ROUND(SUM($D31:$AA31)*D$41,0)</f>
        <v>0</v>
      </c>
      <c r="E44" s="76">
        <f t="shared" si="52"/>
        <v>0</v>
      </c>
      <c r="F44" s="76">
        <f t="shared" si="52"/>
        <v>0</v>
      </c>
      <c r="G44" s="76">
        <f t="shared" si="52"/>
        <v>10</v>
      </c>
      <c r="H44" s="76">
        <f t="shared" si="52"/>
        <v>14</v>
      </c>
      <c r="I44" s="76">
        <f t="shared" si="52"/>
        <v>14</v>
      </c>
      <c r="J44" s="76">
        <f t="shared" si="52"/>
        <v>17</v>
      </c>
      <c r="K44" s="76">
        <f t="shared" si="52"/>
        <v>17</v>
      </c>
      <c r="L44" s="76">
        <f t="shared" si="52"/>
        <v>17</v>
      </c>
      <c r="M44" s="76">
        <f t="shared" si="52"/>
        <v>17</v>
      </c>
      <c r="N44" s="76">
        <f t="shared" si="52"/>
        <v>12</v>
      </c>
      <c r="O44" s="76">
        <f t="shared" si="52"/>
        <v>7</v>
      </c>
      <c r="P44" s="76">
        <f t="shared" ref="P44:AA44" si="53">ROUND(SUM($AC31:$AZ31)*P$41,0)</f>
        <v>6</v>
      </c>
      <c r="Q44" s="76">
        <f t="shared" si="53"/>
        <v>6</v>
      </c>
      <c r="R44" s="76">
        <f t="shared" si="53"/>
        <v>6</v>
      </c>
      <c r="S44" s="76">
        <f t="shared" si="53"/>
        <v>6</v>
      </c>
      <c r="T44" s="76">
        <f t="shared" si="53"/>
        <v>7</v>
      </c>
      <c r="U44" s="76">
        <f t="shared" si="53"/>
        <v>7</v>
      </c>
      <c r="V44" s="76">
        <f t="shared" si="53"/>
        <v>7</v>
      </c>
      <c r="W44" s="76">
        <f t="shared" si="53"/>
        <v>7</v>
      </c>
      <c r="X44" s="76">
        <f t="shared" si="53"/>
        <v>8</v>
      </c>
      <c r="Y44" s="76">
        <f t="shared" si="53"/>
        <v>6</v>
      </c>
      <c r="Z44" s="76">
        <f t="shared" si="53"/>
        <v>7</v>
      </c>
      <c r="AA44" s="76">
        <f t="shared" si="53"/>
        <v>6</v>
      </c>
      <c r="AB44" s="76">
        <f t="shared" ref="AB44:AY44" si="54">ROUND(SUM($BB31:$BY31)*AB$41,0)</f>
        <v>5</v>
      </c>
      <c r="AC44" s="76">
        <f t="shared" si="54"/>
        <v>5</v>
      </c>
      <c r="AD44" s="76">
        <f t="shared" si="54"/>
        <v>5</v>
      </c>
      <c r="AE44" s="76">
        <f t="shared" si="54"/>
        <v>7</v>
      </c>
      <c r="AF44" s="76">
        <f t="shared" si="54"/>
        <v>8</v>
      </c>
      <c r="AG44" s="76">
        <f t="shared" si="54"/>
        <v>8</v>
      </c>
      <c r="AH44" s="76">
        <f t="shared" si="54"/>
        <v>8</v>
      </c>
      <c r="AI44" s="76">
        <f t="shared" si="54"/>
        <v>8</v>
      </c>
      <c r="AJ44" s="76">
        <f t="shared" si="54"/>
        <v>9</v>
      </c>
      <c r="AK44" s="76">
        <f t="shared" si="54"/>
        <v>7</v>
      </c>
      <c r="AL44" s="76">
        <f t="shared" si="54"/>
        <v>8</v>
      </c>
      <c r="AM44" s="76">
        <f t="shared" si="54"/>
        <v>7</v>
      </c>
      <c r="AN44" s="76">
        <f t="shared" si="54"/>
        <v>8</v>
      </c>
      <c r="AO44" s="76">
        <f t="shared" si="54"/>
        <v>8</v>
      </c>
      <c r="AP44" s="76">
        <f t="shared" si="54"/>
        <v>8</v>
      </c>
      <c r="AQ44" s="76">
        <f t="shared" si="54"/>
        <v>8</v>
      </c>
      <c r="AR44" s="76">
        <f t="shared" si="54"/>
        <v>8</v>
      </c>
      <c r="AS44" s="76">
        <f t="shared" si="54"/>
        <v>8</v>
      </c>
      <c r="AT44" s="76">
        <f t="shared" si="54"/>
        <v>8</v>
      </c>
      <c r="AU44" s="76">
        <f t="shared" si="54"/>
        <v>9</v>
      </c>
      <c r="AV44" s="76">
        <f t="shared" si="54"/>
        <v>9</v>
      </c>
      <c r="AW44" s="76">
        <f t="shared" si="54"/>
        <v>7</v>
      </c>
      <c r="AX44" s="76">
        <f t="shared" si="54"/>
        <v>4</v>
      </c>
      <c r="AY44" s="76">
        <f t="shared" si="54"/>
        <v>4</v>
      </c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</row>
    <row r="45" ht="12.75" customHeight="1">
      <c r="A45" s="79"/>
      <c r="B45" s="76"/>
      <c r="C45" s="76" t="s">
        <v>83</v>
      </c>
      <c r="D45" s="76">
        <f t="shared" ref="D45:O45" si="55">ROUND(SUM($D32:$AA32)*D$41,0)</f>
        <v>0</v>
      </c>
      <c r="E45" s="76">
        <f t="shared" si="55"/>
        <v>0</v>
      </c>
      <c r="F45" s="76">
        <f t="shared" si="55"/>
        <v>0</v>
      </c>
      <c r="G45" s="76">
        <f t="shared" si="55"/>
        <v>115</v>
      </c>
      <c r="H45" s="76">
        <f t="shared" si="55"/>
        <v>173</v>
      </c>
      <c r="I45" s="76">
        <f t="shared" si="55"/>
        <v>173</v>
      </c>
      <c r="J45" s="76">
        <f t="shared" si="55"/>
        <v>202</v>
      </c>
      <c r="K45" s="76">
        <f t="shared" si="55"/>
        <v>202</v>
      </c>
      <c r="L45" s="76">
        <f t="shared" si="55"/>
        <v>202</v>
      </c>
      <c r="M45" s="76">
        <f t="shared" si="55"/>
        <v>202</v>
      </c>
      <c r="N45" s="76">
        <f t="shared" si="55"/>
        <v>144</v>
      </c>
      <c r="O45" s="76">
        <f t="shared" si="55"/>
        <v>86</v>
      </c>
      <c r="P45" s="76">
        <f t="shared" ref="P45:AA45" si="56">ROUND(SUM($AC32:$AZ32)*P$41,0)</f>
        <v>126</v>
      </c>
      <c r="Q45" s="76">
        <f t="shared" si="56"/>
        <v>126</v>
      </c>
      <c r="R45" s="76">
        <f t="shared" si="56"/>
        <v>126</v>
      </c>
      <c r="S45" s="76">
        <f t="shared" si="56"/>
        <v>126</v>
      </c>
      <c r="T45" s="76">
        <f t="shared" si="56"/>
        <v>151</v>
      </c>
      <c r="U45" s="76">
        <f t="shared" si="56"/>
        <v>151</v>
      </c>
      <c r="V45" s="76">
        <f t="shared" si="56"/>
        <v>151</v>
      </c>
      <c r="W45" s="76">
        <f t="shared" si="56"/>
        <v>151</v>
      </c>
      <c r="X45" s="76">
        <f t="shared" si="56"/>
        <v>176</v>
      </c>
      <c r="Y45" s="76">
        <f t="shared" si="56"/>
        <v>126</v>
      </c>
      <c r="Z45" s="76">
        <f t="shared" si="56"/>
        <v>151</v>
      </c>
      <c r="AA45" s="76">
        <f t="shared" si="56"/>
        <v>126</v>
      </c>
      <c r="AB45" s="76">
        <f t="shared" ref="AB45:AY45" si="57">ROUND(SUM($BB32:$BY32)*AB$41,0)</f>
        <v>106</v>
      </c>
      <c r="AC45" s="76">
        <f t="shared" si="57"/>
        <v>106</v>
      </c>
      <c r="AD45" s="76">
        <f t="shared" si="57"/>
        <v>106</v>
      </c>
      <c r="AE45" s="76">
        <f t="shared" si="57"/>
        <v>133</v>
      </c>
      <c r="AF45" s="76">
        <f t="shared" si="57"/>
        <v>160</v>
      </c>
      <c r="AG45" s="76">
        <f t="shared" si="57"/>
        <v>160</v>
      </c>
      <c r="AH45" s="76">
        <f t="shared" si="57"/>
        <v>160</v>
      </c>
      <c r="AI45" s="76">
        <f t="shared" si="57"/>
        <v>160</v>
      </c>
      <c r="AJ45" s="76">
        <f t="shared" si="57"/>
        <v>186</v>
      </c>
      <c r="AK45" s="76">
        <f t="shared" si="57"/>
        <v>133</v>
      </c>
      <c r="AL45" s="76">
        <f t="shared" si="57"/>
        <v>160</v>
      </c>
      <c r="AM45" s="76">
        <f t="shared" si="57"/>
        <v>133</v>
      </c>
      <c r="AN45" s="76">
        <f t="shared" si="57"/>
        <v>160</v>
      </c>
      <c r="AO45" s="76">
        <f t="shared" si="57"/>
        <v>160</v>
      </c>
      <c r="AP45" s="76">
        <f t="shared" si="57"/>
        <v>160</v>
      </c>
      <c r="AQ45" s="76">
        <f t="shared" si="57"/>
        <v>160</v>
      </c>
      <c r="AR45" s="76">
        <f t="shared" si="57"/>
        <v>160</v>
      </c>
      <c r="AS45" s="76">
        <f t="shared" si="57"/>
        <v>160</v>
      </c>
      <c r="AT45" s="76">
        <f t="shared" si="57"/>
        <v>160</v>
      </c>
      <c r="AU45" s="76">
        <f t="shared" si="57"/>
        <v>186</v>
      </c>
      <c r="AV45" s="76">
        <f t="shared" si="57"/>
        <v>186</v>
      </c>
      <c r="AW45" s="76">
        <f t="shared" si="57"/>
        <v>133</v>
      </c>
      <c r="AX45" s="76">
        <f t="shared" si="57"/>
        <v>80</v>
      </c>
      <c r="AY45" s="76">
        <f t="shared" si="57"/>
        <v>80</v>
      </c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</row>
    <row r="46" ht="12.75" customHeight="1">
      <c r="A46" s="79"/>
      <c r="B46" s="76"/>
      <c r="C46" s="76" t="s">
        <v>87</v>
      </c>
      <c r="D46" s="76">
        <f t="shared" ref="D46:O46" si="58">ROUND(SUM($D33:$AA33)*D$41,0)</f>
        <v>0</v>
      </c>
      <c r="E46" s="76">
        <f t="shared" si="58"/>
        <v>0</v>
      </c>
      <c r="F46" s="76">
        <f t="shared" si="58"/>
        <v>0</v>
      </c>
      <c r="G46" s="76">
        <f t="shared" si="58"/>
        <v>35</v>
      </c>
      <c r="H46" s="76">
        <f t="shared" si="58"/>
        <v>53</v>
      </c>
      <c r="I46" s="76">
        <f t="shared" si="58"/>
        <v>53</v>
      </c>
      <c r="J46" s="76">
        <f t="shared" si="58"/>
        <v>62</v>
      </c>
      <c r="K46" s="76">
        <f t="shared" si="58"/>
        <v>62</v>
      </c>
      <c r="L46" s="76">
        <f t="shared" si="58"/>
        <v>62</v>
      </c>
      <c r="M46" s="76">
        <f t="shared" si="58"/>
        <v>62</v>
      </c>
      <c r="N46" s="76">
        <f t="shared" si="58"/>
        <v>44</v>
      </c>
      <c r="O46" s="76">
        <f t="shared" si="58"/>
        <v>26</v>
      </c>
      <c r="P46" s="76">
        <f t="shared" ref="P46:AA46" si="59">ROUND(SUM($AC33:$AZ33)*P$41,0)</f>
        <v>30</v>
      </c>
      <c r="Q46" s="76">
        <f t="shared" si="59"/>
        <v>30</v>
      </c>
      <c r="R46" s="76">
        <f t="shared" si="59"/>
        <v>30</v>
      </c>
      <c r="S46" s="76">
        <f t="shared" si="59"/>
        <v>30</v>
      </c>
      <c r="T46" s="76">
        <f t="shared" si="59"/>
        <v>36</v>
      </c>
      <c r="U46" s="76">
        <f t="shared" si="59"/>
        <v>36</v>
      </c>
      <c r="V46" s="76">
        <f t="shared" si="59"/>
        <v>36</v>
      </c>
      <c r="W46" s="76">
        <f t="shared" si="59"/>
        <v>36</v>
      </c>
      <c r="X46" s="76">
        <f t="shared" si="59"/>
        <v>42</v>
      </c>
      <c r="Y46" s="76">
        <f t="shared" si="59"/>
        <v>30</v>
      </c>
      <c r="Z46" s="76">
        <f t="shared" si="59"/>
        <v>36</v>
      </c>
      <c r="AA46" s="76">
        <f t="shared" si="59"/>
        <v>30</v>
      </c>
      <c r="AB46" s="76">
        <f t="shared" ref="AB46:AY46" si="60">ROUND(SUM($BB33:$BY33)*AB$41,0)</f>
        <v>34</v>
      </c>
      <c r="AC46" s="76">
        <f t="shared" si="60"/>
        <v>34</v>
      </c>
      <c r="AD46" s="76">
        <f t="shared" si="60"/>
        <v>34</v>
      </c>
      <c r="AE46" s="76">
        <f t="shared" si="60"/>
        <v>43</v>
      </c>
      <c r="AF46" s="76">
        <f t="shared" si="60"/>
        <v>51</v>
      </c>
      <c r="AG46" s="76">
        <f t="shared" si="60"/>
        <v>51</v>
      </c>
      <c r="AH46" s="76">
        <f t="shared" si="60"/>
        <v>51</v>
      </c>
      <c r="AI46" s="76">
        <f t="shared" si="60"/>
        <v>51</v>
      </c>
      <c r="AJ46" s="76">
        <f t="shared" si="60"/>
        <v>60</v>
      </c>
      <c r="AK46" s="76">
        <f t="shared" si="60"/>
        <v>43</v>
      </c>
      <c r="AL46" s="76">
        <f t="shared" si="60"/>
        <v>51</v>
      </c>
      <c r="AM46" s="76">
        <f t="shared" si="60"/>
        <v>43</v>
      </c>
      <c r="AN46" s="76">
        <f t="shared" si="60"/>
        <v>51</v>
      </c>
      <c r="AO46" s="76">
        <f t="shared" si="60"/>
        <v>51</v>
      </c>
      <c r="AP46" s="76">
        <f t="shared" si="60"/>
        <v>51</v>
      </c>
      <c r="AQ46" s="76">
        <f t="shared" si="60"/>
        <v>51</v>
      </c>
      <c r="AR46" s="76">
        <f t="shared" si="60"/>
        <v>51</v>
      </c>
      <c r="AS46" s="76">
        <f t="shared" si="60"/>
        <v>51</v>
      </c>
      <c r="AT46" s="76">
        <f t="shared" si="60"/>
        <v>51</v>
      </c>
      <c r="AU46" s="76">
        <f t="shared" si="60"/>
        <v>60</v>
      </c>
      <c r="AV46" s="76">
        <f t="shared" si="60"/>
        <v>60</v>
      </c>
      <c r="AW46" s="76">
        <f t="shared" si="60"/>
        <v>43</v>
      </c>
      <c r="AX46" s="76">
        <f t="shared" si="60"/>
        <v>26</v>
      </c>
      <c r="AY46" s="76">
        <f t="shared" si="60"/>
        <v>26</v>
      </c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</row>
    <row r="47" ht="12.75" customHeight="1">
      <c r="A47" s="79"/>
      <c r="B47" s="76"/>
      <c r="C47" s="76"/>
      <c r="D47" s="76">
        <f t="shared" ref="D47:O47" si="61">ROUND(SUM($D34:$AA34)*D$41,0)</f>
        <v>0</v>
      </c>
      <c r="E47" s="76">
        <f t="shared" si="61"/>
        <v>0</v>
      </c>
      <c r="F47" s="76">
        <f t="shared" si="61"/>
        <v>0</v>
      </c>
      <c r="G47" s="76">
        <f t="shared" si="61"/>
        <v>0</v>
      </c>
      <c r="H47" s="76">
        <f t="shared" si="61"/>
        <v>0</v>
      </c>
      <c r="I47" s="76">
        <f t="shared" si="61"/>
        <v>0</v>
      </c>
      <c r="J47" s="76">
        <f t="shared" si="61"/>
        <v>0</v>
      </c>
      <c r="K47" s="76">
        <f t="shared" si="61"/>
        <v>0</v>
      </c>
      <c r="L47" s="76">
        <f t="shared" si="61"/>
        <v>0</v>
      </c>
      <c r="M47" s="76">
        <f t="shared" si="61"/>
        <v>0</v>
      </c>
      <c r="N47" s="76">
        <f t="shared" si="61"/>
        <v>0</v>
      </c>
      <c r="O47" s="76">
        <f t="shared" si="61"/>
        <v>0</v>
      </c>
      <c r="P47" s="76">
        <f t="shared" ref="P47:AA47" si="62">ROUND(SUM($AC34:$AZ34)*P$41,0)</f>
        <v>0</v>
      </c>
      <c r="Q47" s="76">
        <f t="shared" si="62"/>
        <v>0</v>
      </c>
      <c r="R47" s="76">
        <f t="shared" si="62"/>
        <v>0</v>
      </c>
      <c r="S47" s="76">
        <f t="shared" si="62"/>
        <v>0</v>
      </c>
      <c r="T47" s="76">
        <f t="shared" si="62"/>
        <v>0</v>
      </c>
      <c r="U47" s="76">
        <f t="shared" si="62"/>
        <v>0</v>
      </c>
      <c r="V47" s="76">
        <f t="shared" si="62"/>
        <v>0</v>
      </c>
      <c r="W47" s="76">
        <f t="shared" si="62"/>
        <v>0</v>
      </c>
      <c r="X47" s="76">
        <f t="shared" si="62"/>
        <v>0</v>
      </c>
      <c r="Y47" s="76">
        <f t="shared" si="62"/>
        <v>0</v>
      </c>
      <c r="Z47" s="76">
        <f t="shared" si="62"/>
        <v>0</v>
      </c>
      <c r="AA47" s="76">
        <f t="shared" si="62"/>
        <v>0</v>
      </c>
      <c r="AB47" s="76">
        <f t="shared" ref="AB47:AY47" si="63">ROUND(SUM($BB34:$BY34)*AB$41,0)</f>
        <v>0</v>
      </c>
      <c r="AC47" s="76">
        <f t="shared" si="63"/>
        <v>0</v>
      </c>
      <c r="AD47" s="76">
        <f t="shared" si="63"/>
        <v>0</v>
      </c>
      <c r="AE47" s="76">
        <f t="shared" si="63"/>
        <v>0</v>
      </c>
      <c r="AF47" s="76">
        <f t="shared" si="63"/>
        <v>0</v>
      </c>
      <c r="AG47" s="76">
        <f t="shared" si="63"/>
        <v>0</v>
      </c>
      <c r="AH47" s="76">
        <f t="shared" si="63"/>
        <v>0</v>
      </c>
      <c r="AI47" s="76">
        <f t="shared" si="63"/>
        <v>0</v>
      </c>
      <c r="AJ47" s="76">
        <f t="shared" si="63"/>
        <v>0</v>
      </c>
      <c r="AK47" s="76">
        <f t="shared" si="63"/>
        <v>0</v>
      </c>
      <c r="AL47" s="76">
        <f t="shared" si="63"/>
        <v>0</v>
      </c>
      <c r="AM47" s="76">
        <f t="shared" si="63"/>
        <v>0</v>
      </c>
      <c r="AN47" s="76">
        <f t="shared" si="63"/>
        <v>0</v>
      </c>
      <c r="AO47" s="76">
        <f t="shared" si="63"/>
        <v>0</v>
      </c>
      <c r="AP47" s="76">
        <f t="shared" si="63"/>
        <v>0</v>
      </c>
      <c r="AQ47" s="76">
        <f t="shared" si="63"/>
        <v>0</v>
      </c>
      <c r="AR47" s="76">
        <f t="shared" si="63"/>
        <v>0</v>
      </c>
      <c r="AS47" s="76">
        <f t="shared" si="63"/>
        <v>0</v>
      </c>
      <c r="AT47" s="76">
        <f t="shared" si="63"/>
        <v>0</v>
      </c>
      <c r="AU47" s="76">
        <f t="shared" si="63"/>
        <v>0</v>
      </c>
      <c r="AV47" s="76">
        <f t="shared" si="63"/>
        <v>0</v>
      </c>
      <c r="AW47" s="76">
        <f t="shared" si="63"/>
        <v>0</v>
      </c>
      <c r="AX47" s="76">
        <f t="shared" si="63"/>
        <v>0</v>
      </c>
      <c r="AY47" s="76">
        <f t="shared" si="63"/>
        <v>0</v>
      </c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</row>
    <row r="48" ht="12.75" customHeight="1">
      <c r="A48" s="79"/>
      <c r="B48" s="76"/>
      <c r="C48" s="93" t="s">
        <v>161</v>
      </c>
      <c r="D48" s="93">
        <f t="shared" ref="D48:AY48" si="64">SUM(D42:D47)</f>
        <v>0</v>
      </c>
      <c r="E48" s="93">
        <f t="shared" si="64"/>
        <v>0</v>
      </c>
      <c r="F48" s="93">
        <f t="shared" si="64"/>
        <v>0</v>
      </c>
      <c r="G48" s="93">
        <f t="shared" si="64"/>
        <v>214</v>
      </c>
      <c r="H48" s="93">
        <f t="shared" si="64"/>
        <v>322</v>
      </c>
      <c r="I48" s="93">
        <f t="shared" si="64"/>
        <v>322</v>
      </c>
      <c r="J48" s="93">
        <f t="shared" si="64"/>
        <v>376</v>
      </c>
      <c r="K48" s="93">
        <f t="shared" si="64"/>
        <v>376</v>
      </c>
      <c r="L48" s="93">
        <f t="shared" si="64"/>
        <v>376</v>
      </c>
      <c r="M48" s="93">
        <f t="shared" si="64"/>
        <v>376</v>
      </c>
      <c r="N48" s="93">
        <f t="shared" si="64"/>
        <v>268</v>
      </c>
      <c r="O48" s="93">
        <f t="shared" si="64"/>
        <v>160</v>
      </c>
      <c r="P48" s="93">
        <f t="shared" si="64"/>
        <v>216</v>
      </c>
      <c r="Q48" s="93">
        <f t="shared" si="64"/>
        <v>216</v>
      </c>
      <c r="R48" s="93">
        <f t="shared" si="64"/>
        <v>216</v>
      </c>
      <c r="S48" s="93">
        <f t="shared" si="64"/>
        <v>216</v>
      </c>
      <c r="T48" s="93">
        <f t="shared" si="64"/>
        <v>259</v>
      </c>
      <c r="U48" s="93">
        <f t="shared" si="64"/>
        <v>259</v>
      </c>
      <c r="V48" s="93">
        <f t="shared" si="64"/>
        <v>259</v>
      </c>
      <c r="W48" s="93">
        <f t="shared" si="64"/>
        <v>259</v>
      </c>
      <c r="X48" s="93">
        <f t="shared" si="64"/>
        <v>302</v>
      </c>
      <c r="Y48" s="93">
        <f t="shared" si="64"/>
        <v>216</v>
      </c>
      <c r="Z48" s="93">
        <f t="shared" si="64"/>
        <v>259</v>
      </c>
      <c r="AA48" s="93">
        <f t="shared" si="64"/>
        <v>216</v>
      </c>
      <c r="AB48" s="93">
        <f t="shared" si="64"/>
        <v>189</v>
      </c>
      <c r="AC48" s="93">
        <f t="shared" si="64"/>
        <v>189</v>
      </c>
      <c r="AD48" s="93">
        <f t="shared" si="64"/>
        <v>189</v>
      </c>
      <c r="AE48" s="93">
        <f t="shared" si="64"/>
        <v>238</v>
      </c>
      <c r="AF48" s="93">
        <f t="shared" si="64"/>
        <v>284</v>
      </c>
      <c r="AG48" s="93">
        <f t="shared" si="64"/>
        <v>284</v>
      </c>
      <c r="AH48" s="93">
        <f t="shared" si="64"/>
        <v>284</v>
      </c>
      <c r="AI48" s="93">
        <f t="shared" si="64"/>
        <v>284</v>
      </c>
      <c r="AJ48" s="93">
        <f t="shared" si="64"/>
        <v>331</v>
      </c>
      <c r="AK48" s="93">
        <f t="shared" si="64"/>
        <v>238</v>
      </c>
      <c r="AL48" s="93">
        <f t="shared" si="64"/>
        <v>284</v>
      </c>
      <c r="AM48" s="93">
        <f t="shared" si="64"/>
        <v>238</v>
      </c>
      <c r="AN48" s="93">
        <f t="shared" si="64"/>
        <v>284</v>
      </c>
      <c r="AO48" s="93">
        <f t="shared" si="64"/>
        <v>284</v>
      </c>
      <c r="AP48" s="93">
        <f t="shared" si="64"/>
        <v>284</v>
      </c>
      <c r="AQ48" s="93">
        <f t="shared" si="64"/>
        <v>284</v>
      </c>
      <c r="AR48" s="93">
        <f t="shared" si="64"/>
        <v>284</v>
      </c>
      <c r="AS48" s="93">
        <f t="shared" si="64"/>
        <v>284</v>
      </c>
      <c r="AT48" s="93">
        <f t="shared" si="64"/>
        <v>284</v>
      </c>
      <c r="AU48" s="93">
        <f t="shared" si="64"/>
        <v>331</v>
      </c>
      <c r="AV48" s="93">
        <f t="shared" si="64"/>
        <v>331</v>
      </c>
      <c r="AW48" s="93">
        <f t="shared" si="64"/>
        <v>238</v>
      </c>
      <c r="AX48" s="93">
        <f t="shared" si="64"/>
        <v>143</v>
      </c>
      <c r="AY48" s="93">
        <f t="shared" si="64"/>
        <v>143</v>
      </c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</row>
    <row r="49" ht="12.75" customHeight="1">
      <c r="A49" s="79"/>
      <c r="B49" s="76"/>
      <c r="C49" s="106" t="s">
        <v>162</v>
      </c>
      <c r="D49" s="94">
        <f t="shared" ref="D49:AY49" si="65">D48/24</f>
        <v>0</v>
      </c>
      <c r="E49" s="94">
        <f t="shared" si="65"/>
        <v>0</v>
      </c>
      <c r="F49" s="94">
        <f t="shared" si="65"/>
        <v>0</v>
      </c>
      <c r="G49" s="94">
        <f t="shared" si="65"/>
        <v>8.916666667</v>
      </c>
      <c r="H49" s="94">
        <f t="shared" si="65"/>
        <v>13.41666667</v>
      </c>
      <c r="I49" s="94">
        <f t="shared" si="65"/>
        <v>13.41666667</v>
      </c>
      <c r="J49" s="94">
        <f t="shared" si="65"/>
        <v>15.66666667</v>
      </c>
      <c r="K49" s="94">
        <f t="shared" si="65"/>
        <v>15.66666667</v>
      </c>
      <c r="L49" s="94">
        <f t="shared" si="65"/>
        <v>15.66666667</v>
      </c>
      <c r="M49" s="94">
        <f t="shared" si="65"/>
        <v>15.66666667</v>
      </c>
      <c r="N49" s="94">
        <f t="shared" si="65"/>
        <v>11.16666667</v>
      </c>
      <c r="O49" s="94">
        <f t="shared" si="65"/>
        <v>6.666666667</v>
      </c>
      <c r="P49" s="94">
        <f t="shared" si="65"/>
        <v>9</v>
      </c>
      <c r="Q49" s="94">
        <f t="shared" si="65"/>
        <v>9</v>
      </c>
      <c r="R49" s="94">
        <f t="shared" si="65"/>
        <v>9</v>
      </c>
      <c r="S49" s="94">
        <f t="shared" si="65"/>
        <v>9</v>
      </c>
      <c r="T49" s="94">
        <f t="shared" si="65"/>
        <v>10.79166667</v>
      </c>
      <c r="U49" s="94">
        <f t="shared" si="65"/>
        <v>10.79166667</v>
      </c>
      <c r="V49" s="94">
        <f t="shared" si="65"/>
        <v>10.79166667</v>
      </c>
      <c r="W49" s="94">
        <f t="shared" si="65"/>
        <v>10.79166667</v>
      </c>
      <c r="X49" s="94">
        <f t="shared" si="65"/>
        <v>12.58333333</v>
      </c>
      <c r="Y49" s="94">
        <f t="shared" si="65"/>
        <v>9</v>
      </c>
      <c r="Z49" s="94">
        <f t="shared" si="65"/>
        <v>10.79166667</v>
      </c>
      <c r="AA49" s="94">
        <f t="shared" si="65"/>
        <v>9</v>
      </c>
      <c r="AB49" s="94">
        <f t="shared" si="65"/>
        <v>7.875</v>
      </c>
      <c r="AC49" s="94">
        <f t="shared" si="65"/>
        <v>7.875</v>
      </c>
      <c r="AD49" s="94">
        <f t="shared" si="65"/>
        <v>7.875</v>
      </c>
      <c r="AE49" s="94">
        <f t="shared" si="65"/>
        <v>9.916666667</v>
      </c>
      <c r="AF49" s="94">
        <f t="shared" si="65"/>
        <v>11.83333333</v>
      </c>
      <c r="AG49" s="94">
        <f t="shared" si="65"/>
        <v>11.83333333</v>
      </c>
      <c r="AH49" s="94">
        <f t="shared" si="65"/>
        <v>11.83333333</v>
      </c>
      <c r="AI49" s="94">
        <f t="shared" si="65"/>
        <v>11.83333333</v>
      </c>
      <c r="AJ49" s="94">
        <f t="shared" si="65"/>
        <v>13.79166667</v>
      </c>
      <c r="AK49" s="94">
        <f t="shared" si="65"/>
        <v>9.916666667</v>
      </c>
      <c r="AL49" s="94">
        <f t="shared" si="65"/>
        <v>11.83333333</v>
      </c>
      <c r="AM49" s="94">
        <f t="shared" si="65"/>
        <v>9.916666667</v>
      </c>
      <c r="AN49" s="94">
        <f t="shared" si="65"/>
        <v>11.83333333</v>
      </c>
      <c r="AO49" s="94">
        <f t="shared" si="65"/>
        <v>11.83333333</v>
      </c>
      <c r="AP49" s="94">
        <f t="shared" si="65"/>
        <v>11.83333333</v>
      </c>
      <c r="AQ49" s="94">
        <f t="shared" si="65"/>
        <v>11.83333333</v>
      </c>
      <c r="AR49" s="94">
        <f t="shared" si="65"/>
        <v>11.83333333</v>
      </c>
      <c r="AS49" s="94">
        <f t="shared" si="65"/>
        <v>11.83333333</v>
      </c>
      <c r="AT49" s="94">
        <f t="shared" si="65"/>
        <v>11.83333333</v>
      </c>
      <c r="AU49" s="94">
        <f t="shared" si="65"/>
        <v>13.79166667</v>
      </c>
      <c r="AV49" s="94">
        <f t="shared" si="65"/>
        <v>13.79166667</v>
      </c>
      <c r="AW49" s="94">
        <f t="shared" si="65"/>
        <v>9.916666667</v>
      </c>
      <c r="AX49" s="94">
        <f t="shared" si="65"/>
        <v>5.958333333</v>
      </c>
      <c r="AY49" s="94">
        <f t="shared" si="65"/>
        <v>5.958333333</v>
      </c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</row>
    <row r="50" ht="12.75" customHeight="1">
      <c r="A50" s="79"/>
      <c r="B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</row>
    <row r="51" ht="12.75" customHeight="1">
      <c r="A51" s="79"/>
      <c r="B51" s="76"/>
      <c r="C51" s="80" t="s">
        <v>163</v>
      </c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</row>
    <row r="52" ht="12.75" customHeight="1">
      <c r="A52" s="79"/>
      <c r="B52" s="76"/>
      <c r="C52" s="76"/>
      <c r="D52" s="99">
        <v>2025.0</v>
      </c>
      <c r="P52" s="99">
        <v>2026.0</v>
      </c>
      <c r="AB52" s="100">
        <v>2027.0</v>
      </c>
      <c r="AN52" s="100">
        <v>2028.0</v>
      </c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</row>
    <row r="53" ht="12.75" customHeight="1">
      <c r="A53" s="79"/>
      <c r="B53" s="76"/>
      <c r="C53" s="82" t="s">
        <v>159</v>
      </c>
      <c r="D53" s="102">
        <v>1.0</v>
      </c>
      <c r="E53" s="102">
        <v>2.0</v>
      </c>
      <c r="F53" s="102">
        <v>3.0</v>
      </c>
      <c r="G53" s="102">
        <v>4.0</v>
      </c>
      <c r="H53" s="102">
        <v>5.0</v>
      </c>
      <c r="I53" s="102">
        <v>6.0</v>
      </c>
      <c r="J53" s="102">
        <v>7.0</v>
      </c>
      <c r="K53" s="102">
        <v>8.0</v>
      </c>
      <c r="L53" s="102">
        <v>9.0</v>
      </c>
      <c r="M53" s="102">
        <v>10.0</v>
      </c>
      <c r="N53" s="102">
        <v>11.0</v>
      </c>
      <c r="O53" s="102">
        <v>12.0</v>
      </c>
      <c r="P53" s="103">
        <v>1.0</v>
      </c>
      <c r="Q53" s="103">
        <v>2.0</v>
      </c>
      <c r="R53" s="103">
        <v>3.0</v>
      </c>
      <c r="S53" s="103">
        <v>4.0</v>
      </c>
      <c r="T53" s="103">
        <v>5.0</v>
      </c>
      <c r="U53" s="103">
        <v>6.0</v>
      </c>
      <c r="V53" s="103">
        <v>7.0</v>
      </c>
      <c r="W53" s="103">
        <v>8.0</v>
      </c>
      <c r="X53" s="103">
        <v>9.0</v>
      </c>
      <c r="Y53" s="103">
        <v>10.0</v>
      </c>
      <c r="Z53" s="103">
        <v>11.0</v>
      </c>
      <c r="AA53" s="103">
        <v>12.0</v>
      </c>
      <c r="AB53" s="104">
        <v>1.0</v>
      </c>
      <c r="AC53" s="104">
        <v>2.0</v>
      </c>
      <c r="AD53" s="104">
        <v>3.0</v>
      </c>
      <c r="AE53" s="104">
        <v>4.0</v>
      </c>
      <c r="AF53" s="104">
        <v>5.0</v>
      </c>
      <c r="AG53" s="104">
        <v>6.0</v>
      </c>
      <c r="AH53" s="104">
        <v>7.0</v>
      </c>
      <c r="AI53" s="104">
        <v>8.0</v>
      </c>
      <c r="AJ53" s="104">
        <v>9.0</v>
      </c>
      <c r="AK53" s="104">
        <v>10.0</v>
      </c>
      <c r="AL53" s="104">
        <v>11.0</v>
      </c>
      <c r="AM53" s="104">
        <v>12.0</v>
      </c>
      <c r="AN53" s="105">
        <v>1.0</v>
      </c>
      <c r="AO53" s="105">
        <v>2.0</v>
      </c>
      <c r="AP53" s="105">
        <v>3.0</v>
      </c>
      <c r="AQ53" s="105">
        <v>4.0</v>
      </c>
      <c r="AR53" s="105">
        <v>5.0</v>
      </c>
      <c r="AS53" s="105">
        <v>6.0</v>
      </c>
      <c r="AT53" s="105">
        <v>7.0</v>
      </c>
      <c r="AU53" s="105">
        <v>8.0</v>
      </c>
      <c r="AV53" s="105">
        <v>9.0</v>
      </c>
      <c r="AW53" s="105">
        <v>10.0</v>
      </c>
      <c r="AX53" s="105">
        <v>11.0</v>
      </c>
      <c r="AY53" s="105">
        <v>12.0</v>
      </c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</row>
    <row r="54" ht="12.75" customHeight="1">
      <c r="A54" s="79"/>
      <c r="B54" s="76"/>
      <c r="C54" s="82" t="s">
        <v>164</v>
      </c>
      <c r="D54" s="107">
        <f t="shared" ref="D54:AY54" si="66">D55/24</f>
        <v>0</v>
      </c>
      <c r="E54" s="107">
        <f t="shared" si="66"/>
        <v>0</v>
      </c>
      <c r="F54" s="107">
        <f t="shared" si="66"/>
        <v>0</v>
      </c>
      <c r="G54" s="107">
        <f t="shared" si="66"/>
        <v>147.8395833</v>
      </c>
      <c r="H54" s="107">
        <f t="shared" si="66"/>
        <v>222.44375</v>
      </c>
      <c r="I54" s="107">
        <f t="shared" si="66"/>
        <v>222.44375</v>
      </c>
      <c r="J54" s="107">
        <f t="shared" si="66"/>
        <v>259.9083333</v>
      </c>
      <c r="K54" s="107">
        <f t="shared" si="66"/>
        <v>259.9083333</v>
      </c>
      <c r="L54" s="107">
        <f t="shared" si="66"/>
        <v>259.9083333</v>
      </c>
      <c r="M54" s="107">
        <f t="shared" si="66"/>
        <v>259.9083333</v>
      </c>
      <c r="N54" s="107">
        <f t="shared" si="66"/>
        <v>185.1416667</v>
      </c>
      <c r="O54" s="107">
        <f t="shared" si="66"/>
        <v>110.375</v>
      </c>
      <c r="P54" s="107">
        <f t="shared" si="66"/>
        <v>153.508625</v>
      </c>
      <c r="Q54" s="107">
        <f t="shared" si="66"/>
        <v>153.508625</v>
      </c>
      <c r="R54" s="107">
        <f t="shared" si="66"/>
        <v>153.508625</v>
      </c>
      <c r="S54" s="107">
        <f t="shared" si="66"/>
        <v>153.508625</v>
      </c>
      <c r="T54" s="107">
        <f t="shared" si="66"/>
        <v>184.022375</v>
      </c>
      <c r="U54" s="107">
        <f t="shared" si="66"/>
        <v>184.022375</v>
      </c>
      <c r="V54" s="107">
        <f t="shared" si="66"/>
        <v>184.022375</v>
      </c>
      <c r="W54" s="107">
        <f t="shared" si="66"/>
        <v>184.022375</v>
      </c>
      <c r="X54" s="107">
        <f t="shared" si="66"/>
        <v>214.536125</v>
      </c>
      <c r="Y54" s="107">
        <f t="shared" si="66"/>
        <v>153.508625</v>
      </c>
      <c r="Z54" s="107">
        <f t="shared" si="66"/>
        <v>184.022375</v>
      </c>
      <c r="AA54" s="107">
        <f t="shared" si="66"/>
        <v>153.508625</v>
      </c>
      <c r="AB54" s="107">
        <f t="shared" si="66"/>
        <v>141.1218021</v>
      </c>
      <c r="AC54" s="107">
        <f t="shared" si="66"/>
        <v>141.1218021</v>
      </c>
      <c r="AD54" s="107">
        <f t="shared" si="66"/>
        <v>141.1218021</v>
      </c>
      <c r="AE54" s="107">
        <f t="shared" si="66"/>
        <v>177.764846</v>
      </c>
      <c r="AF54" s="107">
        <f t="shared" si="66"/>
        <v>212.3413452</v>
      </c>
      <c r="AG54" s="107">
        <f t="shared" si="66"/>
        <v>212.3413452</v>
      </c>
      <c r="AH54" s="107">
        <f t="shared" si="66"/>
        <v>212.3413452</v>
      </c>
      <c r="AI54" s="107">
        <f t="shared" si="66"/>
        <v>212.3413452</v>
      </c>
      <c r="AJ54" s="107">
        <f t="shared" si="66"/>
        <v>247.5698558</v>
      </c>
      <c r="AK54" s="107">
        <f t="shared" si="66"/>
        <v>177.764846</v>
      </c>
      <c r="AL54" s="107">
        <f t="shared" si="66"/>
        <v>212.3413452</v>
      </c>
      <c r="AM54" s="107">
        <f t="shared" si="66"/>
        <v>177.764846</v>
      </c>
      <c r="AN54" s="107">
        <f t="shared" si="66"/>
        <v>218.7115856</v>
      </c>
      <c r="AO54" s="107">
        <f t="shared" si="66"/>
        <v>218.7115856</v>
      </c>
      <c r="AP54" s="107">
        <f t="shared" si="66"/>
        <v>218.7115856</v>
      </c>
      <c r="AQ54" s="107">
        <f t="shared" si="66"/>
        <v>218.7115856</v>
      </c>
      <c r="AR54" s="107">
        <f t="shared" si="66"/>
        <v>218.7115856</v>
      </c>
      <c r="AS54" s="107">
        <f t="shared" si="66"/>
        <v>218.7115856</v>
      </c>
      <c r="AT54" s="107">
        <f t="shared" si="66"/>
        <v>218.7115856</v>
      </c>
      <c r="AU54" s="107">
        <f t="shared" si="66"/>
        <v>254.9969515</v>
      </c>
      <c r="AV54" s="107">
        <f t="shared" si="66"/>
        <v>254.9969515</v>
      </c>
      <c r="AW54" s="107">
        <f t="shared" si="66"/>
        <v>183.0977914</v>
      </c>
      <c r="AX54" s="107">
        <f t="shared" si="66"/>
        <v>110.1013513</v>
      </c>
      <c r="AY54" s="107">
        <f t="shared" si="66"/>
        <v>110.1013513</v>
      </c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</row>
    <row r="55" ht="12.75" customHeight="1">
      <c r="A55" s="79"/>
      <c r="B55" s="76"/>
      <c r="C55" s="82" t="s">
        <v>165</v>
      </c>
      <c r="D55" s="108">
        <f t="shared" ref="D55:AY55" si="67">SUM(D56:D61)</f>
        <v>0</v>
      </c>
      <c r="E55" s="108">
        <f t="shared" si="67"/>
        <v>0</v>
      </c>
      <c r="F55" s="108">
        <f t="shared" si="67"/>
        <v>0</v>
      </c>
      <c r="G55" s="108">
        <f t="shared" si="67"/>
        <v>3548.15</v>
      </c>
      <c r="H55" s="108">
        <f t="shared" si="67"/>
        <v>5338.65</v>
      </c>
      <c r="I55" s="108">
        <f t="shared" si="67"/>
        <v>5338.65</v>
      </c>
      <c r="J55" s="108">
        <f t="shared" si="67"/>
        <v>6237.8</v>
      </c>
      <c r="K55" s="108">
        <f t="shared" si="67"/>
        <v>6237.8</v>
      </c>
      <c r="L55" s="108">
        <f t="shared" si="67"/>
        <v>6237.8</v>
      </c>
      <c r="M55" s="108">
        <f t="shared" si="67"/>
        <v>6237.8</v>
      </c>
      <c r="N55" s="108">
        <f t="shared" si="67"/>
        <v>4443.4</v>
      </c>
      <c r="O55" s="108">
        <f t="shared" si="67"/>
        <v>2649</v>
      </c>
      <c r="P55" s="109">
        <f t="shared" si="67"/>
        <v>3684.207</v>
      </c>
      <c r="Q55" s="109">
        <f t="shared" si="67"/>
        <v>3684.207</v>
      </c>
      <c r="R55" s="109">
        <f t="shared" si="67"/>
        <v>3684.207</v>
      </c>
      <c r="S55" s="109">
        <f t="shared" si="67"/>
        <v>3684.207</v>
      </c>
      <c r="T55" s="109">
        <f t="shared" si="67"/>
        <v>4416.537</v>
      </c>
      <c r="U55" s="109">
        <f t="shared" si="67"/>
        <v>4416.537</v>
      </c>
      <c r="V55" s="109">
        <f t="shared" si="67"/>
        <v>4416.537</v>
      </c>
      <c r="W55" s="109">
        <f t="shared" si="67"/>
        <v>4416.537</v>
      </c>
      <c r="X55" s="109">
        <f t="shared" si="67"/>
        <v>5148.867</v>
      </c>
      <c r="Y55" s="109">
        <f t="shared" si="67"/>
        <v>3684.207</v>
      </c>
      <c r="Z55" s="109">
        <f t="shared" si="67"/>
        <v>4416.537</v>
      </c>
      <c r="AA55" s="109">
        <f t="shared" si="67"/>
        <v>3684.207</v>
      </c>
      <c r="AB55" s="109">
        <f t="shared" si="67"/>
        <v>3386.92325</v>
      </c>
      <c r="AC55" s="109">
        <f t="shared" si="67"/>
        <v>3386.92325</v>
      </c>
      <c r="AD55" s="109">
        <f t="shared" si="67"/>
        <v>3386.92325</v>
      </c>
      <c r="AE55" s="109">
        <f t="shared" si="67"/>
        <v>4266.356305</v>
      </c>
      <c r="AF55" s="109">
        <f t="shared" si="67"/>
        <v>5096.192285</v>
      </c>
      <c r="AG55" s="109">
        <f t="shared" si="67"/>
        <v>5096.192285</v>
      </c>
      <c r="AH55" s="109">
        <f t="shared" si="67"/>
        <v>5096.192285</v>
      </c>
      <c r="AI55" s="109">
        <f t="shared" si="67"/>
        <v>5096.192285</v>
      </c>
      <c r="AJ55" s="109">
        <f t="shared" si="67"/>
        <v>5941.67654</v>
      </c>
      <c r="AK55" s="109">
        <f t="shared" si="67"/>
        <v>4266.356305</v>
      </c>
      <c r="AL55" s="109">
        <f t="shared" si="67"/>
        <v>5096.192285</v>
      </c>
      <c r="AM55" s="109">
        <f t="shared" si="67"/>
        <v>4266.356305</v>
      </c>
      <c r="AN55" s="109">
        <f t="shared" si="67"/>
        <v>5249.078054</v>
      </c>
      <c r="AO55" s="109">
        <f t="shared" si="67"/>
        <v>5249.078054</v>
      </c>
      <c r="AP55" s="109">
        <f t="shared" si="67"/>
        <v>5249.078054</v>
      </c>
      <c r="AQ55" s="109">
        <f t="shared" si="67"/>
        <v>5249.078054</v>
      </c>
      <c r="AR55" s="109">
        <f t="shared" si="67"/>
        <v>5249.078054</v>
      </c>
      <c r="AS55" s="109">
        <f t="shared" si="67"/>
        <v>5249.078054</v>
      </c>
      <c r="AT55" s="109">
        <f t="shared" si="67"/>
        <v>5249.078054</v>
      </c>
      <c r="AU55" s="109">
        <f t="shared" si="67"/>
        <v>6119.926836</v>
      </c>
      <c r="AV55" s="109">
        <f t="shared" si="67"/>
        <v>6119.926836</v>
      </c>
      <c r="AW55" s="109">
        <f t="shared" si="67"/>
        <v>4394.346994</v>
      </c>
      <c r="AX55" s="109">
        <f t="shared" si="67"/>
        <v>2642.432431</v>
      </c>
      <c r="AY55" s="109">
        <f t="shared" si="67"/>
        <v>2642.432431</v>
      </c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</row>
    <row r="56" ht="12.75" customHeight="1">
      <c r="A56" s="79"/>
      <c r="B56" s="158">
        <v>5.5</v>
      </c>
      <c r="C56" s="76" t="s">
        <v>148</v>
      </c>
      <c r="D56" s="91">
        <f t="shared" ref="D56:O56" si="68">D42*$B56</f>
        <v>0</v>
      </c>
      <c r="E56" s="91">
        <f t="shared" si="68"/>
        <v>0</v>
      </c>
      <c r="F56" s="91">
        <f t="shared" si="68"/>
        <v>0</v>
      </c>
      <c r="G56" s="91">
        <f t="shared" si="68"/>
        <v>0</v>
      </c>
      <c r="H56" s="91">
        <f t="shared" si="68"/>
        <v>0</v>
      </c>
      <c r="I56" s="91">
        <f t="shared" si="68"/>
        <v>0</v>
      </c>
      <c r="J56" s="91">
        <f t="shared" si="68"/>
        <v>0</v>
      </c>
      <c r="K56" s="91">
        <f t="shared" si="68"/>
        <v>0</v>
      </c>
      <c r="L56" s="91">
        <f t="shared" si="68"/>
        <v>0</v>
      </c>
      <c r="M56" s="91">
        <f t="shared" si="68"/>
        <v>0</v>
      </c>
      <c r="N56" s="91">
        <f t="shared" si="68"/>
        <v>0</v>
      </c>
      <c r="O56" s="91">
        <f t="shared" si="68"/>
        <v>0</v>
      </c>
      <c r="P56" s="91">
        <f>P42*$B56*(1+inflation_vente)</f>
        <v>0</v>
      </c>
      <c r="Q56" s="91">
        <f>Q42*$B56*(1+inflation_vente)</f>
        <v>0</v>
      </c>
      <c r="R56" s="91">
        <f>R42*$B56*(1+inflation_vente)</f>
        <v>0</v>
      </c>
      <c r="S56" s="91">
        <f>S42*$B56*(1+inflation_vente)</f>
        <v>0</v>
      </c>
      <c r="T56" s="91">
        <f>T42*$B56*(1+inflation_vente)</f>
        <v>0</v>
      </c>
      <c r="U56" s="91">
        <f>U42*$B56*(1+inflation_vente)</f>
        <v>0</v>
      </c>
      <c r="V56" s="91">
        <f>V42*$B56*(1+inflation_vente)</f>
        <v>0</v>
      </c>
      <c r="W56" s="91">
        <f>W42*$B56*(1+inflation_vente)</f>
        <v>0</v>
      </c>
      <c r="X56" s="91">
        <f>X42*$B56*(1+inflation_vente)</f>
        <v>0</v>
      </c>
      <c r="Y56" s="91">
        <f>Y42*$B56*(1+inflation_vente)</f>
        <v>0</v>
      </c>
      <c r="Z56" s="91">
        <f>Z42*$B56*(1+inflation_vente)</f>
        <v>0</v>
      </c>
      <c r="AA56" s="91">
        <f>AA42*$B56*(1+inflation_vente)</f>
        <v>0</v>
      </c>
      <c r="AB56" s="91">
        <f>AB42*$B56*(1+inflation_vente)^2</f>
        <v>0</v>
      </c>
      <c r="AC56" s="91">
        <f>AC42*$B56*(1+inflation_vente)^2</f>
        <v>0</v>
      </c>
      <c r="AD56" s="91">
        <f>AD42*$B56*(1+inflation_vente)^2</f>
        <v>0</v>
      </c>
      <c r="AE56" s="91">
        <f>AE42*$B56*(1+inflation_vente)^2</f>
        <v>0</v>
      </c>
      <c r="AF56" s="91">
        <f>AF42*$B56*(1+inflation_vente)^2</f>
        <v>0</v>
      </c>
      <c r="AG56" s="91">
        <f>AG42*$B56*(1+inflation_vente)^2</f>
        <v>0</v>
      </c>
      <c r="AH56" s="91">
        <f>AH42*$B56*(1+inflation_vente)^2</f>
        <v>0</v>
      </c>
      <c r="AI56" s="91">
        <f>AI42*$B56*(1+inflation_vente)^2</f>
        <v>0</v>
      </c>
      <c r="AJ56" s="91">
        <f>AJ42*$B56*(1+inflation_vente)^2</f>
        <v>0</v>
      </c>
      <c r="AK56" s="91">
        <f>AK42*$B56*(1+inflation_vente)^2</f>
        <v>0</v>
      </c>
      <c r="AL56" s="91">
        <f>AL42*$B56*(1+inflation_vente)^2</f>
        <v>0</v>
      </c>
      <c r="AM56" s="91">
        <f>AM42*$B56*(1+inflation_vente)^2</f>
        <v>0</v>
      </c>
      <c r="AN56" s="91">
        <f>AN42*$B56*(1+inflation_vente)^3</f>
        <v>0</v>
      </c>
      <c r="AO56" s="91">
        <f>AO42*$B56*(1+inflation_vente)^3</f>
        <v>0</v>
      </c>
      <c r="AP56" s="91">
        <f>AP42*$B56*(1+inflation_vente)^3</f>
        <v>0</v>
      </c>
      <c r="AQ56" s="91">
        <f>AQ42*$B56*(1+inflation_vente)^3</f>
        <v>0</v>
      </c>
      <c r="AR56" s="91">
        <f>AR42*$B56*(1+inflation_vente)^3</f>
        <v>0</v>
      </c>
      <c r="AS56" s="91">
        <f>AS42*$B56*(1+inflation_vente)^3</f>
        <v>0</v>
      </c>
      <c r="AT56" s="91">
        <f>AT42*$B56*(1+inflation_vente)^3</f>
        <v>0</v>
      </c>
      <c r="AU56" s="91">
        <f>AU42*$B56*(1+inflation_vente)^3</f>
        <v>0</v>
      </c>
      <c r="AV56" s="91">
        <f>AV42*$B56*(1+inflation_vente)^3</f>
        <v>0</v>
      </c>
      <c r="AW56" s="91">
        <f>AW42*$B56*(1+inflation_vente)^3</f>
        <v>0</v>
      </c>
      <c r="AX56" s="91">
        <f>AX42*$B56*(1+inflation_vente)^3</f>
        <v>0</v>
      </c>
      <c r="AY56" s="91">
        <f>AY42*$B56*(1+inflation_vente)^3</f>
        <v>0</v>
      </c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</row>
    <row r="57" ht="12.75" customHeight="1">
      <c r="A57" s="79"/>
      <c r="B57" s="158">
        <v>10.1</v>
      </c>
      <c r="C57" s="76" t="s">
        <v>76</v>
      </c>
      <c r="D57" s="91">
        <f t="shared" ref="D57:O57" si="69">D43*$B57</f>
        <v>0</v>
      </c>
      <c r="E57" s="91">
        <f t="shared" si="69"/>
        <v>0</v>
      </c>
      <c r="F57" s="91">
        <f t="shared" si="69"/>
        <v>0</v>
      </c>
      <c r="G57" s="91">
        <f t="shared" si="69"/>
        <v>545.4</v>
      </c>
      <c r="H57" s="91">
        <f t="shared" si="69"/>
        <v>828.2</v>
      </c>
      <c r="I57" s="91">
        <f t="shared" si="69"/>
        <v>828.2</v>
      </c>
      <c r="J57" s="91">
        <f t="shared" si="69"/>
        <v>959.5</v>
      </c>
      <c r="K57" s="91">
        <f t="shared" si="69"/>
        <v>959.5</v>
      </c>
      <c r="L57" s="91">
        <f t="shared" si="69"/>
        <v>959.5</v>
      </c>
      <c r="M57" s="91">
        <f t="shared" si="69"/>
        <v>959.5</v>
      </c>
      <c r="N57" s="91">
        <f t="shared" si="69"/>
        <v>686.8</v>
      </c>
      <c r="O57" s="91">
        <f t="shared" si="69"/>
        <v>414.1</v>
      </c>
      <c r="P57" s="91">
        <f>P43*$B57*(1+inflation_vente)</f>
        <v>561.762</v>
      </c>
      <c r="Q57" s="91">
        <f>Q43*$B57*(1+inflation_vente)</f>
        <v>561.762</v>
      </c>
      <c r="R57" s="91">
        <f>R43*$B57*(1+inflation_vente)</f>
        <v>561.762</v>
      </c>
      <c r="S57" s="91">
        <f>S43*$B57*(1+inflation_vente)</f>
        <v>561.762</v>
      </c>
      <c r="T57" s="91">
        <f>T43*$B57*(1+inflation_vente)</f>
        <v>676.195</v>
      </c>
      <c r="U57" s="91">
        <f>U43*$B57*(1+inflation_vente)</f>
        <v>676.195</v>
      </c>
      <c r="V57" s="91">
        <f>V43*$B57*(1+inflation_vente)</f>
        <v>676.195</v>
      </c>
      <c r="W57" s="91">
        <f>W43*$B57*(1+inflation_vente)</f>
        <v>676.195</v>
      </c>
      <c r="X57" s="91">
        <f>X43*$B57*(1+inflation_vente)</f>
        <v>790.628</v>
      </c>
      <c r="Y57" s="91">
        <f>Y43*$B57*(1+inflation_vente)</f>
        <v>561.762</v>
      </c>
      <c r="Z57" s="91">
        <f>Z43*$B57*(1+inflation_vente)</f>
        <v>676.195</v>
      </c>
      <c r="AA57" s="91">
        <f>AA43*$B57*(1+inflation_vente)</f>
        <v>561.762</v>
      </c>
      <c r="AB57" s="91">
        <f>AB43*$B57*(1+inflation_vente)^2</f>
        <v>471.46396</v>
      </c>
      <c r="AC57" s="91">
        <f>AC43*$B57*(1+inflation_vente)^2</f>
        <v>471.46396</v>
      </c>
      <c r="AD57" s="91">
        <f>AD43*$B57*(1+inflation_vente)^2</f>
        <v>471.46396</v>
      </c>
      <c r="AE57" s="91">
        <f>AE43*$B57*(1+inflation_vente)^2</f>
        <v>589.32995</v>
      </c>
      <c r="AF57" s="91">
        <f>AF43*$B57*(1+inflation_vente)^2</f>
        <v>696.48085</v>
      </c>
      <c r="AG57" s="91">
        <f>AG43*$B57*(1+inflation_vente)^2</f>
        <v>696.48085</v>
      </c>
      <c r="AH57" s="91">
        <f>AH43*$B57*(1+inflation_vente)^2</f>
        <v>696.48085</v>
      </c>
      <c r="AI57" s="91">
        <f>AI43*$B57*(1+inflation_vente)^2</f>
        <v>696.48085</v>
      </c>
      <c r="AJ57" s="91">
        <f>AJ43*$B57*(1+inflation_vente)^2</f>
        <v>814.34684</v>
      </c>
      <c r="AK57" s="91">
        <f>AK43*$B57*(1+inflation_vente)^2</f>
        <v>589.32995</v>
      </c>
      <c r="AL57" s="91">
        <f>AL43*$B57*(1+inflation_vente)^2</f>
        <v>696.48085</v>
      </c>
      <c r="AM57" s="91">
        <f>AM43*$B57*(1+inflation_vente)^2</f>
        <v>589.32995</v>
      </c>
      <c r="AN57" s="91">
        <f>AN43*$B57*(1+inflation_vente)^3</f>
        <v>717.3752755</v>
      </c>
      <c r="AO57" s="91">
        <f>AO43*$B57*(1+inflation_vente)^3</f>
        <v>717.3752755</v>
      </c>
      <c r="AP57" s="91">
        <f>AP43*$B57*(1+inflation_vente)^3</f>
        <v>717.3752755</v>
      </c>
      <c r="AQ57" s="91">
        <f>AQ43*$B57*(1+inflation_vente)^3</f>
        <v>717.3752755</v>
      </c>
      <c r="AR57" s="91">
        <f>AR43*$B57*(1+inflation_vente)^3</f>
        <v>717.3752755</v>
      </c>
      <c r="AS57" s="91">
        <f>AS43*$B57*(1+inflation_vente)^3</f>
        <v>717.3752755</v>
      </c>
      <c r="AT57" s="91">
        <f>AT43*$B57*(1+inflation_vente)^3</f>
        <v>717.3752755</v>
      </c>
      <c r="AU57" s="91">
        <f>AU43*$B57*(1+inflation_vente)^3</f>
        <v>838.7772452</v>
      </c>
      <c r="AV57" s="91">
        <f>AV43*$B57*(1+inflation_vente)^3</f>
        <v>838.7772452</v>
      </c>
      <c r="AW57" s="91">
        <f>AW43*$B57*(1+inflation_vente)^3</f>
        <v>607.0098485</v>
      </c>
      <c r="AX57" s="91">
        <f>AX43*$B57*(1+inflation_vente)^3</f>
        <v>364.2059091</v>
      </c>
      <c r="AY57" s="91">
        <f>AY43*$B57*(1+inflation_vente)^3</f>
        <v>364.2059091</v>
      </c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</row>
    <row r="58" ht="12.75" customHeight="1">
      <c r="A58" s="79"/>
      <c r="B58" s="158">
        <v>14.0</v>
      </c>
      <c r="C58" s="76" t="s">
        <v>80</v>
      </c>
      <c r="D58" s="91">
        <f t="shared" ref="D58:O58" si="70">D44*$B58</f>
        <v>0</v>
      </c>
      <c r="E58" s="91">
        <f t="shared" si="70"/>
        <v>0</v>
      </c>
      <c r="F58" s="91">
        <f t="shared" si="70"/>
        <v>0</v>
      </c>
      <c r="G58" s="91">
        <f t="shared" si="70"/>
        <v>140</v>
      </c>
      <c r="H58" s="91">
        <f t="shared" si="70"/>
        <v>196</v>
      </c>
      <c r="I58" s="91">
        <f t="shared" si="70"/>
        <v>196</v>
      </c>
      <c r="J58" s="91">
        <f t="shared" si="70"/>
        <v>238</v>
      </c>
      <c r="K58" s="91">
        <f t="shared" si="70"/>
        <v>238</v>
      </c>
      <c r="L58" s="91">
        <f t="shared" si="70"/>
        <v>238</v>
      </c>
      <c r="M58" s="91">
        <f t="shared" si="70"/>
        <v>238</v>
      </c>
      <c r="N58" s="91">
        <f t="shared" si="70"/>
        <v>168</v>
      </c>
      <c r="O58" s="91">
        <f t="shared" si="70"/>
        <v>98</v>
      </c>
      <c r="P58" s="91">
        <f>P44*$B58*(1+inflation_vente)</f>
        <v>86.52</v>
      </c>
      <c r="Q58" s="91">
        <f>Q44*$B58*(1+inflation_vente)</f>
        <v>86.52</v>
      </c>
      <c r="R58" s="91">
        <f>R44*$B58*(1+inflation_vente)</f>
        <v>86.52</v>
      </c>
      <c r="S58" s="91">
        <f>S44*$B58*(1+inflation_vente)</f>
        <v>86.52</v>
      </c>
      <c r="T58" s="91">
        <f>T44*$B58*(1+inflation_vente)</f>
        <v>100.94</v>
      </c>
      <c r="U58" s="91">
        <f>U44*$B58*(1+inflation_vente)</f>
        <v>100.94</v>
      </c>
      <c r="V58" s="91">
        <f>V44*$B58*(1+inflation_vente)</f>
        <v>100.94</v>
      </c>
      <c r="W58" s="91">
        <f>W44*$B58*(1+inflation_vente)</f>
        <v>100.94</v>
      </c>
      <c r="X58" s="91">
        <f>X44*$B58*(1+inflation_vente)</f>
        <v>115.36</v>
      </c>
      <c r="Y58" s="91">
        <f>Y44*$B58*(1+inflation_vente)</f>
        <v>86.52</v>
      </c>
      <c r="Z58" s="91">
        <f>Z44*$B58*(1+inflation_vente)</f>
        <v>100.94</v>
      </c>
      <c r="AA58" s="91">
        <f>AA44*$B58*(1+inflation_vente)</f>
        <v>86.52</v>
      </c>
      <c r="AB58" s="91">
        <f>AB44*$B58*(1+inflation_vente)^2</f>
        <v>74.263</v>
      </c>
      <c r="AC58" s="91">
        <f>AC44*$B58*(1+inflation_vente)^2</f>
        <v>74.263</v>
      </c>
      <c r="AD58" s="91">
        <f>AD44*$B58*(1+inflation_vente)^2</f>
        <v>74.263</v>
      </c>
      <c r="AE58" s="91">
        <f>AE44*$B58*(1+inflation_vente)^2</f>
        <v>103.9682</v>
      </c>
      <c r="AF58" s="91">
        <f>AF44*$B58*(1+inflation_vente)^2</f>
        <v>118.8208</v>
      </c>
      <c r="AG58" s="91">
        <f>AG44*$B58*(1+inflation_vente)^2</f>
        <v>118.8208</v>
      </c>
      <c r="AH58" s="91">
        <f>AH44*$B58*(1+inflation_vente)^2</f>
        <v>118.8208</v>
      </c>
      <c r="AI58" s="91">
        <f>AI44*$B58*(1+inflation_vente)^2</f>
        <v>118.8208</v>
      </c>
      <c r="AJ58" s="91">
        <f>AJ44*$B58*(1+inflation_vente)^2</f>
        <v>133.6734</v>
      </c>
      <c r="AK58" s="91">
        <f>AK44*$B58*(1+inflation_vente)^2</f>
        <v>103.9682</v>
      </c>
      <c r="AL58" s="91">
        <f>AL44*$B58*(1+inflation_vente)^2</f>
        <v>118.8208</v>
      </c>
      <c r="AM58" s="91">
        <f>AM44*$B58*(1+inflation_vente)^2</f>
        <v>103.9682</v>
      </c>
      <c r="AN58" s="91">
        <f>AN44*$B58*(1+inflation_vente)^3</f>
        <v>122.385424</v>
      </c>
      <c r="AO58" s="91">
        <f>AO44*$B58*(1+inflation_vente)^3</f>
        <v>122.385424</v>
      </c>
      <c r="AP58" s="91">
        <f>AP44*$B58*(1+inflation_vente)^3</f>
        <v>122.385424</v>
      </c>
      <c r="AQ58" s="91">
        <f>AQ44*$B58*(1+inflation_vente)^3</f>
        <v>122.385424</v>
      </c>
      <c r="AR58" s="91">
        <f>AR44*$B58*(1+inflation_vente)^3</f>
        <v>122.385424</v>
      </c>
      <c r="AS58" s="91">
        <f>AS44*$B58*(1+inflation_vente)^3</f>
        <v>122.385424</v>
      </c>
      <c r="AT58" s="91">
        <f>AT44*$B58*(1+inflation_vente)^3</f>
        <v>122.385424</v>
      </c>
      <c r="AU58" s="91">
        <f>AU44*$B58*(1+inflation_vente)^3</f>
        <v>137.683602</v>
      </c>
      <c r="AV58" s="91">
        <f>AV44*$B58*(1+inflation_vente)^3</f>
        <v>137.683602</v>
      </c>
      <c r="AW58" s="91">
        <f>AW44*$B58*(1+inflation_vente)^3</f>
        <v>107.087246</v>
      </c>
      <c r="AX58" s="91">
        <f>AX44*$B58*(1+inflation_vente)^3</f>
        <v>61.192712</v>
      </c>
      <c r="AY58" s="91">
        <f>AY44*$B58*(1+inflation_vente)^3</f>
        <v>61.192712</v>
      </c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</row>
    <row r="59" ht="12.75" customHeight="1">
      <c r="A59" s="79"/>
      <c r="B59" s="158">
        <v>18.0</v>
      </c>
      <c r="C59" s="76" t="s">
        <v>83</v>
      </c>
      <c r="D59" s="91">
        <f t="shared" ref="D59:O59" si="71">D45*$B59</f>
        <v>0</v>
      </c>
      <c r="E59" s="91">
        <f t="shared" si="71"/>
        <v>0</v>
      </c>
      <c r="F59" s="91">
        <f t="shared" si="71"/>
        <v>0</v>
      </c>
      <c r="G59" s="91">
        <f t="shared" si="71"/>
        <v>2070</v>
      </c>
      <c r="H59" s="91">
        <f t="shared" si="71"/>
        <v>3114</v>
      </c>
      <c r="I59" s="91">
        <f t="shared" si="71"/>
        <v>3114</v>
      </c>
      <c r="J59" s="91">
        <f t="shared" si="71"/>
        <v>3636</v>
      </c>
      <c r="K59" s="91">
        <f t="shared" si="71"/>
        <v>3636</v>
      </c>
      <c r="L59" s="91">
        <f t="shared" si="71"/>
        <v>3636</v>
      </c>
      <c r="M59" s="91">
        <f t="shared" si="71"/>
        <v>3636</v>
      </c>
      <c r="N59" s="91">
        <f t="shared" si="71"/>
        <v>2592</v>
      </c>
      <c r="O59" s="91">
        <f t="shared" si="71"/>
        <v>1548</v>
      </c>
      <c r="P59" s="91">
        <f>P45*$B59*(1+inflation_vente)</f>
        <v>2336.04</v>
      </c>
      <c r="Q59" s="91">
        <f>Q45*$B59*(1+inflation_vente)</f>
        <v>2336.04</v>
      </c>
      <c r="R59" s="91">
        <f>R45*$B59*(1+inflation_vente)</f>
        <v>2336.04</v>
      </c>
      <c r="S59" s="91">
        <f>S45*$B59*(1+inflation_vente)</f>
        <v>2336.04</v>
      </c>
      <c r="T59" s="91">
        <f>T45*$B59*(1+inflation_vente)</f>
        <v>2799.54</v>
      </c>
      <c r="U59" s="91">
        <f>U45*$B59*(1+inflation_vente)</f>
        <v>2799.54</v>
      </c>
      <c r="V59" s="91">
        <f>V45*$B59*(1+inflation_vente)</f>
        <v>2799.54</v>
      </c>
      <c r="W59" s="91">
        <f>W45*$B59*(1+inflation_vente)</f>
        <v>2799.54</v>
      </c>
      <c r="X59" s="91">
        <f>X45*$B59*(1+inflation_vente)</f>
        <v>3263.04</v>
      </c>
      <c r="Y59" s="91">
        <f>Y45*$B59*(1+inflation_vente)</f>
        <v>2336.04</v>
      </c>
      <c r="Z59" s="91">
        <f>Z45*$B59*(1+inflation_vente)</f>
        <v>2799.54</v>
      </c>
      <c r="AA59" s="91">
        <f>AA45*$B59*(1+inflation_vente)</f>
        <v>2336.04</v>
      </c>
      <c r="AB59" s="91">
        <f>AB45*$B59*(1+inflation_vente)^2</f>
        <v>2024.1972</v>
      </c>
      <c r="AC59" s="91">
        <f>AC45*$B59*(1+inflation_vente)^2</f>
        <v>2024.1972</v>
      </c>
      <c r="AD59" s="91">
        <f>AD45*$B59*(1+inflation_vente)^2</f>
        <v>2024.1972</v>
      </c>
      <c r="AE59" s="91">
        <f>AE45*$B59*(1+inflation_vente)^2</f>
        <v>2539.7946</v>
      </c>
      <c r="AF59" s="91">
        <f>AF45*$B59*(1+inflation_vente)^2</f>
        <v>3055.392</v>
      </c>
      <c r="AG59" s="91">
        <f>AG45*$B59*(1+inflation_vente)^2</f>
        <v>3055.392</v>
      </c>
      <c r="AH59" s="91">
        <f>AH45*$B59*(1+inflation_vente)^2</f>
        <v>3055.392</v>
      </c>
      <c r="AI59" s="91">
        <f>AI45*$B59*(1+inflation_vente)^2</f>
        <v>3055.392</v>
      </c>
      <c r="AJ59" s="91">
        <f>AJ45*$B59*(1+inflation_vente)^2</f>
        <v>3551.8932</v>
      </c>
      <c r="AK59" s="91">
        <f>AK45*$B59*(1+inflation_vente)^2</f>
        <v>2539.7946</v>
      </c>
      <c r="AL59" s="91">
        <f>AL45*$B59*(1+inflation_vente)^2</f>
        <v>3055.392</v>
      </c>
      <c r="AM59" s="91">
        <f>AM45*$B59*(1+inflation_vente)^2</f>
        <v>2539.7946</v>
      </c>
      <c r="AN59" s="91">
        <f>AN45*$B59*(1+inflation_vente)^3</f>
        <v>3147.05376</v>
      </c>
      <c r="AO59" s="91">
        <f>AO45*$B59*(1+inflation_vente)^3</f>
        <v>3147.05376</v>
      </c>
      <c r="AP59" s="91">
        <f>AP45*$B59*(1+inflation_vente)^3</f>
        <v>3147.05376</v>
      </c>
      <c r="AQ59" s="91">
        <f>AQ45*$B59*(1+inflation_vente)^3</f>
        <v>3147.05376</v>
      </c>
      <c r="AR59" s="91">
        <f>AR45*$B59*(1+inflation_vente)^3</f>
        <v>3147.05376</v>
      </c>
      <c r="AS59" s="91">
        <f>AS45*$B59*(1+inflation_vente)^3</f>
        <v>3147.05376</v>
      </c>
      <c r="AT59" s="91">
        <f>AT45*$B59*(1+inflation_vente)^3</f>
        <v>3147.05376</v>
      </c>
      <c r="AU59" s="91">
        <f>AU45*$B59*(1+inflation_vente)^3</f>
        <v>3658.449996</v>
      </c>
      <c r="AV59" s="91">
        <f>AV45*$B59*(1+inflation_vente)^3</f>
        <v>3658.449996</v>
      </c>
      <c r="AW59" s="91">
        <f>AW45*$B59*(1+inflation_vente)^3</f>
        <v>2615.988438</v>
      </c>
      <c r="AX59" s="91">
        <f>AX45*$B59*(1+inflation_vente)^3</f>
        <v>1573.52688</v>
      </c>
      <c r="AY59" s="91">
        <f>AY45*$B59*(1+inflation_vente)^3</f>
        <v>1573.52688</v>
      </c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</row>
    <row r="60" ht="12.75" customHeight="1">
      <c r="A60" s="79"/>
      <c r="B60" s="158">
        <v>22.65</v>
      </c>
      <c r="C60" s="76" t="s">
        <v>87</v>
      </c>
      <c r="D60" s="91">
        <f t="shared" ref="D60:O60" si="72">D46*$B60</f>
        <v>0</v>
      </c>
      <c r="E60" s="91">
        <f t="shared" si="72"/>
        <v>0</v>
      </c>
      <c r="F60" s="91">
        <f t="shared" si="72"/>
        <v>0</v>
      </c>
      <c r="G60" s="91">
        <f t="shared" si="72"/>
        <v>792.75</v>
      </c>
      <c r="H60" s="91">
        <f t="shared" si="72"/>
        <v>1200.45</v>
      </c>
      <c r="I60" s="91">
        <f t="shared" si="72"/>
        <v>1200.45</v>
      </c>
      <c r="J60" s="91">
        <f t="shared" si="72"/>
        <v>1404.3</v>
      </c>
      <c r="K60" s="91">
        <f t="shared" si="72"/>
        <v>1404.3</v>
      </c>
      <c r="L60" s="91">
        <f t="shared" si="72"/>
        <v>1404.3</v>
      </c>
      <c r="M60" s="91">
        <f t="shared" si="72"/>
        <v>1404.3</v>
      </c>
      <c r="N60" s="91">
        <f t="shared" si="72"/>
        <v>996.6</v>
      </c>
      <c r="O60" s="91">
        <f t="shared" si="72"/>
        <v>588.9</v>
      </c>
      <c r="P60" s="91">
        <f>P46*$B60*(1+inflation_vente)</f>
        <v>699.885</v>
      </c>
      <c r="Q60" s="91">
        <f>Q46*$B60*(1+inflation_vente)</f>
        <v>699.885</v>
      </c>
      <c r="R60" s="91">
        <f>R46*$B60*(1+inflation_vente)</f>
        <v>699.885</v>
      </c>
      <c r="S60" s="91">
        <f>S46*$B60*(1+inflation_vente)</f>
        <v>699.885</v>
      </c>
      <c r="T60" s="91">
        <f>T46*$B60*(1+inflation_vente)</f>
        <v>839.862</v>
      </c>
      <c r="U60" s="91">
        <f>U46*$B60*(1+inflation_vente)</f>
        <v>839.862</v>
      </c>
      <c r="V60" s="91">
        <f>V46*$B60*(1+inflation_vente)</f>
        <v>839.862</v>
      </c>
      <c r="W60" s="91">
        <f>W46*$B60*(1+inflation_vente)</f>
        <v>839.862</v>
      </c>
      <c r="X60" s="91">
        <f>X46*$B60*(1+inflation_vente)</f>
        <v>979.839</v>
      </c>
      <c r="Y60" s="91">
        <f>Y46*$B60*(1+inflation_vente)</f>
        <v>699.885</v>
      </c>
      <c r="Z60" s="91">
        <f>Z46*$B60*(1+inflation_vente)</f>
        <v>839.862</v>
      </c>
      <c r="AA60" s="91">
        <f>AA46*$B60*(1+inflation_vente)</f>
        <v>699.885</v>
      </c>
      <c r="AB60" s="91">
        <f>AB46*$B60*(1+inflation_vente)^2</f>
        <v>816.99909</v>
      </c>
      <c r="AC60" s="91">
        <f>AC46*$B60*(1+inflation_vente)^2</f>
        <v>816.99909</v>
      </c>
      <c r="AD60" s="91">
        <f>AD46*$B60*(1+inflation_vente)^2</f>
        <v>816.99909</v>
      </c>
      <c r="AE60" s="91">
        <f>AE46*$B60*(1+inflation_vente)^2</f>
        <v>1033.263555</v>
      </c>
      <c r="AF60" s="91">
        <f>AF46*$B60*(1+inflation_vente)^2</f>
        <v>1225.498635</v>
      </c>
      <c r="AG60" s="91">
        <f>AG46*$B60*(1+inflation_vente)^2</f>
        <v>1225.498635</v>
      </c>
      <c r="AH60" s="91">
        <f>AH46*$B60*(1+inflation_vente)^2</f>
        <v>1225.498635</v>
      </c>
      <c r="AI60" s="91">
        <f>AI46*$B60*(1+inflation_vente)^2</f>
        <v>1225.498635</v>
      </c>
      <c r="AJ60" s="91">
        <f>AJ46*$B60*(1+inflation_vente)^2</f>
        <v>1441.7631</v>
      </c>
      <c r="AK60" s="91">
        <f>AK46*$B60*(1+inflation_vente)^2</f>
        <v>1033.263555</v>
      </c>
      <c r="AL60" s="91">
        <f>AL46*$B60*(1+inflation_vente)^2</f>
        <v>1225.498635</v>
      </c>
      <c r="AM60" s="91">
        <f>AM46*$B60*(1+inflation_vente)^2</f>
        <v>1033.263555</v>
      </c>
      <c r="AN60" s="91">
        <f>AN46*$B60*(1+inflation_vente)^3</f>
        <v>1262.263594</v>
      </c>
      <c r="AO60" s="91">
        <f>AO46*$B60*(1+inflation_vente)^3</f>
        <v>1262.263594</v>
      </c>
      <c r="AP60" s="91">
        <f>AP46*$B60*(1+inflation_vente)^3</f>
        <v>1262.263594</v>
      </c>
      <c r="AQ60" s="91">
        <f>AQ46*$B60*(1+inflation_vente)^3</f>
        <v>1262.263594</v>
      </c>
      <c r="AR60" s="91">
        <f>AR46*$B60*(1+inflation_vente)^3</f>
        <v>1262.263594</v>
      </c>
      <c r="AS60" s="91">
        <f>AS46*$B60*(1+inflation_vente)^3</f>
        <v>1262.263594</v>
      </c>
      <c r="AT60" s="91">
        <f>AT46*$B60*(1+inflation_vente)^3</f>
        <v>1262.263594</v>
      </c>
      <c r="AU60" s="91">
        <f>AU46*$B60*(1+inflation_vente)^3</f>
        <v>1485.015993</v>
      </c>
      <c r="AV60" s="91">
        <f>AV46*$B60*(1+inflation_vente)^3</f>
        <v>1485.015993</v>
      </c>
      <c r="AW60" s="91">
        <f>AW46*$B60*(1+inflation_vente)^3</f>
        <v>1064.261462</v>
      </c>
      <c r="AX60" s="91">
        <f>AX46*$B60*(1+inflation_vente)^3</f>
        <v>643.5069303</v>
      </c>
      <c r="AY60" s="91">
        <f>AY46*$B60*(1+inflation_vente)^3</f>
        <v>643.5069303</v>
      </c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</row>
    <row r="61" ht="12.75" customHeight="1">
      <c r="A61" s="79"/>
      <c r="B61" s="110"/>
      <c r="C61" s="76"/>
      <c r="D61" s="91">
        <f t="shared" ref="D61:O61" si="73">D47*$B61</f>
        <v>0</v>
      </c>
      <c r="E61" s="91">
        <f t="shared" si="73"/>
        <v>0</v>
      </c>
      <c r="F61" s="91">
        <f t="shared" si="73"/>
        <v>0</v>
      </c>
      <c r="G61" s="91">
        <f t="shared" si="73"/>
        <v>0</v>
      </c>
      <c r="H61" s="91">
        <f t="shared" si="73"/>
        <v>0</v>
      </c>
      <c r="I61" s="91">
        <f t="shared" si="73"/>
        <v>0</v>
      </c>
      <c r="J61" s="91">
        <f t="shared" si="73"/>
        <v>0</v>
      </c>
      <c r="K61" s="91">
        <f t="shared" si="73"/>
        <v>0</v>
      </c>
      <c r="L61" s="91">
        <f t="shared" si="73"/>
        <v>0</v>
      </c>
      <c r="M61" s="91">
        <f t="shared" si="73"/>
        <v>0</v>
      </c>
      <c r="N61" s="91">
        <f t="shared" si="73"/>
        <v>0</v>
      </c>
      <c r="O61" s="91">
        <f t="shared" si="73"/>
        <v>0</v>
      </c>
      <c r="P61" s="91">
        <f>P47*$B61*(1+inflation_vente)</f>
        <v>0</v>
      </c>
      <c r="Q61" s="91">
        <f>Q47*$B61*(1+inflation_vente)</f>
        <v>0</v>
      </c>
      <c r="R61" s="91">
        <f>R47*$B61*(1+inflation_vente)</f>
        <v>0</v>
      </c>
      <c r="S61" s="91">
        <f>S47*$B61*(1+inflation_vente)</f>
        <v>0</v>
      </c>
      <c r="T61" s="91">
        <f>T47*$B61*(1+inflation_vente)</f>
        <v>0</v>
      </c>
      <c r="U61" s="91">
        <f>U47*$B61*(1+inflation_vente)</f>
        <v>0</v>
      </c>
      <c r="V61" s="91">
        <f>V47*$B61*(1+inflation_vente)</f>
        <v>0</v>
      </c>
      <c r="W61" s="91">
        <f>W47*$B61*(1+inflation_vente)</f>
        <v>0</v>
      </c>
      <c r="X61" s="91">
        <f>X47*$B61*(1+inflation_vente)</f>
        <v>0</v>
      </c>
      <c r="Y61" s="91">
        <f>Y47*$B61*(1+inflation_vente)</f>
        <v>0</v>
      </c>
      <c r="Z61" s="91">
        <f>Z47*$B61*(1+inflation_vente)</f>
        <v>0</v>
      </c>
      <c r="AA61" s="91">
        <f>AA47*$B61*(1+inflation_vente)</f>
        <v>0</v>
      </c>
      <c r="AB61" s="91">
        <f>AB47*$B61*(1+inflation_vente)^2</f>
        <v>0</v>
      </c>
      <c r="AC61" s="91">
        <f>AC47*$B61*(1+inflation_vente)^2</f>
        <v>0</v>
      </c>
      <c r="AD61" s="91">
        <f>AD47*$B61*(1+inflation_vente)^2</f>
        <v>0</v>
      </c>
      <c r="AE61" s="91">
        <f>AE47*$B61*(1+inflation_vente)^2</f>
        <v>0</v>
      </c>
      <c r="AF61" s="91">
        <f>AF47*$B61*(1+inflation_vente)^2</f>
        <v>0</v>
      </c>
      <c r="AG61" s="91">
        <f>AG47*$B61*(1+inflation_vente)^2</f>
        <v>0</v>
      </c>
      <c r="AH61" s="91">
        <f>AH47*$B61*(1+inflation_vente)^2</f>
        <v>0</v>
      </c>
      <c r="AI61" s="91">
        <f>AI47*$B61*(1+inflation_vente)^2</f>
        <v>0</v>
      </c>
      <c r="AJ61" s="91">
        <f>AJ47*$B61*(1+inflation_vente)^2</f>
        <v>0</v>
      </c>
      <c r="AK61" s="91">
        <f>AK47*$B61*(1+inflation_vente)^2</f>
        <v>0</v>
      </c>
      <c r="AL61" s="91">
        <f>AL47*$B61*(1+inflation_vente)^2</f>
        <v>0</v>
      </c>
      <c r="AM61" s="91">
        <f>AM47*$B61*(1+inflation_vente)^2</f>
        <v>0</v>
      </c>
      <c r="AN61" s="91">
        <f>AN47*$B61*(1+inflation_vente)^3</f>
        <v>0</v>
      </c>
      <c r="AO61" s="91">
        <f>AO47*$B61*(1+inflation_vente)^3</f>
        <v>0</v>
      </c>
      <c r="AP61" s="91">
        <f>AP47*$B61*(1+inflation_vente)^3</f>
        <v>0</v>
      </c>
      <c r="AQ61" s="91">
        <f>AQ47*$B61*(1+inflation_vente)^3</f>
        <v>0</v>
      </c>
      <c r="AR61" s="91">
        <f>AR47*$B61*(1+inflation_vente)^3</f>
        <v>0</v>
      </c>
      <c r="AS61" s="91">
        <f>AS47*$B61*(1+inflation_vente)^3</f>
        <v>0</v>
      </c>
      <c r="AT61" s="91">
        <f>AT47*$B61*(1+inflation_vente)^3</f>
        <v>0</v>
      </c>
      <c r="AU61" s="91">
        <f>AU47*$B61*(1+inflation_vente)^3</f>
        <v>0</v>
      </c>
      <c r="AV61" s="91">
        <f>AV47*$B61*(1+inflation_vente)^3</f>
        <v>0</v>
      </c>
      <c r="AW61" s="91">
        <f>AW47*$B61*(1+inflation_vente)^3</f>
        <v>0</v>
      </c>
      <c r="AX61" s="91">
        <f>AX47*$B61*(1+inflation_vente)^3</f>
        <v>0</v>
      </c>
      <c r="AY61" s="91">
        <f>AY47*$B61*(1+inflation_vente)^3</f>
        <v>0</v>
      </c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</row>
    <row r="62" ht="12.0" customHeight="1">
      <c r="A62" s="79"/>
      <c r="B62" s="111"/>
      <c r="C62" s="111"/>
      <c r="D62" s="112">
        <f>SUM(D55:O55)</f>
        <v>46269.05</v>
      </c>
      <c r="P62" s="113">
        <f>SUM(P55:AA55)</f>
        <v>49336.794</v>
      </c>
      <c r="AB62" s="113">
        <f>SUM(AB55:AM55)</f>
        <v>54382.47663</v>
      </c>
      <c r="AN62" s="113">
        <f>SUM(AN55:AY55)</f>
        <v>58662.6119</v>
      </c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</row>
    <row r="63" ht="12.75" customHeight="1">
      <c r="A63" s="79"/>
      <c r="B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</row>
    <row r="64" ht="12.75" customHeight="1">
      <c r="A64" s="79"/>
      <c r="B64" s="76"/>
      <c r="C64" s="76"/>
      <c r="D64" s="76"/>
      <c r="E64" s="76"/>
      <c r="F64" s="76"/>
      <c r="G64" s="76"/>
      <c r="H64" s="114" t="s">
        <v>166</v>
      </c>
      <c r="L64" s="76"/>
      <c r="M64" s="76"/>
      <c r="N64" s="76"/>
      <c r="O64" s="115">
        <f>(P62-D62)/D62</f>
        <v>0.06630229062</v>
      </c>
      <c r="Q64" s="76"/>
      <c r="R64" s="76"/>
      <c r="S64" s="76"/>
      <c r="T64" s="114" t="s">
        <v>167</v>
      </c>
      <c r="X64" s="76"/>
      <c r="Y64" s="76"/>
      <c r="Z64" s="76"/>
      <c r="AA64" s="115">
        <f>(AB62-P62)/P62</f>
        <v>0.1022701765</v>
      </c>
      <c r="AC64" s="76"/>
      <c r="AD64" s="76"/>
      <c r="AE64" s="76"/>
      <c r="AF64" s="114" t="s">
        <v>168</v>
      </c>
      <c r="AJ64" s="76"/>
      <c r="AK64" s="76"/>
      <c r="AL64" s="76"/>
      <c r="AM64" s="115">
        <f>(AN62-AB62)/AB62</f>
        <v>0.07870430954</v>
      </c>
      <c r="AO64" s="76"/>
      <c r="AP64" s="76"/>
      <c r="AQ64" s="76"/>
      <c r="AR64" s="114" t="s">
        <v>169</v>
      </c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</row>
    <row r="65" ht="12.75" customHeight="1">
      <c r="A65" s="79"/>
      <c r="B65" s="76"/>
      <c r="C65" s="76"/>
      <c r="D65" s="110"/>
      <c r="E65" s="76"/>
      <c r="F65" s="76"/>
      <c r="G65" s="76"/>
      <c r="H65" s="76"/>
      <c r="I65" s="76"/>
      <c r="J65" s="76"/>
      <c r="K65" s="76"/>
      <c r="L65" s="76"/>
      <c r="M65" s="76"/>
      <c r="N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</row>
    <row r="66" ht="12.75" customHeight="1">
      <c r="A66" s="79"/>
      <c r="B66" s="76"/>
      <c r="C66" s="76"/>
      <c r="D66" s="110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</row>
    <row r="67" ht="12.75" customHeight="1">
      <c r="A67" s="79"/>
      <c r="B67" s="76"/>
      <c r="C67" s="116" t="s">
        <v>170</v>
      </c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</row>
    <row r="68" ht="12.75" customHeight="1">
      <c r="A68" s="118"/>
      <c r="C68" s="119"/>
      <c r="D68" s="119"/>
      <c r="E68" s="119"/>
      <c r="F68" s="120">
        <v>2025.0</v>
      </c>
      <c r="G68" s="121"/>
      <c r="H68" s="120">
        <v>2026.0</v>
      </c>
      <c r="I68" s="121"/>
      <c r="J68" s="120">
        <v>2027.0</v>
      </c>
      <c r="K68" s="121"/>
      <c r="L68" s="120">
        <v>2028.0</v>
      </c>
      <c r="M68" s="121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</row>
    <row r="69" ht="12.75" customHeight="1">
      <c r="A69" s="118"/>
      <c r="C69" s="122" t="s">
        <v>171</v>
      </c>
      <c r="D69" s="123"/>
      <c r="E69" s="121"/>
      <c r="F69" s="124">
        <f>D62</f>
        <v>46269.05</v>
      </c>
      <c r="G69" s="121"/>
      <c r="H69" s="124">
        <f>P62</f>
        <v>49336.794</v>
      </c>
      <c r="I69" s="121"/>
      <c r="J69" s="124">
        <f>AB62</f>
        <v>54382.47663</v>
      </c>
      <c r="K69" s="121"/>
      <c r="L69" s="124">
        <f>AN62</f>
        <v>58662.6119</v>
      </c>
      <c r="M69" s="121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</row>
    <row r="70" ht="12.75" customHeight="1">
      <c r="A70" s="118"/>
      <c r="C70" s="122" t="s">
        <v>172</v>
      </c>
      <c r="D70" s="123"/>
      <c r="E70" s="121"/>
      <c r="F70" s="124">
        <f>F69/12</f>
        <v>3855.754167</v>
      </c>
      <c r="G70" s="121"/>
      <c r="H70" s="124">
        <f>H69/12</f>
        <v>4111.3995</v>
      </c>
      <c r="I70" s="121"/>
      <c r="J70" s="124">
        <f>J69/12</f>
        <v>4531.873053</v>
      </c>
      <c r="K70" s="121"/>
      <c r="L70" s="124">
        <f>L69/12</f>
        <v>4888.550992</v>
      </c>
      <c r="M70" s="121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</row>
    <row r="71" ht="12.75" customHeight="1">
      <c r="A71" s="118"/>
      <c r="C71" s="122" t="s">
        <v>173</v>
      </c>
      <c r="D71" s="123"/>
      <c r="E71" s="121"/>
      <c r="F71" s="124">
        <f>F70/24</f>
        <v>160.6564236</v>
      </c>
      <c r="G71" s="121"/>
      <c r="H71" s="124">
        <f>H70/24</f>
        <v>171.3083125</v>
      </c>
      <c r="I71" s="121"/>
      <c r="J71" s="124">
        <f>J70/24</f>
        <v>188.8280439</v>
      </c>
      <c r="K71" s="121"/>
      <c r="L71" s="124">
        <f>L70/24</f>
        <v>203.6896247</v>
      </c>
      <c r="M71" s="121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</row>
    <row r="72" ht="12.75" customHeight="1">
      <c r="A72" s="118"/>
      <c r="C72" s="122" t="s">
        <v>174</v>
      </c>
      <c r="D72" s="123"/>
      <c r="E72" s="121"/>
      <c r="F72" s="125">
        <f>SUM(D48:O48)</f>
        <v>2790</v>
      </c>
      <c r="G72" s="121"/>
      <c r="H72" s="125">
        <f>SUM(P48:AA48)</f>
        <v>2893</v>
      </c>
      <c r="I72" s="121"/>
      <c r="J72" s="125">
        <f>SUM(AB48:AM48)</f>
        <v>3032</v>
      </c>
      <c r="K72" s="121"/>
      <c r="L72" s="125">
        <f>SUM(AN48:AY48)</f>
        <v>3174</v>
      </c>
      <c r="M72" s="121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</row>
    <row r="73" ht="12.75" customHeight="1">
      <c r="C73" s="122" t="s">
        <v>175</v>
      </c>
      <c r="D73" s="123"/>
      <c r="E73" s="121"/>
      <c r="F73" s="125">
        <f>F72/Variables!$I$24</f>
        <v>9.6875</v>
      </c>
      <c r="G73" s="121"/>
      <c r="H73" s="125">
        <f>H72/Variables!$I$24</f>
        <v>10.04513889</v>
      </c>
      <c r="I73" s="121"/>
      <c r="J73" s="125">
        <f>J72/Variables!$I$24</f>
        <v>10.52777778</v>
      </c>
      <c r="K73" s="121"/>
      <c r="L73" s="125">
        <f>L72/Variables!$I$24</f>
        <v>11.02083333</v>
      </c>
      <c r="M73" s="121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</row>
    <row r="74" ht="12.75" customHeight="1">
      <c r="C74" s="122" t="s">
        <v>176</v>
      </c>
      <c r="D74" s="123"/>
      <c r="E74" s="121"/>
      <c r="F74" s="124">
        <f>F69/F72</f>
        <v>16.58388889</v>
      </c>
      <c r="G74" s="121"/>
      <c r="H74" s="124">
        <f>H69/H72</f>
        <v>17.05385206</v>
      </c>
      <c r="I74" s="121"/>
      <c r="J74" s="124">
        <f>J69/J72</f>
        <v>17.93617303</v>
      </c>
      <c r="K74" s="121"/>
      <c r="L74" s="124">
        <f>L69/L72</f>
        <v>18.48223437</v>
      </c>
      <c r="M74" s="121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</row>
    <row r="75" ht="12.75" customHeight="1">
      <c r="A75" s="76"/>
      <c r="B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</row>
    <row r="76" ht="12.75" customHeight="1">
      <c r="A76" s="76"/>
      <c r="B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</row>
    <row r="77" ht="12.75" customHeight="1">
      <c r="A77" s="76"/>
      <c r="B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</row>
    <row r="78" ht="12.75" customHeight="1">
      <c r="A78" s="144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</row>
    <row r="79" ht="12.75" customHeight="1">
      <c r="A79" s="144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</row>
    <row r="80" ht="12.75" customHeight="1">
      <c r="A80" s="111"/>
      <c r="B80" s="83"/>
      <c r="C80" s="83"/>
      <c r="D80" s="143"/>
      <c r="E80" s="143"/>
      <c r="F80" s="143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</row>
    <row r="81" ht="12.75" customHeight="1">
      <c r="A81" s="155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</row>
    <row r="82" ht="12.75" customHeight="1">
      <c r="A82" s="111"/>
      <c r="B82" s="143"/>
      <c r="C82" s="83"/>
      <c r="D82" s="143"/>
      <c r="E82" s="143"/>
      <c r="F82" s="143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</row>
    <row r="83" ht="12.75" customHeight="1">
      <c r="A83" s="111"/>
      <c r="B83" s="143"/>
      <c r="C83" s="83"/>
      <c r="D83" s="143"/>
      <c r="E83" s="143"/>
      <c r="F83" s="143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</row>
    <row r="84" ht="12.75" customHeight="1">
      <c r="A84" s="111"/>
      <c r="B84" s="143"/>
      <c r="C84" s="83"/>
      <c r="D84" s="143"/>
      <c r="E84" s="143"/>
      <c r="F84" s="143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</row>
    <row r="85" ht="12.75" customHeight="1">
      <c r="A85" s="111"/>
      <c r="B85" s="143"/>
      <c r="C85" s="83"/>
      <c r="D85" s="143"/>
      <c r="E85" s="143"/>
      <c r="F85" s="143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</row>
    <row r="86" ht="12.75" customHeight="1">
      <c r="A86" s="111"/>
      <c r="B86" s="160"/>
      <c r="C86" s="111"/>
      <c r="D86" s="143"/>
      <c r="E86" s="143"/>
      <c r="F86" s="143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</row>
    <row r="87" ht="12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</row>
    <row r="88" ht="12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</row>
    <row r="89" ht="12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</row>
    <row r="90" ht="12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</row>
    <row r="91" ht="12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</row>
    <row r="92" ht="12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</row>
    <row r="93" ht="12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</row>
    <row r="94" ht="12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</row>
    <row r="95" ht="12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</row>
    <row r="96" ht="12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</row>
    <row r="97" ht="12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</row>
    <row r="98" ht="12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</row>
    <row r="99" ht="12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</row>
    <row r="100" ht="12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</row>
    <row r="101" ht="12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</row>
    <row r="102" ht="12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</row>
    <row r="103" ht="12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</row>
    <row r="104" ht="12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</row>
    <row r="105" ht="12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</row>
    <row r="106" ht="12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</row>
    <row r="107" ht="12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</row>
    <row r="108" ht="12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</row>
    <row r="109" ht="12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</row>
    <row r="110" ht="12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</row>
    <row r="111" ht="12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</row>
    <row r="112" ht="12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</row>
    <row r="113" ht="12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</row>
    <row r="114" ht="12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</row>
    <row r="115" ht="12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</row>
    <row r="116" ht="12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</row>
    <row r="117" ht="12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</row>
    <row r="118" ht="12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</row>
    <row r="119" ht="12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</row>
    <row r="120" ht="12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</row>
    <row r="121" ht="12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</row>
    <row r="122" ht="12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</row>
    <row r="123" ht="12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</row>
    <row r="124" ht="12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</row>
    <row r="125" ht="12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</row>
    <row r="126" ht="12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</row>
    <row r="127" ht="12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</row>
    <row r="128" ht="12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</row>
    <row r="129" ht="12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</row>
    <row r="130" ht="12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</row>
    <row r="131" ht="12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</row>
    <row r="132" ht="12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</row>
    <row r="133" ht="12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</row>
    <row r="134" ht="12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</row>
    <row r="135" ht="12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</row>
    <row r="136" ht="12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</row>
    <row r="137" ht="12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</row>
    <row r="138" ht="12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</row>
    <row r="139" ht="12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</row>
    <row r="140" ht="12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</row>
    <row r="141" ht="12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</row>
    <row r="142" ht="12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</row>
    <row r="143" ht="12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</row>
    <row r="144" ht="12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</row>
    <row r="145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</row>
    <row r="146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</row>
    <row r="147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</row>
    <row r="148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</row>
    <row r="149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</row>
    <row r="150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</row>
    <row r="151" ht="12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</row>
    <row r="152" ht="12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</row>
    <row r="153" ht="12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</row>
    <row r="154" ht="12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</row>
    <row r="155" ht="12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</row>
    <row r="156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</row>
    <row r="159" ht="12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</row>
    <row r="160" ht="12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</row>
  </sheetData>
  <autoFilter ref="$C$38:$AA$49"/>
  <mergeCells count="62">
    <mergeCell ref="J69:K69"/>
    <mergeCell ref="L69:M69"/>
    <mergeCell ref="J70:K70"/>
    <mergeCell ref="L70:M70"/>
    <mergeCell ref="J71:K71"/>
    <mergeCell ref="L71:M71"/>
    <mergeCell ref="F69:G69"/>
    <mergeCell ref="H69:I69"/>
    <mergeCell ref="C70:E70"/>
    <mergeCell ref="F70:G70"/>
    <mergeCell ref="H70:I70"/>
    <mergeCell ref="F71:G71"/>
    <mergeCell ref="H71:I71"/>
    <mergeCell ref="H74:I74"/>
    <mergeCell ref="J74:K74"/>
    <mergeCell ref="C73:E73"/>
    <mergeCell ref="F73:G73"/>
    <mergeCell ref="H73:I73"/>
    <mergeCell ref="J73:K73"/>
    <mergeCell ref="L73:M73"/>
    <mergeCell ref="C74:E74"/>
    <mergeCell ref="F74:G74"/>
    <mergeCell ref="L74:M74"/>
    <mergeCell ref="AC25:AZ25"/>
    <mergeCell ref="BB25:BY25"/>
    <mergeCell ref="D3:I3"/>
    <mergeCell ref="K3:P3"/>
    <mergeCell ref="R3:W3"/>
    <mergeCell ref="D14:I14"/>
    <mergeCell ref="K14:P14"/>
    <mergeCell ref="R14:W14"/>
    <mergeCell ref="D25:AA25"/>
    <mergeCell ref="D39:O39"/>
    <mergeCell ref="P39:AA39"/>
    <mergeCell ref="AB39:AM39"/>
    <mergeCell ref="AN39:AY39"/>
    <mergeCell ref="P52:AA52"/>
    <mergeCell ref="AB52:AM52"/>
    <mergeCell ref="AN52:AY52"/>
    <mergeCell ref="AF64:AI64"/>
    <mergeCell ref="AM64:AN65"/>
    <mergeCell ref="D52:O52"/>
    <mergeCell ref="D62:O63"/>
    <mergeCell ref="P62:AA63"/>
    <mergeCell ref="AB62:AM63"/>
    <mergeCell ref="AN62:AY63"/>
    <mergeCell ref="H64:K64"/>
    <mergeCell ref="O64:P65"/>
    <mergeCell ref="AR64:AU64"/>
    <mergeCell ref="T64:W64"/>
    <mergeCell ref="AA64:AB65"/>
    <mergeCell ref="F68:G68"/>
    <mergeCell ref="H68:I68"/>
    <mergeCell ref="J68:K68"/>
    <mergeCell ref="L68:M68"/>
    <mergeCell ref="C69:E69"/>
    <mergeCell ref="C71:E71"/>
    <mergeCell ref="C72:E72"/>
    <mergeCell ref="F72:G72"/>
    <mergeCell ref="H72:I72"/>
    <mergeCell ref="J72:K72"/>
    <mergeCell ref="L72:M7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D1B2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 outlineLevelRow="1"/>
  <cols>
    <col customWidth="1" min="1" max="1" width="4.38"/>
    <col customWidth="1" min="2" max="2" width="37.25"/>
    <col customWidth="1" min="3" max="3" width="12.88"/>
    <col customWidth="1" min="4" max="15" width="10.38" outlineLevel="1"/>
    <col customWidth="1" min="16" max="16" width="12.88"/>
    <col customWidth="1" min="17" max="27" width="10.38" outlineLevel="1"/>
    <col customWidth="1" min="28" max="28" width="11.75" outlineLevel="1"/>
    <col customWidth="1" min="29" max="31" width="12.88"/>
    <col customWidth="1" min="32" max="42" width="10.88"/>
  </cols>
  <sheetData>
    <row r="1" ht="6.0" customHeight="1">
      <c r="A1" s="161"/>
      <c r="B1" s="162"/>
      <c r="C1" s="162"/>
      <c r="D1" s="162"/>
      <c r="E1" s="162"/>
      <c r="F1" s="162"/>
      <c r="G1" s="161"/>
      <c r="H1" s="163"/>
      <c r="I1" s="161"/>
      <c r="J1" s="161"/>
      <c r="K1" s="162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</row>
    <row r="2" ht="21.75" customHeight="1">
      <c r="A2" s="164"/>
      <c r="B2" s="36" t="s">
        <v>186</v>
      </c>
      <c r="C2" s="165"/>
      <c r="D2" s="165"/>
      <c r="E2" s="165"/>
      <c r="F2" s="165"/>
      <c r="G2" s="166"/>
      <c r="H2" s="167"/>
      <c r="I2" s="166"/>
      <c r="J2" s="166"/>
      <c r="K2" s="165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</row>
    <row r="3" ht="27.0" customHeight="1">
      <c r="A3" s="168"/>
      <c r="B3" s="169"/>
      <c r="C3" s="170"/>
      <c r="D3" s="169"/>
      <c r="E3" s="169"/>
      <c r="F3" s="169"/>
      <c r="G3" s="168"/>
      <c r="H3" s="168"/>
      <c r="I3" s="168"/>
      <c r="J3" s="168"/>
      <c r="K3" s="169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</row>
    <row r="4" ht="24.75" customHeight="1">
      <c r="A4" s="171"/>
      <c r="B4" s="172"/>
      <c r="C4" s="173">
        <f>YEAR(EDATE(date_début,-12))</f>
        <v>2024</v>
      </c>
      <c r="D4" s="174">
        <f>YEAR(date_début)</f>
        <v>2025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74">
        <f>YEAR(EDATE(date_début,12))</f>
        <v>2026</v>
      </c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1"/>
      <c r="AD4" s="175">
        <f>YEAR(EDATE(date_début,24))</f>
        <v>2027</v>
      </c>
      <c r="AE4" s="175">
        <f>YEAR(EDATE(date_début,36))</f>
        <v>2028</v>
      </c>
      <c r="AF4" s="171"/>
      <c r="AG4" s="171"/>
      <c r="AH4" s="171"/>
      <c r="AI4" s="176"/>
      <c r="AJ4" s="176"/>
      <c r="AK4" s="176"/>
      <c r="AL4" s="176"/>
      <c r="AM4" s="176"/>
      <c r="AN4" s="176"/>
      <c r="AO4" s="176"/>
      <c r="AP4" s="176"/>
    </row>
    <row r="5" ht="12.75" customHeight="1">
      <c r="A5" s="171"/>
      <c r="B5" s="177"/>
      <c r="C5" s="171"/>
      <c r="D5" s="178" t="s">
        <v>187</v>
      </c>
      <c r="E5" s="178" t="s">
        <v>188</v>
      </c>
      <c r="F5" s="178" t="s">
        <v>189</v>
      </c>
      <c r="G5" s="178" t="s">
        <v>190</v>
      </c>
      <c r="H5" s="178" t="s">
        <v>191</v>
      </c>
      <c r="I5" s="178" t="s">
        <v>192</v>
      </c>
      <c r="J5" s="178" t="s">
        <v>193</v>
      </c>
      <c r="K5" s="178" t="s">
        <v>194</v>
      </c>
      <c r="L5" s="178" t="s">
        <v>195</v>
      </c>
      <c r="M5" s="178" t="s">
        <v>196</v>
      </c>
      <c r="N5" s="178" t="s">
        <v>197</v>
      </c>
      <c r="O5" s="178" t="s">
        <v>198</v>
      </c>
      <c r="P5" s="179"/>
      <c r="Q5" s="178" t="s">
        <v>187</v>
      </c>
      <c r="R5" s="178" t="s">
        <v>188</v>
      </c>
      <c r="S5" s="178" t="s">
        <v>189</v>
      </c>
      <c r="T5" s="178" t="s">
        <v>190</v>
      </c>
      <c r="U5" s="178" t="s">
        <v>191</v>
      </c>
      <c r="V5" s="178" t="s">
        <v>192</v>
      </c>
      <c r="W5" s="178" t="s">
        <v>193</v>
      </c>
      <c r="X5" s="178" t="s">
        <v>194</v>
      </c>
      <c r="Y5" s="178" t="s">
        <v>195</v>
      </c>
      <c r="Z5" s="178" t="s">
        <v>196</v>
      </c>
      <c r="AA5" s="178" t="s">
        <v>197</v>
      </c>
      <c r="AB5" s="178" t="s">
        <v>198</v>
      </c>
      <c r="AC5" s="179"/>
      <c r="AD5" s="171"/>
      <c r="AE5" s="171"/>
      <c r="AF5" s="171"/>
      <c r="AG5" s="171"/>
      <c r="AH5" s="171"/>
      <c r="AI5" s="176"/>
      <c r="AJ5" s="176"/>
      <c r="AK5" s="176"/>
      <c r="AL5" s="176"/>
      <c r="AM5" s="176"/>
      <c r="AN5" s="176"/>
      <c r="AO5" s="176"/>
      <c r="AP5" s="176"/>
    </row>
    <row r="6" ht="24.75" customHeight="1">
      <c r="A6" s="180"/>
      <c r="B6" s="181" t="s">
        <v>199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</row>
    <row r="7" ht="21.0" customHeight="1">
      <c r="A7" s="180"/>
      <c r="B7" s="183" t="s">
        <v>200</v>
      </c>
      <c r="C7" s="184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6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6"/>
      <c r="AD7" s="186"/>
      <c r="AE7" s="186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</row>
    <row r="8" ht="13.5" customHeight="1" outlineLevel="1">
      <c r="A8" s="187"/>
      <c r="B8" s="188" t="s">
        <v>201</v>
      </c>
      <c r="C8" s="189"/>
      <c r="D8" s="190">
        <f>'Insights surplace'!D56</f>
        <v>775</v>
      </c>
      <c r="E8" s="191">
        <f>'Insights surplace'!E56</f>
        <v>925</v>
      </c>
      <c r="F8" s="191">
        <f>'Insights surplace'!F56</f>
        <v>1005</v>
      </c>
      <c r="G8" s="192">
        <f>'Insights surplace'!G56</f>
        <v>1080</v>
      </c>
      <c r="H8" s="192">
        <f>'Insights surplace'!H56</f>
        <v>1315</v>
      </c>
      <c r="I8" s="192">
        <f>'Insights surplace'!I56</f>
        <v>1545</v>
      </c>
      <c r="J8" s="192">
        <f>'Insights surplace'!J56</f>
        <v>1700</v>
      </c>
      <c r="K8" s="192">
        <f>'Insights surplace'!K56</f>
        <v>1700</v>
      </c>
      <c r="L8" s="192">
        <f>'Insights surplace'!L56</f>
        <v>1545</v>
      </c>
      <c r="M8" s="192">
        <f>'Insights surplace'!M56</f>
        <v>1315</v>
      </c>
      <c r="N8" s="192">
        <f>'Insights surplace'!N56</f>
        <v>1235</v>
      </c>
      <c r="O8" s="193">
        <f>'Insights surplace'!O56</f>
        <v>850</v>
      </c>
      <c r="P8" s="194">
        <f t="shared" ref="P8:P19" si="1">SUM(D8:O8)</f>
        <v>14990</v>
      </c>
      <c r="Q8" s="190">
        <f>'Insights surplace'!P56</f>
        <v>875.5</v>
      </c>
      <c r="R8" s="191">
        <f>'Insights surplace'!Q56</f>
        <v>875.5</v>
      </c>
      <c r="S8" s="191">
        <f>'Insights surplace'!R56</f>
        <v>963.05</v>
      </c>
      <c r="T8" s="192">
        <f>'Insights surplace'!S56</f>
        <v>1225.7</v>
      </c>
      <c r="U8" s="192">
        <f>'Insights surplace'!T56</f>
        <v>1225.7</v>
      </c>
      <c r="V8" s="192">
        <f>'Insights surplace'!U56</f>
        <v>1751</v>
      </c>
      <c r="W8" s="192">
        <f>'Insights surplace'!V56</f>
        <v>1926.1</v>
      </c>
      <c r="X8" s="192">
        <f>'Insights surplace'!W56</f>
        <v>1926.1</v>
      </c>
      <c r="Y8" s="192">
        <f>'Insights surplace'!X56</f>
        <v>1751</v>
      </c>
      <c r="Z8" s="192">
        <f>'Insights surplace'!Y56</f>
        <v>1225.7</v>
      </c>
      <c r="AA8" s="192">
        <f>'Insights surplace'!Z56</f>
        <v>1050.6</v>
      </c>
      <c r="AB8" s="193">
        <f>'Insights surplace'!AA56</f>
        <v>875.5</v>
      </c>
      <c r="AC8" s="194">
        <f t="shared" ref="AC8:AC19" si="2">SUM(Q8:AB8)</f>
        <v>15671.45</v>
      </c>
      <c r="AD8" s="194">
        <f>SUM('Insights surplace'!AB56:AM56)</f>
        <v>16804.656</v>
      </c>
      <c r="AE8" s="194">
        <f>SUM('Insights surplace'!AN56:AY56)</f>
        <v>19374.04971</v>
      </c>
      <c r="AF8" s="187"/>
      <c r="AG8" s="187"/>
      <c r="AH8" s="187"/>
      <c r="AI8" s="195"/>
      <c r="AJ8" s="195"/>
      <c r="AK8" s="195"/>
      <c r="AL8" s="195"/>
      <c r="AM8" s="195"/>
      <c r="AN8" s="195"/>
      <c r="AO8" s="195"/>
      <c r="AP8" s="195"/>
    </row>
    <row r="9" ht="13.5" customHeight="1" outlineLevel="1">
      <c r="A9" s="187"/>
      <c r="B9" s="196" t="s">
        <v>202</v>
      </c>
      <c r="C9" s="189"/>
      <c r="D9" s="197">
        <f>'Insights surplace'!D42</f>
        <v>155</v>
      </c>
      <c r="E9" s="198">
        <f>'Insights surplace'!E42</f>
        <v>185</v>
      </c>
      <c r="F9" s="198">
        <f>'Insights surplace'!F42</f>
        <v>201</v>
      </c>
      <c r="G9" s="198">
        <f>'Insights surplace'!G42</f>
        <v>216</v>
      </c>
      <c r="H9" s="198">
        <f>'Insights surplace'!H42</f>
        <v>263</v>
      </c>
      <c r="I9" s="198">
        <f>'Insights surplace'!I42</f>
        <v>309</v>
      </c>
      <c r="J9" s="198">
        <f>'Insights surplace'!J42</f>
        <v>340</v>
      </c>
      <c r="K9" s="198">
        <f>'Insights surplace'!K42</f>
        <v>340</v>
      </c>
      <c r="L9" s="198">
        <f>'Insights surplace'!L42</f>
        <v>309</v>
      </c>
      <c r="M9" s="198">
        <f>'Insights surplace'!M42</f>
        <v>263</v>
      </c>
      <c r="N9" s="198">
        <f>'Insights surplace'!N42</f>
        <v>247</v>
      </c>
      <c r="O9" s="199">
        <f>'Insights surplace'!O42</f>
        <v>170</v>
      </c>
      <c r="P9" s="200">
        <f t="shared" si="1"/>
        <v>2998</v>
      </c>
      <c r="Q9" s="197">
        <f>'Insights surplace'!P42</f>
        <v>170</v>
      </c>
      <c r="R9" s="198">
        <f>'Insights surplace'!Q42</f>
        <v>170</v>
      </c>
      <c r="S9" s="198">
        <f>'Insights surplace'!R42</f>
        <v>187</v>
      </c>
      <c r="T9" s="198">
        <f>'Insights surplace'!S42</f>
        <v>238</v>
      </c>
      <c r="U9" s="198">
        <f>'Insights surplace'!T42</f>
        <v>238</v>
      </c>
      <c r="V9" s="198">
        <f>'Insights surplace'!U42</f>
        <v>340</v>
      </c>
      <c r="W9" s="198">
        <f>'Insights surplace'!V42</f>
        <v>374</v>
      </c>
      <c r="X9" s="198">
        <f>'Insights surplace'!W42</f>
        <v>374</v>
      </c>
      <c r="Y9" s="198">
        <f>'Insights surplace'!X42</f>
        <v>340</v>
      </c>
      <c r="Z9" s="198">
        <f>'Insights surplace'!Y42</f>
        <v>238</v>
      </c>
      <c r="AA9" s="198">
        <f>'Insights surplace'!Z42</f>
        <v>204</v>
      </c>
      <c r="AB9" s="199">
        <f>'Insights surplace'!AA42</f>
        <v>170</v>
      </c>
      <c r="AC9" s="200">
        <f t="shared" si="2"/>
        <v>3043</v>
      </c>
      <c r="AD9" s="200">
        <f>SUM('Insights surplace'!AB42:AM42)</f>
        <v>3168</v>
      </c>
      <c r="AE9" s="200">
        <f>SUM('Insights surplace'!AC42:AN42)</f>
        <v>3204</v>
      </c>
      <c r="AF9" s="187"/>
      <c r="AG9" s="187"/>
      <c r="AH9" s="187"/>
      <c r="AI9" s="195"/>
      <c r="AJ9" s="195"/>
      <c r="AK9" s="195"/>
      <c r="AL9" s="195"/>
      <c r="AM9" s="195"/>
      <c r="AN9" s="195"/>
      <c r="AO9" s="195"/>
      <c r="AP9" s="195"/>
    </row>
    <row r="10" ht="13.5" customHeight="1" outlineLevel="1">
      <c r="A10" s="187"/>
      <c r="B10" s="188" t="s">
        <v>203</v>
      </c>
      <c r="C10" s="189"/>
      <c r="D10" s="201">
        <f>'Insights surplace'!D57</f>
        <v>2176.090909</v>
      </c>
      <c r="E10" s="192">
        <f>'Insights surplace'!E57</f>
        <v>2607.636364</v>
      </c>
      <c r="F10" s="192">
        <f>'Insights surplace'!F57</f>
        <v>2828</v>
      </c>
      <c r="G10" s="192">
        <f>'Insights surplace'!G57</f>
        <v>3048.363636</v>
      </c>
      <c r="H10" s="192">
        <f>'Insights surplace'!H57</f>
        <v>3700.272727</v>
      </c>
      <c r="I10" s="192">
        <f>'Insights surplace'!I57</f>
        <v>4352.181818</v>
      </c>
      <c r="J10" s="192">
        <f>'Insights surplace'!J57</f>
        <v>4783.727273</v>
      </c>
      <c r="K10" s="192">
        <f>'Insights surplace'!K57</f>
        <v>4783.727273</v>
      </c>
      <c r="L10" s="192">
        <f>'Insights surplace'!L57</f>
        <v>4352.181818</v>
      </c>
      <c r="M10" s="192">
        <f>'Insights surplace'!M57</f>
        <v>3700.272727</v>
      </c>
      <c r="N10" s="192">
        <f>'Insights surplace'!N57</f>
        <v>3479.909091</v>
      </c>
      <c r="O10" s="202">
        <f>'Insights surplace'!O57</f>
        <v>2396.454545</v>
      </c>
      <c r="P10" s="189">
        <f t="shared" si="1"/>
        <v>42208.81818</v>
      </c>
      <c r="Q10" s="201">
        <f>'Insights surplace'!P57</f>
        <v>2723.694545</v>
      </c>
      <c r="R10" s="192">
        <f>'Insights surplace'!Q57</f>
        <v>2723.694545</v>
      </c>
      <c r="S10" s="192">
        <f>'Insights surplace'!R57</f>
        <v>2997.955455</v>
      </c>
      <c r="T10" s="192">
        <f>'Insights surplace'!S57</f>
        <v>3811.280909</v>
      </c>
      <c r="U10" s="192">
        <f>'Insights surplace'!T57</f>
        <v>3811.280909</v>
      </c>
      <c r="V10" s="192">
        <f>'Insights surplace'!U57</f>
        <v>5447.389091</v>
      </c>
      <c r="W10" s="192">
        <f>'Insights surplace'!V57</f>
        <v>5995.910909</v>
      </c>
      <c r="X10" s="192">
        <f>'Insights surplace'!W57</f>
        <v>5995.910909</v>
      </c>
      <c r="Y10" s="192">
        <f>'Insights surplace'!X57</f>
        <v>5447.389091</v>
      </c>
      <c r="Z10" s="192">
        <f>'Insights surplace'!Y57</f>
        <v>3811.280909</v>
      </c>
      <c r="AA10" s="192">
        <f>'Insights surplace'!Z57</f>
        <v>3272.216364</v>
      </c>
      <c r="AB10" s="202">
        <f>'Insights surplace'!AA57</f>
        <v>2723.694545</v>
      </c>
      <c r="AC10" s="189">
        <f t="shared" si="2"/>
        <v>48761.69818</v>
      </c>
      <c r="AD10" s="194">
        <f>SUM('Insights surplace'!AB57:AM57)</f>
        <v>50341.44102</v>
      </c>
      <c r="AE10" s="194">
        <f>SUM('Insights surplace'!AN57:AY57)</f>
        <v>58032.14816</v>
      </c>
      <c r="AF10" s="187"/>
      <c r="AG10" s="187"/>
      <c r="AH10" s="187"/>
      <c r="AI10" s="195"/>
      <c r="AJ10" s="195"/>
      <c r="AK10" s="195"/>
      <c r="AL10" s="195"/>
      <c r="AM10" s="195"/>
      <c r="AN10" s="195"/>
      <c r="AO10" s="195"/>
      <c r="AP10" s="195"/>
    </row>
    <row r="11" ht="13.5" customHeight="1" outlineLevel="1">
      <c r="A11" s="187"/>
      <c r="B11" s="196" t="s">
        <v>204</v>
      </c>
      <c r="C11" s="189"/>
      <c r="D11" s="197">
        <f>'Insights surplace'!D43</f>
        <v>237</v>
      </c>
      <c r="E11" s="198">
        <f>'Insights surplace'!E43</f>
        <v>284</v>
      </c>
      <c r="F11" s="198">
        <f>'Insights surplace'!F43</f>
        <v>308</v>
      </c>
      <c r="G11" s="198">
        <f>'Insights surplace'!G43</f>
        <v>332</v>
      </c>
      <c r="H11" s="198">
        <f>'Insights surplace'!H43</f>
        <v>403</v>
      </c>
      <c r="I11" s="198">
        <f>'Insights surplace'!I43</f>
        <v>474</v>
      </c>
      <c r="J11" s="198">
        <f>'Insights surplace'!J43</f>
        <v>521</v>
      </c>
      <c r="K11" s="198">
        <f>'Insights surplace'!K43</f>
        <v>521</v>
      </c>
      <c r="L11" s="198">
        <f>'Insights surplace'!L43</f>
        <v>474</v>
      </c>
      <c r="M11" s="198">
        <f>'Insights surplace'!M43</f>
        <v>403</v>
      </c>
      <c r="N11" s="198">
        <f>'Insights surplace'!N43</f>
        <v>379</v>
      </c>
      <c r="O11" s="199">
        <f>'Insights surplace'!O43</f>
        <v>261</v>
      </c>
      <c r="P11" s="200">
        <f t="shared" si="1"/>
        <v>4597</v>
      </c>
      <c r="Q11" s="197">
        <f>'Insights surplace'!P43</f>
        <v>288</v>
      </c>
      <c r="R11" s="198">
        <f>'Insights surplace'!Q43</f>
        <v>288</v>
      </c>
      <c r="S11" s="198">
        <f>'Insights surplace'!R43</f>
        <v>317</v>
      </c>
      <c r="T11" s="198">
        <f>'Insights surplace'!S43</f>
        <v>403</v>
      </c>
      <c r="U11" s="198">
        <f>'Insights surplace'!T43</f>
        <v>403</v>
      </c>
      <c r="V11" s="198">
        <f>'Insights surplace'!U43</f>
        <v>576</v>
      </c>
      <c r="W11" s="198">
        <f>'Insights surplace'!V43</f>
        <v>634</v>
      </c>
      <c r="X11" s="198">
        <f>'Insights surplace'!W43</f>
        <v>634</v>
      </c>
      <c r="Y11" s="198">
        <f>'Insights surplace'!X43</f>
        <v>576</v>
      </c>
      <c r="Z11" s="198">
        <f>'Insights surplace'!Y43</f>
        <v>403</v>
      </c>
      <c r="AA11" s="198">
        <f>'Insights surplace'!Z43</f>
        <v>346</v>
      </c>
      <c r="AB11" s="199">
        <f>'Insights surplace'!AA43</f>
        <v>288</v>
      </c>
      <c r="AC11" s="200">
        <f t="shared" si="2"/>
        <v>5156</v>
      </c>
      <c r="AD11" s="200">
        <f>SUM('Insights surplace'!AB43:AM43)</f>
        <v>5168</v>
      </c>
      <c r="AE11" s="200">
        <f>SUM('Insights surplace'!AC43:AN43)</f>
        <v>5226</v>
      </c>
      <c r="AF11" s="187"/>
      <c r="AG11" s="187"/>
      <c r="AH11" s="187"/>
      <c r="AI11" s="195"/>
      <c r="AJ11" s="195"/>
      <c r="AK11" s="195"/>
      <c r="AL11" s="195"/>
      <c r="AM11" s="195"/>
      <c r="AN11" s="195"/>
      <c r="AO11" s="195"/>
      <c r="AP11" s="195"/>
    </row>
    <row r="12" ht="13.5" customHeight="1" outlineLevel="1">
      <c r="A12" s="187"/>
      <c r="B12" s="188" t="s">
        <v>205</v>
      </c>
      <c r="C12" s="189"/>
      <c r="D12" s="201">
        <f>'Insights surplace'!D58</f>
        <v>1043.636364</v>
      </c>
      <c r="E12" s="192">
        <f>'Insights surplace'!E58</f>
        <v>1247.272727</v>
      </c>
      <c r="F12" s="192">
        <f>'Insights surplace'!F58</f>
        <v>1349.090909</v>
      </c>
      <c r="G12" s="192">
        <f>'Insights surplace'!G58</f>
        <v>1450.909091</v>
      </c>
      <c r="H12" s="192">
        <f>'Insights surplace'!H58</f>
        <v>1769.090909</v>
      </c>
      <c r="I12" s="192">
        <f>'Insights surplace'!I58</f>
        <v>2074.545455</v>
      </c>
      <c r="J12" s="192">
        <f>'Insights surplace'!J58</f>
        <v>2278.181818</v>
      </c>
      <c r="K12" s="192">
        <f>'Insights surplace'!K58</f>
        <v>2278.181818</v>
      </c>
      <c r="L12" s="192">
        <f>'Insights surplace'!L58</f>
        <v>2074.545455</v>
      </c>
      <c r="M12" s="192">
        <f>'Insights surplace'!M58</f>
        <v>1769.090909</v>
      </c>
      <c r="N12" s="192">
        <f>'Insights surplace'!N58</f>
        <v>1654.545455</v>
      </c>
      <c r="O12" s="202">
        <f>'Insights surplace'!O58</f>
        <v>1145.454545</v>
      </c>
      <c r="P12" s="189">
        <f t="shared" si="1"/>
        <v>20134.54545</v>
      </c>
      <c r="Q12" s="201">
        <f>'Insights surplace'!P58</f>
        <v>1468.218182</v>
      </c>
      <c r="R12" s="192">
        <f>'Insights surplace'!Q58</f>
        <v>1468.218182</v>
      </c>
      <c r="S12" s="192">
        <f>'Insights surplace'!R58</f>
        <v>1612.418182</v>
      </c>
      <c r="T12" s="192">
        <f>'Insights surplace'!S58</f>
        <v>2058.127273</v>
      </c>
      <c r="U12" s="192">
        <f>'Insights surplace'!T58</f>
        <v>2058.127273</v>
      </c>
      <c r="V12" s="192">
        <f>'Insights surplace'!U58</f>
        <v>2936.436364</v>
      </c>
      <c r="W12" s="192">
        <f>'Insights surplace'!V58</f>
        <v>3224.836364</v>
      </c>
      <c r="X12" s="192">
        <f>'Insights surplace'!W58</f>
        <v>3224.836364</v>
      </c>
      <c r="Y12" s="192">
        <f>'Insights surplace'!X58</f>
        <v>2936.436364</v>
      </c>
      <c r="Z12" s="192">
        <f>'Insights surplace'!Y58</f>
        <v>2058.127273</v>
      </c>
      <c r="AA12" s="192">
        <f>'Insights surplace'!Z58</f>
        <v>1756.618182</v>
      </c>
      <c r="AB12" s="202">
        <f>'Insights surplace'!AA58</f>
        <v>1468.218182</v>
      </c>
      <c r="AC12" s="189">
        <f t="shared" si="2"/>
        <v>26270.61818</v>
      </c>
      <c r="AD12" s="194">
        <f>SUM('Insights surplace'!AB58:AM58)</f>
        <v>22103.36927</v>
      </c>
      <c r="AE12" s="194">
        <f>SUM('Insights surplace'!AN58:AY58)</f>
        <v>25506.23496</v>
      </c>
      <c r="AF12" s="187"/>
      <c r="AG12" s="187"/>
      <c r="AH12" s="187"/>
      <c r="AI12" s="195"/>
      <c r="AJ12" s="195"/>
      <c r="AK12" s="195"/>
      <c r="AL12" s="195"/>
      <c r="AM12" s="195"/>
      <c r="AN12" s="195"/>
      <c r="AO12" s="195"/>
      <c r="AP12" s="195"/>
    </row>
    <row r="13" ht="13.5" customHeight="1" outlineLevel="1">
      <c r="A13" s="187"/>
      <c r="B13" s="196" t="s">
        <v>206</v>
      </c>
      <c r="C13" s="189"/>
      <c r="D13" s="197">
        <f>'Insights surplace'!D44</f>
        <v>82</v>
      </c>
      <c r="E13" s="198">
        <f>'Insights surplace'!E44</f>
        <v>98</v>
      </c>
      <c r="F13" s="198">
        <f>'Insights surplace'!F44</f>
        <v>106</v>
      </c>
      <c r="G13" s="198">
        <f>'Insights surplace'!G44</f>
        <v>114</v>
      </c>
      <c r="H13" s="198">
        <f>'Insights surplace'!H44</f>
        <v>139</v>
      </c>
      <c r="I13" s="198">
        <f>'Insights surplace'!I44</f>
        <v>163</v>
      </c>
      <c r="J13" s="198">
        <f>'Insights surplace'!J44</f>
        <v>179</v>
      </c>
      <c r="K13" s="198">
        <f>'Insights surplace'!K44</f>
        <v>179</v>
      </c>
      <c r="L13" s="198">
        <f>'Insights surplace'!L44</f>
        <v>163</v>
      </c>
      <c r="M13" s="198">
        <f>'Insights surplace'!M44</f>
        <v>139</v>
      </c>
      <c r="N13" s="198">
        <f>'Insights surplace'!N44</f>
        <v>130</v>
      </c>
      <c r="O13" s="199">
        <f>'Insights surplace'!O44</f>
        <v>90</v>
      </c>
      <c r="P13" s="200">
        <f t="shared" si="1"/>
        <v>1582</v>
      </c>
      <c r="Q13" s="197">
        <f>'Insights surplace'!P44</f>
        <v>112</v>
      </c>
      <c r="R13" s="198">
        <f>'Insights surplace'!Q44</f>
        <v>112</v>
      </c>
      <c r="S13" s="198">
        <f>'Insights surplace'!R44</f>
        <v>123</v>
      </c>
      <c r="T13" s="198">
        <f>'Insights surplace'!S44</f>
        <v>157</v>
      </c>
      <c r="U13" s="198">
        <f>'Insights surplace'!T44</f>
        <v>157</v>
      </c>
      <c r="V13" s="198">
        <f>'Insights surplace'!U44</f>
        <v>224</v>
      </c>
      <c r="W13" s="198">
        <f>'Insights surplace'!V44</f>
        <v>246</v>
      </c>
      <c r="X13" s="198">
        <f>'Insights surplace'!W44</f>
        <v>246</v>
      </c>
      <c r="Y13" s="198">
        <f>'Insights surplace'!X44</f>
        <v>224</v>
      </c>
      <c r="Z13" s="198">
        <f>'Insights surplace'!Y44</f>
        <v>157</v>
      </c>
      <c r="AA13" s="198">
        <f>'Insights surplace'!Z44</f>
        <v>134</v>
      </c>
      <c r="AB13" s="199">
        <f>'Insights surplace'!AA44</f>
        <v>112</v>
      </c>
      <c r="AC13" s="200">
        <f t="shared" si="2"/>
        <v>2004</v>
      </c>
      <c r="AD13" s="200">
        <f>SUM('Insights surplace'!AB44:AM44)</f>
        <v>1637</v>
      </c>
      <c r="AE13" s="200">
        <f>SUM('Insights surplace'!AC44:AN44)</f>
        <v>1656</v>
      </c>
      <c r="AF13" s="187"/>
      <c r="AG13" s="187"/>
      <c r="AH13" s="187"/>
      <c r="AI13" s="195"/>
      <c r="AJ13" s="195"/>
      <c r="AK13" s="195"/>
      <c r="AL13" s="195"/>
      <c r="AM13" s="195"/>
      <c r="AN13" s="195"/>
      <c r="AO13" s="195"/>
      <c r="AP13" s="195"/>
    </row>
    <row r="14" ht="13.5" customHeight="1" outlineLevel="1">
      <c r="A14" s="187"/>
      <c r="B14" s="188" t="s">
        <v>207</v>
      </c>
      <c r="C14" s="189"/>
      <c r="D14" s="201">
        <f>'Insights surplace'!D59</f>
        <v>4205.454545</v>
      </c>
      <c r="E14" s="192">
        <f>'Insights surplace'!E59</f>
        <v>5040</v>
      </c>
      <c r="F14" s="192">
        <f>'Insights surplace'!F59</f>
        <v>5465.454545</v>
      </c>
      <c r="G14" s="192">
        <f>'Insights surplace'!G59</f>
        <v>5890.909091</v>
      </c>
      <c r="H14" s="192">
        <f>'Insights surplace'!H59</f>
        <v>7150.909091</v>
      </c>
      <c r="I14" s="192">
        <f>'Insights surplace'!I59</f>
        <v>8410.909091</v>
      </c>
      <c r="J14" s="192">
        <f>'Insights surplace'!J59</f>
        <v>9245.454545</v>
      </c>
      <c r="K14" s="192">
        <f>'Insights surplace'!K59</f>
        <v>9245.454545</v>
      </c>
      <c r="L14" s="192">
        <f>'Insights surplace'!L59</f>
        <v>8410.909091</v>
      </c>
      <c r="M14" s="192">
        <f>'Insights surplace'!M59</f>
        <v>7150.909091</v>
      </c>
      <c r="N14" s="192">
        <f>'Insights surplace'!N59</f>
        <v>6725.454545</v>
      </c>
      <c r="O14" s="202">
        <f>'Insights surplace'!O59</f>
        <v>4630.909091</v>
      </c>
      <c r="P14" s="189">
        <f t="shared" si="1"/>
        <v>81572.72727</v>
      </c>
      <c r="Q14" s="201">
        <f>'Insights surplace'!P59</f>
        <v>4550.727273</v>
      </c>
      <c r="R14" s="192">
        <f>'Insights surplace'!Q59</f>
        <v>4550.727273</v>
      </c>
      <c r="S14" s="192">
        <f>'Insights surplace'!R59</f>
        <v>5005.8</v>
      </c>
      <c r="T14" s="192">
        <f>'Insights surplace'!S59</f>
        <v>6371.018182</v>
      </c>
      <c r="U14" s="192">
        <f>'Insights surplace'!T59</f>
        <v>6371.018182</v>
      </c>
      <c r="V14" s="192">
        <f>'Insights surplace'!U59</f>
        <v>9101.454545</v>
      </c>
      <c r="W14" s="192">
        <f>'Insights surplace'!V59</f>
        <v>10011.6</v>
      </c>
      <c r="X14" s="192">
        <f>'Insights surplace'!W59</f>
        <v>10011.6</v>
      </c>
      <c r="Y14" s="192">
        <f>'Insights surplace'!X59</f>
        <v>9101.454545</v>
      </c>
      <c r="Z14" s="192">
        <f>'Insights surplace'!Y59</f>
        <v>6371.018182</v>
      </c>
      <c r="AA14" s="192">
        <f>'Insights surplace'!Z59</f>
        <v>5460.872727</v>
      </c>
      <c r="AB14" s="202">
        <f>'Insights surplace'!AA59</f>
        <v>4550.727273</v>
      </c>
      <c r="AC14" s="189">
        <f t="shared" si="2"/>
        <v>81458.01818</v>
      </c>
      <c r="AD14" s="194">
        <f>SUM('Insights surplace'!AB59:AM59)</f>
        <v>87078.672</v>
      </c>
      <c r="AE14" s="194">
        <f>SUM('Insights surplace'!AN59:AY59)</f>
        <v>100419.6245</v>
      </c>
      <c r="AF14" s="187"/>
      <c r="AG14" s="187"/>
      <c r="AH14" s="187"/>
      <c r="AI14" s="195"/>
      <c r="AJ14" s="195"/>
      <c r="AK14" s="195"/>
      <c r="AL14" s="195"/>
      <c r="AM14" s="195"/>
      <c r="AN14" s="195"/>
      <c r="AO14" s="195"/>
      <c r="AP14" s="195"/>
    </row>
    <row r="15" ht="13.5" customHeight="1" outlineLevel="1">
      <c r="A15" s="187"/>
      <c r="B15" s="196" t="s">
        <v>208</v>
      </c>
      <c r="C15" s="189"/>
      <c r="D15" s="197">
        <f>'Insights surplace'!D45</f>
        <v>257</v>
      </c>
      <c r="E15" s="198">
        <f>'Insights surplace'!E45</f>
        <v>308</v>
      </c>
      <c r="F15" s="198">
        <f>'Insights surplace'!F45</f>
        <v>334</v>
      </c>
      <c r="G15" s="198">
        <f>'Insights surplace'!G45</f>
        <v>360</v>
      </c>
      <c r="H15" s="198">
        <f>'Insights surplace'!H45</f>
        <v>437</v>
      </c>
      <c r="I15" s="198">
        <f>'Insights surplace'!I45</f>
        <v>514</v>
      </c>
      <c r="J15" s="198">
        <f>'Insights surplace'!J45</f>
        <v>565</v>
      </c>
      <c r="K15" s="198">
        <f>'Insights surplace'!K45</f>
        <v>565</v>
      </c>
      <c r="L15" s="198">
        <f>'Insights surplace'!L45</f>
        <v>514</v>
      </c>
      <c r="M15" s="198">
        <f>'Insights surplace'!M45</f>
        <v>437</v>
      </c>
      <c r="N15" s="198">
        <f>'Insights surplace'!N45</f>
        <v>411</v>
      </c>
      <c r="O15" s="199">
        <f>'Insights surplace'!O45</f>
        <v>283</v>
      </c>
      <c r="P15" s="200">
        <f t="shared" si="1"/>
        <v>4985</v>
      </c>
      <c r="Q15" s="197">
        <f>'Insights surplace'!P45</f>
        <v>270</v>
      </c>
      <c r="R15" s="198">
        <f>'Insights surplace'!Q45</f>
        <v>270</v>
      </c>
      <c r="S15" s="198">
        <f>'Insights surplace'!R45</f>
        <v>297</v>
      </c>
      <c r="T15" s="198">
        <f>'Insights surplace'!S45</f>
        <v>378</v>
      </c>
      <c r="U15" s="198">
        <f>'Insights surplace'!T45</f>
        <v>378</v>
      </c>
      <c r="V15" s="198">
        <f>'Insights surplace'!U45</f>
        <v>540</v>
      </c>
      <c r="W15" s="198">
        <f>'Insights surplace'!V45</f>
        <v>594</v>
      </c>
      <c r="X15" s="198">
        <f>'Insights surplace'!W45</f>
        <v>594</v>
      </c>
      <c r="Y15" s="198">
        <f>'Insights surplace'!X45</f>
        <v>540</v>
      </c>
      <c r="Z15" s="198">
        <f>'Insights surplace'!Y45</f>
        <v>378</v>
      </c>
      <c r="AA15" s="198">
        <f>'Insights surplace'!Z45</f>
        <v>324</v>
      </c>
      <c r="AB15" s="199">
        <f>'Insights surplace'!AA45</f>
        <v>270</v>
      </c>
      <c r="AC15" s="200">
        <f t="shared" si="2"/>
        <v>4833</v>
      </c>
      <c r="AD15" s="200">
        <f>SUM('Insights surplace'!AB45:AM45)</f>
        <v>5016</v>
      </c>
      <c r="AE15" s="200">
        <f>SUM('Insights surplace'!AC45:AN45)</f>
        <v>5073</v>
      </c>
      <c r="AF15" s="187"/>
      <c r="AG15" s="187"/>
      <c r="AH15" s="187"/>
      <c r="AI15" s="195"/>
      <c r="AJ15" s="195"/>
      <c r="AK15" s="195"/>
      <c r="AL15" s="195"/>
      <c r="AM15" s="195"/>
      <c r="AN15" s="195"/>
      <c r="AO15" s="195"/>
      <c r="AP15" s="195"/>
    </row>
    <row r="16" ht="13.5" customHeight="1" outlineLevel="1">
      <c r="A16" s="187"/>
      <c r="B16" s="188" t="s">
        <v>209</v>
      </c>
      <c r="C16" s="189"/>
      <c r="D16" s="201">
        <f>'Insights surplace'!D60</f>
        <v>3397.5</v>
      </c>
      <c r="E16" s="192">
        <f>'Insights surplace'!E60</f>
        <v>4077</v>
      </c>
      <c r="F16" s="192">
        <f>'Insights surplace'!F60</f>
        <v>4427.045455</v>
      </c>
      <c r="G16" s="192">
        <f>'Insights surplace'!G60</f>
        <v>4756.5</v>
      </c>
      <c r="H16" s="192">
        <f>'Insights surplace'!H60</f>
        <v>5786.045455</v>
      </c>
      <c r="I16" s="192">
        <f>'Insights surplace'!I60</f>
        <v>6795</v>
      </c>
      <c r="J16" s="192">
        <f>'Insights surplace'!J60</f>
        <v>7474.5</v>
      </c>
      <c r="K16" s="192">
        <f>'Insights surplace'!K60</f>
        <v>7474.5</v>
      </c>
      <c r="L16" s="192">
        <f>'Insights surplace'!L60</f>
        <v>6795</v>
      </c>
      <c r="M16" s="192">
        <f>'Insights surplace'!M60</f>
        <v>5786.045455</v>
      </c>
      <c r="N16" s="192">
        <f>'Insights surplace'!N60</f>
        <v>5436</v>
      </c>
      <c r="O16" s="202">
        <f>'Insights surplace'!O60</f>
        <v>3747.545455</v>
      </c>
      <c r="P16" s="189">
        <f t="shared" si="1"/>
        <v>65952.68182</v>
      </c>
      <c r="Q16" s="201">
        <f>'Insights surplace'!P60</f>
        <v>3605.468182</v>
      </c>
      <c r="R16" s="192">
        <f>'Insights surplace'!Q60</f>
        <v>3605.468182</v>
      </c>
      <c r="S16" s="192">
        <f>'Insights surplace'!R60</f>
        <v>3966.015</v>
      </c>
      <c r="T16" s="192">
        <f>'Insights surplace'!S60</f>
        <v>5047.655455</v>
      </c>
      <c r="U16" s="192">
        <f>'Insights surplace'!T60</f>
        <v>5047.655455</v>
      </c>
      <c r="V16" s="192">
        <f>'Insights surplace'!U60</f>
        <v>7210.936364</v>
      </c>
      <c r="W16" s="192">
        <f>'Insights surplace'!V60</f>
        <v>7932.03</v>
      </c>
      <c r="X16" s="192">
        <f>'Insights surplace'!W60</f>
        <v>7932.03</v>
      </c>
      <c r="Y16" s="192">
        <f>'Insights surplace'!X60</f>
        <v>7210.936364</v>
      </c>
      <c r="Z16" s="192">
        <f>'Insights surplace'!Y60</f>
        <v>5047.655455</v>
      </c>
      <c r="AA16" s="192">
        <f>'Insights surplace'!Z60</f>
        <v>4326.561818</v>
      </c>
      <c r="AB16" s="202">
        <f>'Insights surplace'!AA60</f>
        <v>3605.468182</v>
      </c>
      <c r="AC16" s="189">
        <f t="shared" si="2"/>
        <v>64537.88045</v>
      </c>
      <c r="AD16" s="194">
        <f>SUM('Insights surplace'!AB60:AM60)</f>
        <v>69204.6288</v>
      </c>
      <c r="AE16" s="194">
        <f>SUM('Insights surplace'!AN60:AY60)</f>
        <v>79785.85926</v>
      </c>
      <c r="AF16" s="187"/>
      <c r="AG16" s="187"/>
      <c r="AH16" s="187"/>
      <c r="AI16" s="195"/>
      <c r="AJ16" s="195"/>
      <c r="AK16" s="195"/>
      <c r="AL16" s="195"/>
      <c r="AM16" s="195"/>
      <c r="AN16" s="195"/>
      <c r="AO16" s="195"/>
      <c r="AP16" s="195"/>
    </row>
    <row r="17" ht="13.5" customHeight="1" outlineLevel="1">
      <c r="A17" s="187"/>
      <c r="B17" s="196" t="s">
        <v>210</v>
      </c>
      <c r="C17" s="189"/>
      <c r="D17" s="197">
        <f>'Insights surplace'!D46</f>
        <v>165</v>
      </c>
      <c r="E17" s="198">
        <f>'Insights surplace'!E46</f>
        <v>198</v>
      </c>
      <c r="F17" s="198">
        <f>'Insights surplace'!F46</f>
        <v>215</v>
      </c>
      <c r="G17" s="198">
        <f>'Insights surplace'!G46</f>
        <v>231</v>
      </c>
      <c r="H17" s="198">
        <f>'Insights surplace'!H46</f>
        <v>281</v>
      </c>
      <c r="I17" s="198">
        <f>'Insights surplace'!I46</f>
        <v>330</v>
      </c>
      <c r="J17" s="198">
        <f>'Insights surplace'!J46</f>
        <v>363</v>
      </c>
      <c r="K17" s="198">
        <f>'Insights surplace'!K46</f>
        <v>363</v>
      </c>
      <c r="L17" s="198">
        <f>'Insights surplace'!L46</f>
        <v>330</v>
      </c>
      <c r="M17" s="198">
        <f>'Insights surplace'!M46</f>
        <v>281</v>
      </c>
      <c r="N17" s="198">
        <f>'Insights surplace'!N46</f>
        <v>264</v>
      </c>
      <c r="O17" s="199">
        <f>'Insights surplace'!O46</f>
        <v>182</v>
      </c>
      <c r="P17" s="200">
        <f t="shared" si="1"/>
        <v>3203</v>
      </c>
      <c r="Q17" s="197">
        <f>'Insights surplace'!P46</f>
        <v>170</v>
      </c>
      <c r="R17" s="198">
        <f>'Insights surplace'!Q46</f>
        <v>170</v>
      </c>
      <c r="S17" s="198">
        <f>'Insights surplace'!R46</f>
        <v>187</v>
      </c>
      <c r="T17" s="198">
        <f>'Insights surplace'!S46</f>
        <v>238</v>
      </c>
      <c r="U17" s="198">
        <f>'Insights surplace'!T46</f>
        <v>238</v>
      </c>
      <c r="V17" s="198">
        <f>'Insights surplace'!U46</f>
        <v>340</v>
      </c>
      <c r="W17" s="198">
        <f>'Insights surplace'!V46</f>
        <v>374</v>
      </c>
      <c r="X17" s="198">
        <f>'Insights surplace'!W46</f>
        <v>374</v>
      </c>
      <c r="Y17" s="198">
        <f>'Insights surplace'!X46</f>
        <v>340</v>
      </c>
      <c r="Z17" s="198">
        <f>'Insights surplace'!Y46</f>
        <v>238</v>
      </c>
      <c r="AA17" s="198">
        <f>'Insights surplace'!Z46</f>
        <v>204</v>
      </c>
      <c r="AB17" s="199">
        <f>'Insights surplace'!AA46</f>
        <v>170</v>
      </c>
      <c r="AC17" s="200">
        <f t="shared" si="2"/>
        <v>3043</v>
      </c>
      <c r="AD17" s="200">
        <f>SUM('Insights surplace'!AB46:AM46)</f>
        <v>3168</v>
      </c>
      <c r="AE17" s="200">
        <f>SUM('Insights surplace'!AC46:AN46)</f>
        <v>3204</v>
      </c>
      <c r="AF17" s="187"/>
      <c r="AG17" s="187"/>
      <c r="AH17" s="187"/>
      <c r="AI17" s="195"/>
      <c r="AJ17" s="195"/>
      <c r="AK17" s="195"/>
      <c r="AL17" s="195"/>
      <c r="AM17" s="195"/>
      <c r="AN17" s="195"/>
      <c r="AO17" s="195"/>
      <c r="AP17" s="195"/>
    </row>
    <row r="18" ht="13.5" customHeight="1" outlineLevel="1">
      <c r="A18" s="187"/>
      <c r="B18" s="188" t="s">
        <v>211</v>
      </c>
      <c r="C18" s="189"/>
      <c r="D18" s="201">
        <f>'Insights surplace'!D61</f>
        <v>0</v>
      </c>
      <c r="E18" s="192">
        <f>'Insights surplace'!E61</f>
        <v>0</v>
      </c>
      <c r="F18" s="192">
        <f>'Insights surplace'!F61</f>
        <v>0</v>
      </c>
      <c r="G18" s="192">
        <f>'Insights surplace'!G61</f>
        <v>0</v>
      </c>
      <c r="H18" s="192">
        <f>'Insights surplace'!H61</f>
        <v>0</v>
      </c>
      <c r="I18" s="192">
        <f>'Insights surplace'!I61</f>
        <v>0</v>
      </c>
      <c r="J18" s="192">
        <f>'Insights surplace'!J61</f>
        <v>0</v>
      </c>
      <c r="K18" s="192">
        <f>'Insights surplace'!K61</f>
        <v>0</v>
      </c>
      <c r="L18" s="192">
        <f>'Insights surplace'!L61</f>
        <v>0</v>
      </c>
      <c r="M18" s="192">
        <f>'Insights surplace'!M61</f>
        <v>0</v>
      </c>
      <c r="N18" s="192">
        <f>'Insights surplace'!N61</f>
        <v>0</v>
      </c>
      <c r="O18" s="202">
        <f>'Insights surplace'!O61</f>
        <v>0</v>
      </c>
      <c r="P18" s="189">
        <f t="shared" si="1"/>
        <v>0</v>
      </c>
      <c r="Q18" s="201">
        <f>'Insights surplace'!P61</f>
        <v>0</v>
      </c>
      <c r="R18" s="192">
        <f>'Insights surplace'!Q61</f>
        <v>0</v>
      </c>
      <c r="S18" s="192">
        <f>'Insights surplace'!R61</f>
        <v>0</v>
      </c>
      <c r="T18" s="192">
        <f>'Insights surplace'!S61</f>
        <v>0</v>
      </c>
      <c r="U18" s="192">
        <f>'Insights surplace'!T61</f>
        <v>0</v>
      </c>
      <c r="V18" s="192">
        <f>'Insights surplace'!U61</f>
        <v>0</v>
      </c>
      <c r="W18" s="192">
        <f>'Insights surplace'!V61</f>
        <v>0</v>
      </c>
      <c r="X18" s="192">
        <f>'Insights surplace'!W61</f>
        <v>0</v>
      </c>
      <c r="Y18" s="192">
        <f>'Insights surplace'!X61</f>
        <v>0</v>
      </c>
      <c r="Z18" s="192">
        <f>'Insights surplace'!Y61</f>
        <v>0</v>
      </c>
      <c r="AA18" s="192">
        <f>'Insights surplace'!Z61</f>
        <v>0</v>
      </c>
      <c r="AB18" s="202">
        <f>'Insights surplace'!AA61</f>
        <v>0</v>
      </c>
      <c r="AC18" s="189">
        <f t="shared" si="2"/>
        <v>0</v>
      </c>
      <c r="AD18" s="194">
        <f>SUM('Insights surplace'!AB61:AM61)</f>
        <v>0</v>
      </c>
      <c r="AE18" s="194">
        <f>SUM('Insights surplace'!AN61:AY61)</f>
        <v>0</v>
      </c>
      <c r="AF18" s="187"/>
      <c r="AG18" s="187"/>
      <c r="AH18" s="187"/>
      <c r="AI18" s="195"/>
      <c r="AJ18" s="195"/>
      <c r="AK18" s="195"/>
      <c r="AL18" s="195"/>
      <c r="AM18" s="195"/>
      <c r="AN18" s="195"/>
      <c r="AO18" s="195"/>
      <c r="AP18" s="195"/>
    </row>
    <row r="19" ht="13.5" customHeight="1" outlineLevel="1">
      <c r="A19" s="187"/>
      <c r="B19" s="196" t="s">
        <v>212</v>
      </c>
      <c r="C19" s="203"/>
      <c r="D19" s="197">
        <f>'Insights surplace'!D47</f>
        <v>0</v>
      </c>
      <c r="E19" s="198">
        <f>'Insights surplace'!E47</f>
        <v>0</v>
      </c>
      <c r="F19" s="198">
        <f>'Insights surplace'!F47</f>
        <v>0</v>
      </c>
      <c r="G19" s="198">
        <f>'Insights surplace'!G47</f>
        <v>0</v>
      </c>
      <c r="H19" s="198">
        <f>'Insights surplace'!H47</f>
        <v>0</v>
      </c>
      <c r="I19" s="198">
        <f>'Insights surplace'!I47</f>
        <v>0</v>
      </c>
      <c r="J19" s="198">
        <f>'Insights surplace'!J47</f>
        <v>0</v>
      </c>
      <c r="K19" s="198">
        <f>'Insights surplace'!K47</f>
        <v>0</v>
      </c>
      <c r="L19" s="198">
        <f>'Insights surplace'!L47</f>
        <v>0</v>
      </c>
      <c r="M19" s="198">
        <f>'Insights surplace'!M47</f>
        <v>0</v>
      </c>
      <c r="N19" s="198">
        <f>'Insights surplace'!N47</f>
        <v>0</v>
      </c>
      <c r="O19" s="198">
        <f>'Insights surplace'!O47</f>
        <v>0</v>
      </c>
      <c r="P19" s="200">
        <f t="shared" si="1"/>
        <v>0</v>
      </c>
      <c r="Q19" s="197">
        <f>'Insights surplace'!P47</f>
        <v>0</v>
      </c>
      <c r="R19" s="198">
        <f>'Insights surplace'!Q47</f>
        <v>0</v>
      </c>
      <c r="S19" s="198">
        <f>'Insights surplace'!R47</f>
        <v>0</v>
      </c>
      <c r="T19" s="198">
        <f>'Insights surplace'!S47</f>
        <v>0</v>
      </c>
      <c r="U19" s="198">
        <f>'Insights surplace'!T47</f>
        <v>0</v>
      </c>
      <c r="V19" s="198">
        <f>'Insights surplace'!U47</f>
        <v>0</v>
      </c>
      <c r="W19" s="198">
        <f>'Insights surplace'!V47</f>
        <v>0</v>
      </c>
      <c r="X19" s="198">
        <f>'Insights surplace'!W47</f>
        <v>0</v>
      </c>
      <c r="Y19" s="198">
        <f>'Insights surplace'!X47</f>
        <v>0</v>
      </c>
      <c r="Z19" s="198">
        <f>'Insights surplace'!Y47</f>
        <v>0</v>
      </c>
      <c r="AA19" s="198">
        <f>'Insights surplace'!Z47</f>
        <v>0</v>
      </c>
      <c r="AB19" s="198">
        <f>'Insights surplace'!AA47</f>
        <v>0</v>
      </c>
      <c r="AC19" s="200">
        <f t="shared" si="2"/>
        <v>0</v>
      </c>
      <c r="AD19" s="200">
        <f>SUM('Insights surplace'!AB47:AM47)</f>
        <v>0</v>
      </c>
      <c r="AE19" s="200">
        <f>SUM('Insights surplace'!AC47:AN47)</f>
        <v>0</v>
      </c>
      <c r="AF19" s="187"/>
      <c r="AG19" s="187"/>
      <c r="AH19" s="187"/>
      <c r="AI19" s="195"/>
      <c r="AJ19" s="195"/>
      <c r="AK19" s="195"/>
      <c r="AL19" s="195"/>
      <c r="AM19" s="195"/>
      <c r="AN19" s="195"/>
      <c r="AO19" s="195"/>
      <c r="AP19" s="195"/>
    </row>
    <row r="20" ht="13.5" customHeight="1" outlineLevel="1">
      <c r="A20" s="187"/>
      <c r="B20" s="204"/>
      <c r="C20" s="205"/>
      <c r="D20" s="206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209"/>
      <c r="Q20" s="206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8"/>
      <c r="AC20" s="209"/>
      <c r="AD20" s="209"/>
      <c r="AE20" s="209"/>
      <c r="AF20" s="187"/>
      <c r="AG20" s="187"/>
      <c r="AH20" s="187"/>
      <c r="AI20" s="195"/>
      <c r="AJ20" s="195"/>
      <c r="AK20" s="195"/>
      <c r="AL20" s="195"/>
      <c r="AM20" s="195"/>
      <c r="AN20" s="195"/>
      <c r="AO20" s="195"/>
      <c r="AP20" s="195"/>
    </row>
    <row r="21" ht="13.5" customHeight="1" outlineLevel="1">
      <c r="A21" s="187"/>
      <c r="B21" s="188" t="s">
        <v>149</v>
      </c>
      <c r="C21" s="210"/>
      <c r="D21" s="211">
        <f t="shared" ref="D21:O21" si="3">D9+D11+D13+D15+D17+D19</f>
        <v>896</v>
      </c>
      <c r="E21" s="211">
        <f t="shared" si="3"/>
        <v>1073</v>
      </c>
      <c r="F21" s="211">
        <f t="shared" si="3"/>
        <v>1164</v>
      </c>
      <c r="G21" s="211">
        <f t="shared" si="3"/>
        <v>1253</v>
      </c>
      <c r="H21" s="211">
        <f t="shared" si="3"/>
        <v>1523</v>
      </c>
      <c r="I21" s="211">
        <f t="shared" si="3"/>
        <v>1790</v>
      </c>
      <c r="J21" s="211">
        <f t="shared" si="3"/>
        <v>1968</v>
      </c>
      <c r="K21" s="211">
        <f t="shared" si="3"/>
        <v>1968</v>
      </c>
      <c r="L21" s="211">
        <f t="shared" si="3"/>
        <v>1790</v>
      </c>
      <c r="M21" s="211">
        <f t="shared" si="3"/>
        <v>1523</v>
      </c>
      <c r="N21" s="211">
        <f t="shared" si="3"/>
        <v>1431</v>
      </c>
      <c r="O21" s="211">
        <f t="shared" si="3"/>
        <v>986</v>
      </c>
      <c r="P21" s="212">
        <f t="shared" ref="P21:P22" si="7">SUM(D21:O21)</f>
        <v>17365</v>
      </c>
      <c r="Q21" s="211">
        <f t="shared" ref="Q21:AB21" si="4">Q9+Q11+Q13+Q15+Q17+Q19</f>
        <v>1010</v>
      </c>
      <c r="R21" s="211">
        <f t="shared" si="4"/>
        <v>1010</v>
      </c>
      <c r="S21" s="211">
        <f t="shared" si="4"/>
        <v>1111</v>
      </c>
      <c r="T21" s="211">
        <f t="shared" si="4"/>
        <v>1414</v>
      </c>
      <c r="U21" s="211">
        <f t="shared" si="4"/>
        <v>1414</v>
      </c>
      <c r="V21" s="211">
        <f t="shared" si="4"/>
        <v>2020</v>
      </c>
      <c r="W21" s="211">
        <f t="shared" si="4"/>
        <v>2222</v>
      </c>
      <c r="X21" s="211">
        <f t="shared" si="4"/>
        <v>2222</v>
      </c>
      <c r="Y21" s="211">
        <f t="shared" si="4"/>
        <v>2020</v>
      </c>
      <c r="Z21" s="211">
        <f t="shared" si="4"/>
        <v>1414</v>
      </c>
      <c r="AA21" s="211">
        <f t="shared" si="4"/>
        <v>1212</v>
      </c>
      <c r="AB21" s="211">
        <f t="shared" si="4"/>
        <v>1010</v>
      </c>
      <c r="AC21" s="212">
        <f t="shared" ref="AC21:AC22" si="9">SUM(Q21:AB21)</f>
        <v>18079</v>
      </c>
      <c r="AD21" s="213">
        <f t="shared" ref="AD21:AE21" si="5">AD9+AD11+AD13+AD15+AD17+AD19</f>
        <v>18157</v>
      </c>
      <c r="AE21" s="213">
        <f t="shared" si="5"/>
        <v>18363</v>
      </c>
      <c r="AF21" s="214"/>
      <c r="AG21" s="187"/>
      <c r="AH21" s="187"/>
      <c r="AI21" s="195"/>
      <c r="AJ21" s="195"/>
      <c r="AK21" s="195"/>
      <c r="AL21" s="195"/>
      <c r="AM21" s="195"/>
      <c r="AN21" s="195"/>
      <c r="AO21" s="195"/>
      <c r="AP21" s="195"/>
    </row>
    <row r="22" ht="12.75" customHeight="1">
      <c r="A22" s="187"/>
      <c r="B22" s="215" t="str">
        <f>CONCAT("Chiffre d'Affaires - ",B7)</f>
        <v>Chiffre d'Affaires - Restauration</v>
      </c>
      <c r="C22" s="216"/>
      <c r="D22" s="217">
        <f t="shared" ref="D22:O22" si="6">D8+D10+D12+D14+D16+D18</f>
        <v>11597.68182</v>
      </c>
      <c r="E22" s="217">
        <f t="shared" si="6"/>
        <v>13896.90909</v>
      </c>
      <c r="F22" s="217">
        <f t="shared" si="6"/>
        <v>15074.59091</v>
      </c>
      <c r="G22" s="217">
        <f t="shared" si="6"/>
        <v>16226.68182</v>
      </c>
      <c r="H22" s="217">
        <f t="shared" si="6"/>
        <v>19721.31818</v>
      </c>
      <c r="I22" s="217">
        <f t="shared" si="6"/>
        <v>23177.63636</v>
      </c>
      <c r="J22" s="217">
        <f t="shared" si="6"/>
        <v>25481.86364</v>
      </c>
      <c r="K22" s="217">
        <f t="shared" si="6"/>
        <v>25481.86364</v>
      </c>
      <c r="L22" s="217">
        <f t="shared" si="6"/>
        <v>23177.63636</v>
      </c>
      <c r="M22" s="217">
        <f t="shared" si="6"/>
        <v>19721.31818</v>
      </c>
      <c r="N22" s="217">
        <f t="shared" si="6"/>
        <v>18530.90909</v>
      </c>
      <c r="O22" s="217">
        <f t="shared" si="6"/>
        <v>12770.36364</v>
      </c>
      <c r="P22" s="216">
        <f t="shared" si="7"/>
        <v>224858.7727</v>
      </c>
      <c r="Q22" s="217">
        <f t="shared" ref="Q22:AB22" si="8">Q8+Q10+Q12+Q14+Q16+Q18</f>
        <v>13223.60818</v>
      </c>
      <c r="R22" s="217">
        <f t="shared" si="8"/>
        <v>13223.60818</v>
      </c>
      <c r="S22" s="217">
        <f t="shared" si="8"/>
        <v>14545.23864</v>
      </c>
      <c r="T22" s="217">
        <f t="shared" si="8"/>
        <v>18513.78182</v>
      </c>
      <c r="U22" s="217">
        <f t="shared" si="8"/>
        <v>18513.78182</v>
      </c>
      <c r="V22" s="217">
        <f t="shared" si="8"/>
        <v>26447.21636</v>
      </c>
      <c r="W22" s="217">
        <f t="shared" si="8"/>
        <v>29090.47727</v>
      </c>
      <c r="X22" s="217">
        <f t="shared" si="8"/>
        <v>29090.47727</v>
      </c>
      <c r="Y22" s="217">
        <f t="shared" si="8"/>
        <v>26447.21636</v>
      </c>
      <c r="Z22" s="217">
        <f t="shared" si="8"/>
        <v>18513.78182</v>
      </c>
      <c r="AA22" s="217">
        <f t="shared" si="8"/>
        <v>15866.86909</v>
      </c>
      <c r="AB22" s="217">
        <f t="shared" si="8"/>
        <v>13223.60818</v>
      </c>
      <c r="AC22" s="216">
        <f t="shared" si="9"/>
        <v>236699.665</v>
      </c>
      <c r="AD22" s="218">
        <f t="shared" ref="AD22:AE22" si="10">AD8+AD10+AD12+AD14+AD16+AD18</f>
        <v>245532.7671</v>
      </c>
      <c r="AE22" s="219">
        <f t="shared" si="10"/>
        <v>283117.9166</v>
      </c>
      <c r="AF22" s="214"/>
      <c r="AG22" s="187"/>
      <c r="AH22" s="187"/>
      <c r="AI22" s="195"/>
      <c r="AJ22" s="195"/>
      <c r="AK22" s="195"/>
      <c r="AL22" s="195"/>
      <c r="AM22" s="195"/>
      <c r="AN22" s="195"/>
      <c r="AO22" s="195"/>
      <c r="AP22" s="195"/>
    </row>
    <row r="23" ht="6.75" customHeight="1">
      <c r="A23" s="187"/>
      <c r="B23" s="46"/>
      <c r="C23" s="220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0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0"/>
      <c r="AD23" s="220"/>
      <c r="AE23" s="220"/>
      <c r="AF23" s="187"/>
      <c r="AG23" s="187"/>
      <c r="AH23" s="187"/>
      <c r="AI23" s="195"/>
      <c r="AJ23" s="195"/>
      <c r="AK23" s="195"/>
      <c r="AL23" s="195"/>
      <c r="AM23" s="195"/>
      <c r="AN23" s="195"/>
      <c r="AO23" s="195"/>
      <c r="AP23" s="195"/>
    </row>
    <row r="24" ht="21.0" customHeight="1">
      <c r="A24" s="180"/>
      <c r="B24" s="183" t="s">
        <v>213</v>
      </c>
      <c r="C24" s="184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6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6"/>
      <c r="AD24" s="186"/>
      <c r="AE24" s="186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</row>
    <row r="25" ht="13.5" customHeight="1" outlineLevel="1">
      <c r="A25" s="187"/>
      <c r="B25" s="188" t="s">
        <v>201</v>
      </c>
      <c r="C25" s="189"/>
      <c r="D25" s="190">
        <f>'Insights Livraison'!D56</f>
        <v>0</v>
      </c>
      <c r="E25" s="191">
        <f>'Insights Livraison'!E56</f>
        <v>0</v>
      </c>
      <c r="F25" s="191">
        <f>'Insights Livraison'!F56</f>
        <v>0</v>
      </c>
      <c r="G25" s="192">
        <f>'Insights Livraison'!G56</f>
        <v>0</v>
      </c>
      <c r="H25" s="192">
        <f>'Insights Livraison'!H56</f>
        <v>0</v>
      </c>
      <c r="I25" s="192">
        <f>'Insights Livraison'!I56</f>
        <v>0</v>
      </c>
      <c r="J25" s="192">
        <f>'Insights Livraison'!J56</f>
        <v>0</v>
      </c>
      <c r="K25" s="192">
        <f>'Insights Livraison'!K56</f>
        <v>0</v>
      </c>
      <c r="L25" s="192">
        <f>'Insights Livraison'!L56</f>
        <v>0</v>
      </c>
      <c r="M25" s="192">
        <f>'Insights Livraison'!M56</f>
        <v>0</v>
      </c>
      <c r="N25" s="192">
        <f>'Insights Livraison'!N56</f>
        <v>0</v>
      </c>
      <c r="O25" s="193">
        <f>'Insights Livraison'!O56</f>
        <v>0</v>
      </c>
      <c r="P25" s="189">
        <f t="shared" ref="P25:P36" si="11">SUM(D25:O25)</f>
        <v>0</v>
      </c>
      <c r="Q25" s="190">
        <f>'Insights Livraison'!P56</f>
        <v>0</v>
      </c>
      <c r="R25" s="191">
        <f>'Insights Livraison'!Q56</f>
        <v>0</v>
      </c>
      <c r="S25" s="191">
        <f>'Insights Livraison'!R56</f>
        <v>0</v>
      </c>
      <c r="T25" s="192">
        <f>'Insights Livraison'!S56</f>
        <v>0</v>
      </c>
      <c r="U25" s="192">
        <f>'Insights Livraison'!T56</f>
        <v>0</v>
      </c>
      <c r="V25" s="192">
        <f>'Insights Livraison'!U56</f>
        <v>0</v>
      </c>
      <c r="W25" s="192">
        <f>'Insights Livraison'!V56</f>
        <v>0</v>
      </c>
      <c r="X25" s="192">
        <f>'Insights Livraison'!W56</f>
        <v>0</v>
      </c>
      <c r="Y25" s="192">
        <f>'Insights Livraison'!X56</f>
        <v>0</v>
      </c>
      <c r="Z25" s="192">
        <f>'Insights Livraison'!Y56</f>
        <v>0</v>
      </c>
      <c r="AA25" s="192">
        <f>'Insights Livraison'!Z56</f>
        <v>0</v>
      </c>
      <c r="AB25" s="193">
        <f>'Insights Livraison'!AA56</f>
        <v>0</v>
      </c>
      <c r="AC25" s="194">
        <f t="shared" ref="AC25:AC36" si="12">SUM(Q25:AB25)</f>
        <v>0</v>
      </c>
      <c r="AD25" s="194">
        <f>SUM('Insights Livraison'!AB56:AM56)</f>
        <v>0</v>
      </c>
      <c r="AE25" s="194">
        <f>SUM('Insights Livraison'!AN56:AY56)</f>
        <v>0</v>
      </c>
      <c r="AF25" s="187"/>
      <c r="AG25" s="187"/>
      <c r="AH25" s="187"/>
      <c r="AI25" s="195"/>
      <c r="AJ25" s="195"/>
      <c r="AK25" s="195"/>
      <c r="AL25" s="195"/>
      <c r="AM25" s="195"/>
      <c r="AN25" s="195"/>
      <c r="AO25" s="195"/>
      <c r="AP25" s="195"/>
    </row>
    <row r="26" ht="13.5" customHeight="1" outlineLevel="1">
      <c r="A26" s="187"/>
      <c r="B26" s="196" t="s">
        <v>202</v>
      </c>
      <c r="C26" s="189"/>
      <c r="D26" s="197">
        <f>'Insights Livraison'!D42</f>
        <v>0</v>
      </c>
      <c r="E26" s="198">
        <f>'Insights Livraison'!E42</f>
        <v>0</v>
      </c>
      <c r="F26" s="198">
        <f>'Insights Livraison'!F42</f>
        <v>0</v>
      </c>
      <c r="G26" s="198">
        <f>'Insights Livraison'!G42</f>
        <v>0</v>
      </c>
      <c r="H26" s="198">
        <f>'Insights Livraison'!H42</f>
        <v>0</v>
      </c>
      <c r="I26" s="198">
        <f>'Insights Livraison'!I42</f>
        <v>0</v>
      </c>
      <c r="J26" s="198">
        <f>'Insights Livraison'!J42</f>
        <v>0</v>
      </c>
      <c r="K26" s="198">
        <f>'Insights Livraison'!K42</f>
        <v>0</v>
      </c>
      <c r="L26" s="198">
        <f>'Insights Livraison'!L42</f>
        <v>0</v>
      </c>
      <c r="M26" s="198">
        <f>'Insights Livraison'!M42</f>
        <v>0</v>
      </c>
      <c r="N26" s="198">
        <f>'Insights Livraison'!N42</f>
        <v>0</v>
      </c>
      <c r="O26" s="199">
        <f>'Insights Livraison'!O42</f>
        <v>0</v>
      </c>
      <c r="P26" s="200">
        <f t="shared" si="11"/>
        <v>0</v>
      </c>
      <c r="Q26" s="197">
        <f>'Insights Livraison'!P42</f>
        <v>0</v>
      </c>
      <c r="R26" s="198">
        <f>'Insights Livraison'!Q42</f>
        <v>0</v>
      </c>
      <c r="S26" s="198">
        <f>'Insights Livraison'!R42</f>
        <v>0</v>
      </c>
      <c r="T26" s="198">
        <f>'Insights Livraison'!S42</f>
        <v>0</v>
      </c>
      <c r="U26" s="198">
        <f>'Insights Livraison'!T42</f>
        <v>0</v>
      </c>
      <c r="V26" s="198">
        <f>'Insights Livraison'!U42</f>
        <v>0</v>
      </c>
      <c r="W26" s="198">
        <f>'Insights Livraison'!V42</f>
        <v>0</v>
      </c>
      <c r="X26" s="198">
        <f>'Insights Livraison'!W42</f>
        <v>0</v>
      </c>
      <c r="Y26" s="198">
        <f>'Insights Livraison'!X42</f>
        <v>0</v>
      </c>
      <c r="Z26" s="198">
        <f>'Insights Livraison'!Y42</f>
        <v>0</v>
      </c>
      <c r="AA26" s="198">
        <f>'Insights Livraison'!Z42</f>
        <v>0</v>
      </c>
      <c r="AB26" s="199">
        <f>'Insights Livraison'!AA42</f>
        <v>0</v>
      </c>
      <c r="AC26" s="200">
        <f t="shared" si="12"/>
        <v>0</v>
      </c>
      <c r="AD26" s="200">
        <f>SUM('Insights Livraison'!AB42:AM42)</f>
        <v>0</v>
      </c>
      <c r="AE26" s="200">
        <f>SUM('Insights Livraison'!AN42:AY42)</f>
        <v>0</v>
      </c>
      <c r="AF26" s="187"/>
      <c r="AG26" s="187"/>
      <c r="AH26" s="187"/>
      <c r="AI26" s="195"/>
      <c r="AJ26" s="195"/>
      <c r="AK26" s="195"/>
      <c r="AL26" s="195"/>
      <c r="AM26" s="195"/>
      <c r="AN26" s="195"/>
      <c r="AO26" s="195"/>
      <c r="AP26" s="195"/>
    </row>
    <row r="27" ht="13.5" customHeight="1" outlineLevel="1">
      <c r="A27" s="187"/>
      <c r="B27" s="188" t="s">
        <v>203</v>
      </c>
      <c r="C27" s="189"/>
      <c r="D27" s="201">
        <f>'Insights Livraison'!D57</f>
        <v>0</v>
      </c>
      <c r="E27" s="192">
        <f>'Insights Livraison'!E57</f>
        <v>0</v>
      </c>
      <c r="F27" s="192">
        <f>'Insights Livraison'!F57</f>
        <v>0</v>
      </c>
      <c r="G27" s="192">
        <f>'Insights Livraison'!G57</f>
        <v>545.4</v>
      </c>
      <c r="H27" s="192">
        <f>'Insights Livraison'!H57</f>
        <v>828.2</v>
      </c>
      <c r="I27" s="192">
        <f>'Insights Livraison'!I57</f>
        <v>828.2</v>
      </c>
      <c r="J27" s="192">
        <f>'Insights Livraison'!J57</f>
        <v>959.5</v>
      </c>
      <c r="K27" s="192">
        <f>'Insights Livraison'!K57</f>
        <v>959.5</v>
      </c>
      <c r="L27" s="192">
        <f>'Insights Livraison'!L57</f>
        <v>959.5</v>
      </c>
      <c r="M27" s="192">
        <f>'Insights Livraison'!M57</f>
        <v>959.5</v>
      </c>
      <c r="N27" s="192">
        <f>'Insights Livraison'!N57</f>
        <v>686.8</v>
      </c>
      <c r="O27" s="202">
        <f>'Insights Livraison'!O57</f>
        <v>414.1</v>
      </c>
      <c r="P27" s="189">
        <f t="shared" si="11"/>
        <v>7140.7</v>
      </c>
      <c r="Q27" s="201">
        <f>'Insights Livraison'!P57</f>
        <v>561.762</v>
      </c>
      <c r="R27" s="192">
        <f>'Insights Livraison'!Q57</f>
        <v>561.762</v>
      </c>
      <c r="S27" s="192">
        <f>'Insights Livraison'!R57</f>
        <v>561.762</v>
      </c>
      <c r="T27" s="192">
        <f>'Insights Livraison'!S57</f>
        <v>561.762</v>
      </c>
      <c r="U27" s="192">
        <f>'Insights Livraison'!T57</f>
        <v>676.195</v>
      </c>
      <c r="V27" s="192">
        <f>'Insights Livraison'!U57</f>
        <v>676.195</v>
      </c>
      <c r="W27" s="192">
        <f>'Insights Livraison'!V57</f>
        <v>676.195</v>
      </c>
      <c r="X27" s="192">
        <f>'Insights Livraison'!W57</f>
        <v>676.195</v>
      </c>
      <c r="Y27" s="192">
        <f>'Insights Livraison'!X57</f>
        <v>790.628</v>
      </c>
      <c r="Z27" s="192">
        <f>'Insights Livraison'!Y57</f>
        <v>561.762</v>
      </c>
      <c r="AA27" s="192">
        <f>'Insights Livraison'!Z57</f>
        <v>676.195</v>
      </c>
      <c r="AB27" s="202">
        <f>'Insights Livraison'!AA57</f>
        <v>561.762</v>
      </c>
      <c r="AC27" s="189">
        <f t="shared" si="12"/>
        <v>7542.175</v>
      </c>
      <c r="AD27" s="194">
        <f>SUM('Insights Livraison'!AB57:AM57)</f>
        <v>7479.13282</v>
      </c>
      <c r="AE27" s="194">
        <f>SUM('Insights Livraison'!AN57:AY57)</f>
        <v>8034.603086</v>
      </c>
      <c r="AF27" s="187"/>
      <c r="AG27" s="187"/>
      <c r="AH27" s="187"/>
      <c r="AI27" s="195"/>
      <c r="AJ27" s="195"/>
      <c r="AK27" s="195"/>
      <c r="AL27" s="195"/>
      <c r="AM27" s="195"/>
      <c r="AN27" s="195"/>
      <c r="AO27" s="195"/>
      <c r="AP27" s="195"/>
    </row>
    <row r="28" ht="13.5" customHeight="1" outlineLevel="1">
      <c r="A28" s="187"/>
      <c r="B28" s="196" t="s">
        <v>204</v>
      </c>
      <c r="C28" s="189"/>
      <c r="D28" s="197">
        <f>'Insights Livraison'!D43</f>
        <v>0</v>
      </c>
      <c r="E28" s="198">
        <f>'Insights Livraison'!E43</f>
        <v>0</v>
      </c>
      <c r="F28" s="198">
        <f>'Insights Livraison'!F43</f>
        <v>0</v>
      </c>
      <c r="G28" s="198">
        <f>'Insights Livraison'!G43</f>
        <v>54</v>
      </c>
      <c r="H28" s="198">
        <f>'Insights Livraison'!H43</f>
        <v>82</v>
      </c>
      <c r="I28" s="198">
        <f>'Insights Livraison'!I43</f>
        <v>82</v>
      </c>
      <c r="J28" s="198">
        <f>'Insights Livraison'!J43</f>
        <v>95</v>
      </c>
      <c r="K28" s="198">
        <f>'Insights Livraison'!K43</f>
        <v>95</v>
      </c>
      <c r="L28" s="198">
        <f>'Insights Livraison'!L43</f>
        <v>95</v>
      </c>
      <c r="M28" s="198">
        <f>'Insights Livraison'!M43</f>
        <v>95</v>
      </c>
      <c r="N28" s="198">
        <f>'Insights Livraison'!N43</f>
        <v>68</v>
      </c>
      <c r="O28" s="199">
        <f>'Insights Livraison'!O43</f>
        <v>41</v>
      </c>
      <c r="P28" s="200">
        <f t="shared" si="11"/>
        <v>707</v>
      </c>
      <c r="Q28" s="197">
        <f>'Insights Livraison'!P43</f>
        <v>54</v>
      </c>
      <c r="R28" s="198">
        <f>'Insights Livraison'!Q43</f>
        <v>54</v>
      </c>
      <c r="S28" s="198">
        <f>'Insights Livraison'!R43</f>
        <v>54</v>
      </c>
      <c r="T28" s="198">
        <f>'Insights Livraison'!S43</f>
        <v>54</v>
      </c>
      <c r="U28" s="198">
        <f>'Insights Livraison'!T43</f>
        <v>65</v>
      </c>
      <c r="V28" s="198">
        <f>'Insights Livraison'!U43</f>
        <v>65</v>
      </c>
      <c r="W28" s="198">
        <f>'Insights Livraison'!V43</f>
        <v>65</v>
      </c>
      <c r="X28" s="198">
        <f>'Insights Livraison'!W43</f>
        <v>65</v>
      </c>
      <c r="Y28" s="198">
        <f>'Insights Livraison'!X43</f>
        <v>76</v>
      </c>
      <c r="Z28" s="198">
        <f>'Insights Livraison'!Y43</f>
        <v>54</v>
      </c>
      <c r="AA28" s="198">
        <f>'Insights Livraison'!Z43</f>
        <v>65</v>
      </c>
      <c r="AB28" s="199">
        <f>'Insights Livraison'!AA43</f>
        <v>54</v>
      </c>
      <c r="AC28" s="200">
        <f t="shared" si="12"/>
        <v>725</v>
      </c>
      <c r="AD28" s="200">
        <f>SUM('Insights Livraison'!AB43:AM43)</f>
        <v>698</v>
      </c>
      <c r="AE28" s="200">
        <f>SUM('Insights Livraison'!AN43:AY43)</f>
        <v>728</v>
      </c>
      <c r="AF28" s="187"/>
      <c r="AG28" s="187"/>
      <c r="AH28" s="187"/>
      <c r="AI28" s="195"/>
      <c r="AJ28" s="195"/>
      <c r="AK28" s="195"/>
      <c r="AL28" s="195"/>
      <c r="AM28" s="195"/>
      <c r="AN28" s="195"/>
      <c r="AO28" s="195"/>
      <c r="AP28" s="195"/>
    </row>
    <row r="29" ht="13.5" customHeight="1" outlineLevel="1">
      <c r="A29" s="187"/>
      <c r="B29" s="188" t="s">
        <v>205</v>
      </c>
      <c r="C29" s="189"/>
      <c r="D29" s="201">
        <f>'Insights Livraison'!D58</f>
        <v>0</v>
      </c>
      <c r="E29" s="192">
        <f>'Insights Livraison'!E58</f>
        <v>0</v>
      </c>
      <c r="F29" s="192">
        <f>'Insights Livraison'!F58</f>
        <v>0</v>
      </c>
      <c r="G29" s="192">
        <f>'Insights Livraison'!G58</f>
        <v>140</v>
      </c>
      <c r="H29" s="192">
        <f>'Insights Livraison'!H58</f>
        <v>196</v>
      </c>
      <c r="I29" s="192">
        <f>'Insights Livraison'!I58</f>
        <v>196</v>
      </c>
      <c r="J29" s="192">
        <f>'Insights Livraison'!J58</f>
        <v>238</v>
      </c>
      <c r="K29" s="192">
        <f>'Insights Livraison'!K58</f>
        <v>238</v>
      </c>
      <c r="L29" s="192">
        <f>'Insights Livraison'!L58</f>
        <v>238</v>
      </c>
      <c r="M29" s="192">
        <f>'Insights Livraison'!M58</f>
        <v>238</v>
      </c>
      <c r="N29" s="192">
        <f>'Insights Livraison'!N58</f>
        <v>168</v>
      </c>
      <c r="O29" s="202">
        <f>'Insights Livraison'!O58</f>
        <v>98</v>
      </c>
      <c r="P29" s="189">
        <f t="shared" si="11"/>
        <v>1750</v>
      </c>
      <c r="Q29" s="201">
        <f>'Insights Livraison'!P58</f>
        <v>86.52</v>
      </c>
      <c r="R29" s="192">
        <f>'Insights Livraison'!Q58</f>
        <v>86.52</v>
      </c>
      <c r="S29" s="192">
        <f>'Insights Livraison'!R58</f>
        <v>86.52</v>
      </c>
      <c r="T29" s="192">
        <f>'Insights Livraison'!S58</f>
        <v>86.52</v>
      </c>
      <c r="U29" s="192">
        <f>'Insights Livraison'!T58</f>
        <v>100.94</v>
      </c>
      <c r="V29" s="192">
        <f>'Insights Livraison'!U58</f>
        <v>100.94</v>
      </c>
      <c r="W29" s="192">
        <f>'Insights Livraison'!V58</f>
        <v>100.94</v>
      </c>
      <c r="X29" s="192">
        <f>'Insights Livraison'!W58</f>
        <v>100.94</v>
      </c>
      <c r="Y29" s="192">
        <f>'Insights Livraison'!X58</f>
        <v>115.36</v>
      </c>
      <c r="Z29" s="192">
        <f>'Insights Livraison'!Y58</f>
        <v>86.52</v>
      </c>
      <c r="AA29" s="192">
        <f>'Insights Livraison'!Z58</f>
        <v>100.94</v>
      </c>
      <c r="AB29" s="202">
        <f>'Insights Livraison'!AA58</f>
        <v>86.52</v>
      </c>
      <c r="AC29" s="189">
        <f t="shared" si="12"/>
        <v>1139.18</v>
      </c>
      <c r="AD29" s="194">
        <f>SUM('Insights Livraison'!AB58:AM58)</f>
        <v>1262.471</v>
      </c>
      <c r="AE29" s="194">
        <f>SUM('Insights Livraison'!AN58:AY58)</f>
        <v>1361.537842</v>
      </c>
      <c r="AF29" s="187"/>
      <c r="AG29" s="187"/>
      <c r="AH29" s="187"/>
      <c r="AI29" s="195"/>
      <c r="AJ29" s="195"/>
      <c r="AK29" s="195"/>
      <c r="AL29" s="195"/>
      <c r="AM29" s="195"/>
      <c r="AN29" s="195"/>
      <c r="AO29" s="195"/>
      <c r="AP29" s="195"/>
    </row>
    <row r="30" ht="13.5" customHeight="1" outlineLevel="1">
      <c r="A30" s="187"/>
      <c r="B30" s="196" t="s">
        <v>206</v>
      </c>
      <c r="C30" s="189"/>
      <c r="D30" s="197">
        <f>'Insights Livraison'!D44</f>
        <v>0</v>
      </c>
      <c r="E30" s="198">
        <f>'Insights Livraison'!E44</f>
        <v>0</v>
      </c>
      <c r="F30" s="198">
        <f>'Insights Livraison'!F44</f>
        <v>0</v>
      </c>
      <c r="G30" s="198">
        <f>'Insights Livraison'!G44</f>
        <v>10</v>
      </c>
      <c r="H30" s="198">
        <f>'Insights Livraison'!H44</f>
        <v>14</v>
      </c>
      <c r="I30" s="198">
        <f>'Insights Livraison'!I44</f>
        <v>14</v>
      </c>
      <c r="J30" s="198">
        <f>'Insights Livraison'!J44</f>
        <v>17</v>
      </c>
      <c r="K30" s="198">
        <f>'Insights Livraison'!K44</f>
        <v>17</v>
      </c>
      <c r="L30" s="198">
        <f>'Insights Livraison'!L44</f>
        <v>17</v>
      </c>
      <c r="M30" s="198">
        <f>'Insights Livraison'!M44</f>
        <v>17</v>
      </c>
      <c r="N30" s="198">
        <f>'Insights Livraison'!N44</f>
        <v>12</v>
      </c>
      <c r="O30" s="199">
        <f>'Insights Livraison'!O44</f>
        <v>7</v>
      </c>
      <c r="P30" s="200">
        <f t="shared" si="11"/>
        <v>125</v>
      </c>
      <c r="Q30" s="197">
        <f>'Insights Livraison'!P44</f>
        <v>6</v>
      </c>
      <c r="R30" s="198">
        <f>'Insights Livraison'!Q44</f>
        <v>6</v>
      </c>
      <c r="S30" s="198">
        <f>'Insights Livraison'!R44</f>
        <v>6</v>
      </c>
      <c r="T30" s="198">
        <f>'Insights Livraison'!S44</f>
        <v>6</v>
      </c>
      <c r="U30" s="198">
        <f>'Insights Livraison'!T44</f>
        <v>7</v>
      </c>
      <c r="V30" s="198">
        <f>'Insights Livraison'!U44</f>
        <v>7</v>
      </c>
      <c r="W30" s="198">
        <f>'Insights Livraison'!V44</f>
        <v>7</v>
      </c>
      <c r="X30" s="198">
        <f>'Insights Livraison'!W44</f>
        <v>7</v>
      </c>
      <c r="Y30" s="198">
        <f>'Insights Livraison'!X44</f>
        <v>8</v>
      </c>
      <c r="Z30" s="198">
        <f>'Insights Livraison'!Y44</f>
        <v>6</v>
      </c>
      <c r="AA30" s="198">
        <f>'Insights Livraison'!Z44</f>
        <v>7</v>
      </c>
      <c r="AB30" s="199">
        <f>'Insights Livraison'!AA44</f>
        <v>6</v>
      </c>
      <c r="AC30" s="200">
        <f t="shared" si="12"/>
        <v>79</v>
      </c>
      <c r="AD30" s="200">
        <f>SUM('Insights Livraison'!AB44:AM44)</f>
        <v>85</v>
      </c>
      <c r="AE30" s="200">
        <f>SUM('Insights Livraison'!AN44:AY44)</f>
        <v>89</v>
      </c>
      <c r="AF30" s="187"/>
      <c r="AG30" s="187"/>
      <c r="AH30" s="187"/>
      <c r="AI30" s="195"/>
      <c r="AJ30" s="195"/>
      <c r="AK30" s="195"/>
      <c r="AL30" s="195"/>
      <c r="AM30" s="195"/>
      <c r="AN30" s="195"/>
      <c r="AO30" s="195"/>
      <c r="AP30" s="195"/>
    </row>
    <row r="31" ht="13.5" customHeight="1" outlineLevel="1">
      <c r="A31" s="187"/>
      <c r="B31" s="188" t="s">
        <v>207</v>
      </c>
      <c r="C31" s="189"/>
      <c r="D31" s="201">
        <f>'Insights Livraison'!D59</f>
        <v>0</v>
      </c>
      <c r="E31" s="192">
        <f>'Insights Livraison'!E59</f>
        <v>0</v>
      </c>
      <c r="F31" s="192">
        <f>'Insights Livraison'!F59</f>
        <v>0</v>
      </c>
      <c r="G31" s="192">
        <f>'Insights Livraison'!G59</f>
        <v>2070</v>
      </c>
      <c r="H31" s="192">
        <f>'Insights Livraison'!H59</f>
        <v>3114</v>
      </c>
      <c r="I31" s="192">
        <f>'Insights Livraison'!I59</f>
        <v>3114</v>
      </c>
      <c r="J31" s="192">
        <f>'Insights Livraison'!J59</f>
        <v>3636</v>
      </c>
      <c r="K31" s="192">
        <f>'Insights Livraison'!K59</f>
        <v>3636</v>
      </c>
      <c r="L31" s="192">
        <f>'Insights Livraison'!L59</f>
        <v>3636</v>
      </c>
      <c r="M31" s="192">
        <f>'Insights Livraison'!M59</f>
        <v>3636</v>
      </c>
      <c r="N31" s="192">
        <f>'Insights Livraison'!N59</f>
        <v>2592</v>
      </c>
      <c r="O31" s="202">
        <f>'Insights Livraison'!O59</f>
        <v>1548</v>
      </c>
      <c r="P31" s="189">
        <f t="shared" si="11"/>
        <v>26982</v>
      </c>
      <c r="Q31" s="201">
        <f>'Insights Livraison'!P59</f>
        <v>2336.04</v>
      </c>
      <c r="R31" s="192">
        <f>'Insights Livraison'!Q59</f>
        <v>2336.04</v>
      </c>
      <c r="S31" s="192">
        <f>'Insights Livraison'!R59</f>
        <v>2336.04</v>
      </c>
      <c r="T31" s="192">
        <f>'Insights Livraison'!S59</f>
        <v>2336.04</v>
      </c>
      <c r="U31" s="192">
        <f>'Insights Livraison'!T59</f>
        <v>2799.54</v>
      </c>
      <c r="V31" s="192">
        <f>'Insights Livraison'!U59</f>
        <v>2799.54</v>
      </c>
      <c r="W31" s="192">
        <f>'Insights Livraison'!V59</f>
        <v>2799.54</v>
      </c>
      <c r="X31" s="192">
        <f>'Insights Livraison'!W59</f>
        <v>2799.54</v>
      </c>
      <c r="Y31" s="192">
        <f>'Insights Livraison'!X59</f>
        <v>3263.04</v>
      </c>
      <c r="Z31" s="192">
        <f>'Insights Livraison'!Y59</f>
        <v>2336.04</v>
      </c>
      <c r="AA31" s="192">
        <f>'Insights Livraison'!Z59</f>
        <v>2799.54</v>
      </c>
      <c r="AB31" s="202">
        <f>'Insights Livraison'!AA59</f>
        <v>2336.04</v>
      </c>
      <c r="AC31" s="189">
        <f t="shared" si="12"/>
        <v>31276.98</v>
      </c>
      <c r="AD31" s="194">
        <f>SUM('Insights Livraison'!AB59:AM59)</f>
        <v>32520.8286</v>
      </c>
      <c r="AE31" s="194">
        <f>SUM('Insights Livraison'!AN59:AY59)</f>
        <v>35109.31851</v>
      </c>
      <c r="AF31" s="187"/>
      <c r="AG31" s="187"/>
      <c r="AH31" s="187"/>
      <c r="AI31" s="195"/>
      <c r="AJ31" s="195"/>
      <c r="AK31" s="195"/>
      <c r="AL31" s="195"/>
      <c r="AM31" s="195"/>
      <c r="AN31" s="195"/>
      <c r="AO31" s="195"/>
      <c r="AP31" s="195"/>
    </row>
    <row r="32" ht="13.5" customHeight="1" outlineLevel="1">
      <c r="A32" s="187"/>
      <c r="B32" s="196" t="s">
        <v>208</v>
      </c>
      <c r="C32" s="189"/>
      <c r="D32" s="197">
        <f>'Insights Livraison'!D45</f>
        <v>0</v>
      </c>
      <c r="E32" s="198">
        <f>'Insights Livraison'!E45</f>
        <v>0</v>
      </c>
      <c r="F32" s="198">
        <f>'Insights Livraison'!F45</f>
        <v>0</v>
      </c>
      <c r="G32" s="198">
        <f>'Insights Livraison'!G45</f>
        <v>115</v>
      </c>
      <c r="H32" s="198">
        <f>'Insights Livraison'!H45</f>
        <v>173</v>
      </c>
      <c r="I32" s="198">
        <f>'Insights Livraison'!I45</f>
        <v>173</v>
      </c>
      <c r="J32" s="198">
        <f>'Insights Livraison'!J45</f>
        <v>202</v>
      </c>
      <c r="K32" s="198">
        <f>'Insights Livraison'!K45</f>
        <v>202</v>
      </c>
      <c r="L32" s="198">
        <f>'Insights Livraison'!L45</f>
        <v>202</v>
      </c>
      <c r="M32" s="198">
        <f>'Insights Livraison'!M45</f>
        <v>202</v>
      </c>
      <c r="N32" s="198">
        <f>'Insights Livraison'!N45</f>
        <v>144</v>
      </c>
      <c r="O32" s="199">
        <f>'Insights Livraison'!O45</f>
        <v>86</v>
      </c>
      <c r="P32" s="200">
        <f t="shared" si="11"/>
        <v>1499</v>
      </c>
      <c r="Q32" s="197">
        <f>'Insights Livraison'!P45</f>
        <v>126</v>
      </c>
      <c r="R32" s="198">
        <f>'Insights Livraison'!Q45</f>
        <v>126</v>
      </c>
      <c r="S32" s="198">
        <f>'Insights Livraison'!R45</f>
        <v>126</v>
      </c>
      <c r="T32" s="198">
        <f>'Insights Livraison'!S45</f>
        <v>126</v>
      </c>
      <c r="U32" s="198">
        <f>'Insights Livraison'!T45</f>
        <v>151</v>
      </c>
      <c r="V32" s="198">
        <f>'Insights Livraison'!U45</f>
        <v>151</v>
      </c>
      <c r="W32" s="198">
        <f>'Insights Livraison'!V45</f>
        <v>151</v>
      </c>
      <c r="X32" s="198">
        <f>'Insights Livraison'!W45</f>
        <v>151</v>
      </c>
      <c r="Y32" s="198">
        <f>'Insights Livraison'!X45</f>
        <v>176</v>
      </c>
      <c r="Z32" s="198">
        <f>'Insights Livraison'!Y45</f>
        <v>126</v>
      </c>
      <c r="AA32" s="198">
        <f>'Insights Livraison'!Z45</f>
        <v>151</v>
      </c>
      <c r="AB32" s="199">
        <f>'Insights Livraison'!AA45</f>
        <v>126</v>
      </c>
      <c r="AC32" s="200">
        <f t="shared" si="12"/>
        <v>1687</v>
      </c>
      <c r="AD32" s="200">
        <f>SUM('Insights Livraison'!AB45:AM45)</f>
        <v>1703</v>
      </c>
      <c r="AE32" s="200">
        <f>SUM('Insights Livraison'!AN45:AY45)</f>
        <v>1785</v>
      </c>
      <c r="AF32" s="187"/>
      <c r="AG32" s="187"/>
      <c r="AH32" s="187"/>
      <c r="AI32" s="195"/>
      <c r="AJ32" s="195"/>
      <c r="AK32" s="195"/>
      <c r="AL32" s="195"/>
      <c r="AM32" s="195"/>
      <c r="AN32" s="195"/>
      <c r="AO32" s="195"/>
      <c r="AP32" s="195"/>
    </row>
    <row r="33" ht="13.5" customHeight="1" outlineLevel="1">
      <c r="A33" s="187"/>
      <c r="B33" s="188" t="s">
        <v>209</v>
      </c>
      <c r="C33" s="189"/>
      <c r="D33" s="201">
        <f>'Insights Livraison'!D60</f>
        <v>0</v>
      </c>
      <c r="E33" s="192">
        <f>'Insights Livraison'!E60</f>
        <v>0</v>
      </c>
      <c r="F33" s="192">
        <f>'Insights Livraison'!F60</f>
        <v>0</v>
      </c>
      <c r="G33" s="192">
        <f>'Insights Livraison'!G60</f>
        <v>792.75</v>
      </c>
      <c r="H33" s="192">
        <f>'Insights Livraison'!H60</f>
        <v>1200.45</v>
      </c>
      <c r="I33" s="192">
        <f>'Insights Livraison'!I60</f>
        <v>1200.45</v>
      </c>
      <c r="J33" s="192">
        <f>'Insights Livraison'!J60</f>
        <v>1404.3</v>
      </c>
      <c r="K33" s="192">
        <f>'Insights Livraison'!K60</f>
        <v>1404.3</v>
      </c>
      <c r="L33" s="192">
        <f>'Insights Livraison'!L60</f>
        <v>1404.3</v>
      </c>
      <c r="M33" s="192">
        <f>'Insights Livraison'!M60</f>
        <v>1404.3</v>
      </c>
      <c r="N33" s="192">
        <f>'Insights Livraison'!N60</f>
        <v>996.6</v>
      </c>
      <c r="O33" s="202">
        <f>'Insights Livraison'!O60</f>
        <v>588.9</v>
      </c>
      <c r="P33" s="189">
        <f t="shared" si="11"/>
        <v>10396.35</v>
      </c>
      <c r="Q33" s="201">
        <f>'Insights Livraison'!P60</f>
        <v>699.885</v>
      </c>
      <c r="R33" s="192">
        <f>'Insights Livraison'!Q60</f>
        <v>699.885</v>
      </c>
      <c r="S33" s="192">
        <f>'Insights Livraison'!R60</f>
        <v>699.885</v>
      </c>
      <c r="T33" s="192">
        <f>'Insights Livraison'!S60</f>
        <v>699.885</v>
      </c>
      <c r="U33" s="192">
        <f>'Insights Livraison'!T60</f>
        <v>839.862</v>
      </c>
      <c r="V33" s="192">
        <f>'Insights Livraison'!U60</f>
        <v>839.862</v>
      </c>
      <c r="W33" s="192">
        <f>'Insights Livraison'!V60</f>
        <v>839.862</v>
      </c>
      <c r="X33" s="192">
        <f>'Insights Livraison'!W60</f>
        <v>839.862</v>
      </c>
      <c r="Y33" s="192">
        <f>'Insights Livraison'!X60</f>
        <v>979.839</v>
      </c>
      <c r="Z33" s="192">
        <f>'Insights Livraison'!Y60</f>
        <v>699.885</v>
      </c>
      <c r="AA33" s="192">
        <f>'Insights Livraison'!Z60</f>
        <v>839.862</v>
      </c>
      <c r="AB33" s="202">
        <f>'Insights Livraison'!AA60</f>
        <v>699.885</v>
      </c>
      <c r="AC33" s="189">
        <f t="shared" si="12"/>
        <v>9378.459</v>
      </c>
      <c r="AD33" s="194">
        <f>SUM('Insights Livraison'!AB60:AM60)</f>
        <v>13120.04421</v>
      </c>
      <c r="AE33" s="194">
        <f>SUM('Insights Livraison'!AN60:AY60)</f>
        <v>14157.15247</v>
      </c>
      <c r="AF33" s="187"/>
      <c r="AG33" s="187"/>
      <c r="AH33" s="187"/>
      <c r="AI33" s="195"/>
      <c r="AJ33" s="195"/>
      <c r="AK33" s="195"/>
      <c r="AL33" s="195"/>
      <c r="AM33" s="195"/>
      <c r="AN33" s="195"/>
      <c r="AO33" s="195"/>
      <c r="AP33" s="195"/>
    </row>
    <row r="34" ht="13.5" customHeight="1" outlineLevel="1">
      <c r="A34" s="187"/>
      <c r="B34" s="196" t="s">
        <v>210</v>
      </c>
      <c r="C34" s="189"/>
      <c r="D34" s="197">
        <f>'Insights Livraison'!D46</f>
        <v>0</v>
      </c>
      <c r="E34" s="198">
        <f>'Insights Livraison'!E46</f>
        <v>0</v>
      </c>
      <c r="F34" s="198">
        <f>'Insights Livraison'!F46</f>
        <v>0</v>
      </c>
      <c r="G34" s="198">
        <f>'Insights Livraison'!G46</f>
        <v>35</v>
      </c>
      <c r="H34" s="198">
        <f>'Insights Livraison'!H46</f>
        <v>53</v>
      </c>
      <c r="I34" s="198">
        <f>'Insights Livraison'!I46</f>
        <v>53</v>
      </c>
      <c r="J34" s="198">
        <f>'Insights Livraison'!J46</f>
        <v>62</v>
      </c>
      <c r="K34" s="198">
        <f>'Insights Livraison'!K46</f>
        <v>62</v>
      </c>
      <c r="L34" s="198">
        <f>'Insights Livraison'!L46</f>
        <v>62</v>
      </c>
      <c r="M34" s="198">
        <f>'Insights Livraison'!M46</f>
        <v>62</v>
      </c>
      <c r="N34" s="198">
        <f>'Insights Livraison'!N46</f>
        <v>44</v>
      </c>
      <c r="O34" s="199">
        <f>'Insights Livraison'!O46</f>
        <v>26</v>
      </c>
      <c r="P34" s="200">
        <f t="shared" si="11"/>
        <v>459</v>
      </c>
      <c r="Q34" s="197">
        <f>'Insights Livraison'!P46</f>
        <v>30</v>
      </c>
      <c r="R34" s="198">
        <f>'Insights Livraison'!Q46</f>
        <v>30</v>
      </c>
      <c r="S34" s="198">
        <f>'Insights Livraison'!R46</f>
        <v>30</v>
      </c>
      <c r="T34" s="198">
        <f>'Insights Livraison'!S46</f>
        <v>30</v>
      </c>
      <c r="U34" s="198">
        <f>'Insights Livraison'!T46</f>
        <v>36</v>
      </c>
      <c r="V34" s="198">
        <f>'Insights Livraison'!U46</f>
        <v>36</v>
      </c>
      <c r="W34" s="198">
        <f>'Insights Livraison'!V46</f>
        <v>36</v>
      </c>
      <c r="X34" s="198">
        <f>'Insights Livraison'!W46</f>
        <v>36</v>
      </c>
      <c r="Y34" s="198">
        <f>'Insights Livraison'!X46</f>
        <v>42</v>
      </c>
      <c r="Z34" s="198">
        <f>'Insights Livraison'!Y46</f>
        <v>30</v>
      </c>
      <c r="AA34" s="198">
        <f>'Insights Livraison'!Z46</f>
        <v>36</v>
      </c>
      <c r="AB34" s="199">
        <f>'Insights Livraison'!AA46</f>
        <v>30</v>
      </c>
      <c r="AC34" s="200">
        <f t="shared" si="12"/>
        <v>402</v>
      </c>
      <c r="AD34" s="200">
        <f>SUM('Insights Livraison'!AB46:AM46)</f>
        <v>546</v>
      </c>
      <c r="AE34" s="200">
        <f>SUM('Insights Livraison'!AN46:AY46)</f>
        <v>572</v>
      </c>
      <c r="AF34" s="187"/>
      <c r="AG34" s="187"/>
      <c r="AH34" s="187"/>
      <c r="AI34" s="195"/>
      <c r="AJ34" s="195"/>
      <c r="AK34" s="195"/>
      <c r="AL34" s="195"/>
      <c r="AM34" s="195"/>
      <c r="AN34" s="195"/>
      <c r="AO34" s="195"/>
      <c r="AP34" s="195"/>
    </row>
    <row r="35" ht="13.5" customHeight="1" outlineLevel="1">
      <c r="A35" s="187"/>
      <c r="B35" s="188" t="s">
        <v>211</v>
      </c>
      <c r="C35" s="189"/>
      <c r="D35" s="201">
        <f>'Insights Livraison'!D61</f>
        <v>0</v>
      </c>
      <c r="E35" s="192">
        <f>'Insights Livraison'!E61</f>
        <v>0</v>
      </c>
      <c r="F35" s="192">
        <f>'Insights Livraison'!F61</f>
        <v>0</v>
      </c>
      <c r="G35" s="192">
        <f>'Insights Livraison'!G61</f>
        <v>0</v>
      </c>
      <c r="H35" s="192">
        <f>'Insights Livraison'!H61</f>
        <v>0</v>
      </c>
      <c r="I35" s="192">
        <f>'Insights Livraison'!I61</f>
        <v>0</v>
      </c>
      <c r="J35" s="192">
        <f>'Insights Livraison'!J61</f>
        <v>0</v>
      </c>
      <c r="K35" s="192">
        <f>'Insights Livraison'!K61</f>
        <v>0</v>
      </c>
      <c r="L35" s="192">
        <f>'Insights Livraison'!L61</f>
        <v>0</v>
      </c>
      <c r="M35" s="192">
        <f>'Insights Livraison'!M61</f>
        <v>0</v>
      </c>
      <c r="N35" s="192">
        <f>'Insights Livraison'!N61</f>
        <v>0</v>
      </c>
      <c r="O35" s="202">
        <f>'Insights Livraison'!O61</f>
        <v>0</v>
      </c>
      <c r="P35" s="189">
        <f t="shared" si="11"/>
        <v>0</v>
      </c>
      <c r="Q35" s="201">
        <f>'Insights Livraison'!P61</f>
        <v>0</v>
      </c>
      <c r="R35" s="192">
        <f>'Insights Livraison'!Q61</f>
        <v>0</v>
      </c>
      <c r="S35" s="192">
        <f>'Insights Livraison'!R61</f>
        <v>0</v>
      </c>
      <c r="T35" s="192">
        <f>'Insights Livraison'!S61</f>
        <v>0</v>
      </c>
      <c r="U35" s="192">
        <f>'Insights Livraison'!T61</f>
        <v>0</v>
      </c>
      <c r="V35" s="192">
        <f>'Insights Livraison'!U61</f>
        <v>0</v>
      </c>
      <c r="W35" s="192">
        <f>'Insights Livraison'!V61</f>
        <v>0</v>
      </c>
      <c r="X35" s="192">
        <f>'Insights Livraison'!W61</f>
        <v>0</v>
      </c>
      <c r="Y35" s="192">
        <f>'Insights Livraison'!X61</f>
        <v>0</v>
      </c>
      <c r="Z35" s="192">
        <f>'Insights Livraison'!Y61</f>
        <v>0</v>
      </c>
      <c r="AA35" s="192">
        <f>'Insights Livraison'!Z61</f>
        <v>0</v>
      </c>
      <c r="AB35" s="202">
        <f>'Insights Livraison'!AA61</f>
        <v>0</v>
      </c>
      <c r="AC35" s="189">
        <f t="shared" si="12"/>
        <v>0</v>
      </c>
      <c r="AD35" s="194">
        <f>SUM('Insights Livraison'!AB61:AM61)</f>
        <v>0</v>
      </c>
      <c r="AE35" s="194">
        <f>SUM('Insights Livraison'!AN61:AY61)</f>
        <v>0</v>
      </c>
      <c r="AF35" s="187"/>
      <c r="AG35" s="187"/>
      <c r="AH35" s="187"/>
      <c r="AI35" s="195"/>
      <c r="AJ35" s="195"/>
      <c r="AK35" s="195"/>
      <c r="AL35" s="195"/>
      <c r="AM35" s="195"/>
      <c r="AN35" s="195"/>
      <c r="AO35" s="195"/>
      <c r="AP35" s="195"/>
    </row>
    <row r="36" ht="13.5" customHeight="1" outlineLevel="1">
      <c r="A36" s="187"/>
      <c r="B36" s="196" t="s">
        <v>212</v>
      </c>
      <c r="C36" s="203"/>
      <c r="D36" s="197">
        <f>'Insights Livraison'!D47</f>
        <v>0</v>
      </c>
      <c r="E36" s="198">
        <f>'Insights Livraison'!E47</f>
        <v>0</v>
      </c>
      <c r="F36" s="198">
        <f>'Insights Livraison'!F47</f>
        <v>0</v>
      </c>
      <c r="G36" s="198">
        <f>'Insights Livraison'!G47</f>
        <v>0</v>
      </c>
      <c r="H36" s="198">
        <f>'Insights Livraison'!H47</f>
        <v>0</v>
      </c>
      <c r="I36" s="198">
        <f>'Insights Livraison'!I47</f>
        <v>0</v>
      </c>
      <c r="J36" s="198">
        <f>'Insights Livraison'!J47</f>
        <v>0</v>
      </c>
      <c r="K36" s="198">
        <f>'Insights Livraison'!K47</f>
        <v>0</v>
      </c>
      <c r="L36" s="198">
        <f>'Insights Livraison'!L47</f>
        <v>0</v>
      </c>
      <c r="M36" s="198">
        <f>'Insights Livraison'!M47</f>
        <v>0</v>
      </c>
      <c r="N36" s="198">
        <f>'Insights Livraison'!N47</f>
        <v>0</v>
      </c>
      <c r="O36" s="198">
        <f>'Insights Livraison'!O47</f>
        <v>0</v>
      </c>
      <c r="P36" s="200">
        <f t="shared" si="11"/>
        <v>0</v>
      </c>
      <c r="Q36" s="197">
        <f>'Insights Livraison'!P47</f>
        <v>0</v>
      </c>
      <c r="R36" s="198">
        <f>'Insights Livraison'!Q47</f>
        <v>0</v>
      </c>
      <c r="S36" s="198">
        <f>'Insights Livraison'!R47</f>
        <v>0</v>
      </c>
      <c r="T36" s="198">
        <f>'Insights Livraison'!S47</f>
        <v>0</v>
      </c>
      <c r="U36" s="198">
        <f>'Insights Livraison'!T47</f>
        <v>0</v>
      </c>
      <c r="V36" s="198">
        <f>'Insights Livraison'!U47</f>
        <v>0</v>
      </c>
      <c r="W36" s="198">
        <f>'Insights Livraison'!V47</f>
        <v>0</v>
      </c>
      <c r="X36" s="198">
        <f>'Insights Livraison'!W47</f>
        <v>0</v>
      </c>
      <c r="Y36" s="198">
        <f>'Insights Livraison'!X47</f>
        <v>0</v>
      </c>
      <c r="Z36" s="198">
        <f>'Insights Livraison'!Y47</f>
        <v>0</v>
      </c>
      <c r="AA36" s="198">
        <f>'Insights Livraison'!Z47</f>
        <v>0</v>
      </c>
      <c r="AB36" s="198">
        <f>'Insights Livraison'!AA47</f>
        <v>0</v>
      </c>
      <c r="AC36" s="200">
        <f t="shared" si="12"/>
        <v>0</v>
      </c>
      <c r="AD36" s="200">
        <f>SUM('Insights Livraison'!AB47:AM47)</f>
        <v>0</v>
      </c>
      <c r="AE36" s="200">
        <f>SUM('Insights Livraison'!AN47:AY47)</f>
        <v>0</v>
      </c>
      <c r="AF36" s="187"/>
      <c r="AG36" s="187"/>
      <c r="AH36" s="187"/>
      <c r="AI36" s="195"/>
      <c r="AJ36" s="195"/>
      <c r="AK36" s="195"/>
      <c r="AL36" s="195"/>
      <c r="AM36" s="195"/>
      <c r="AN36" s="195"/>
      <c r="AO36" s="195"/>
      <c r="AP36" s="195"/>
    </row>
    <row r="37" ht="13.5" customHeight="1" outlineLevel="1">
      <c r="A37" s="187"/>
      <c r="B37" s="222"/>
      <c r="C37" s="209"/>
      <c r="D37" s="206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8"/>
      <c r="P37" s="209"/>
      <c r="Q37" s="206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8"/>
      <c r="AC37" s="209"/>
      <c r="AD37" s="209"/>
      <c r="AE37" s="209"/>
      <c r="AF37" s="187"/>
      <c r="AG37" s="187"/>
      <c r="AH37" s="187"/>
      <c r="AI37" s="195"/>
      <c r="AJ37" s="195"/>
      <c r="AK37" s="195"/>
      <c r="AL37" s="195"/>
      <c r="AM37" s="195"/>
      <c r="AN37" s="195"/>
      <c r="AO37" s="195"/>
      <c r="AP37" s="195"/>
    </row>
    <row r="38" ht="13.5" customHeight="1" outlineLevel="1">
      <c r="A38" s="187"/>
      <c r="B38" s="188" t="s">
        <v>214</v>
      </c>
      <c r="C38" s="210"/>
      <c r="D38" s="211">
        <f t="shared" ref="D38:O38" si="13">D26+D28+D30+D32+D34+D36</f>
        <v>0</v>
      </c>
      <c r="E38" s="211">
        <f t="shared" si="13"/>
        <v>0</v>
      </c>
      <c r="F38" s="211">
        <f t="shared" si="13"/>
        <v>0</v>
      </c>
      <c r="G38" s="211">
        <f t="shared" si="13"/>
        <v>214</v>
      </c>
      <c r="H38" s="211">
        <f t="shared" si="13"/>
        <v>322</v>
      </c>
      <c r="I38" s="211">
        <f t="shared" si="13"/>
        <v>322</v>
      </c>
      <c r="J38" s="211">
        <f t="shared" si="13"/>
        <v>376</v>
      </c>
      <c r="K38" s="211">
        <f t="shared" si="13"/>
        <v>376</v>
      </c>
      <c r="L38" s="211">
        <f t="shared" si="13"/>
        <v>376</v>
      </c>
      <c r="M38" s="211">
        <f t="shared" si="13"/>
        <v>376</v>
      </c>
      <c r="N38" s="211">
        <f t="shared" si="13"/>
        <v>268</v>
      </c>
      <c r="O38" s="211">
        <f t="shared" si="13"/>
        <v>160</v>
      </c>
      <c r="P38" s="212">
        <f t="shared" ref="P38:P39" si="17">SUM(D38:O38)</f>
        <v>2790</v>
      </c>
      <c r="Q38" s="211">
        <f t="shared" ref="Q38:AB38" si="14">Q26+Q28+Q30+Q32+Q34+Q36</f>
        <v>216</v>
      </c>
      <c r="R38" s="211">
        <f t="shared" si="14"/>
        <v>216</v>
      </c>
      <c r="S38" s="211">
        <f t="shared" si="14"/>
        <v>216</v>
      </c>
      <c r="T38" s="211">
        <f t="shared" si="14"/>
        <v>216</v>
      </c>
      <c r="U38" s="211">
        <f t="shared" si="14"/>
        <v>259</v>
      </c>
      <c r="V38" s="211">
        <f t="shared" si="14"/>
        <v>259</v>
      </c>
      <c r="W38" s="211">
        <f t="shared" si="14"/>
        <v>259</v>
      </c>
      <c r="X38" s="211">
        <f t="shared" si="14"/>
        <v>259</v>
      </c>
      <c r="Y38" s="211">
        <f t="shared" si="14"/>
        <v>302</v>
      </c>
      <c r="Z38" s="211">
        <f t="shared" si="14"/>
        <v>216</v>
      </c>
      <c r="AA38" s="211">
        <f t="shared" si="14"/>
        <v>259</v>
      </c>
      <c r="AB38" s="211">
        <f t="shared" si="14"/>
        <v>216</v>
      </c>
      <c r="AC38" s="212">
        <f t="shared" ref="AC38:AC39" si="19">SUM(Q38:AB38)</f>
        <v>2893</v>
      </c>
      <c r="AD38" s="212">
        <f t="shared" ref="AD38:AE38" si="15">AD26+AD28+AD30+AD32+AD34+AD36</f>
        <v>3032</v>
      </c>
      <c r="AE38" s="212">
        <f t="shared" si="15"/>
        <v>3174</v>
      </c>
      <c r="AF38" s="187"/>
      <c r="AG38" s="187"/>
      <c r="AH38" s="187"/>
      <c r="AI38" s="195"/>
      <c r="AJ38" s="195"/>
      <c r="AK38" s="195"/>
      <c r="AL38" s="195"/>
      <c r="AM38" s="195"/>
      <c r="AN38" s="195"/>
      <c r="AO38" s="195"/>
      <c r="AP38" s="195"/>
    </row>
    <row r="39" ht="12.75" customHeight="1">
      <c r="A39" s="187"/>
      <c r="B39" s="215" t="str">
        <f>CONCAT("Chiffre d'Affaires - ",B24)</f>
        <v>Chiffre d'Affaires - Vente-platforme</v>
      </c>
      <c r="C39" s="216"/>
      <c r="D39" s="217">
        <f t="shared" ref="D39:O39" si="16">D25+D27+D29+D31+D33+D35</f>
        <v>0</v>
      </c>
      <c r="E39" s="217">
        <f t="shared" si="16"/>
        <v>0</v>
      </c>
      <c r="F39" s="217">
        <f t="shared" si="16"/>
        <v>0</v>
      </c>
      <c r="G39" s="217">
        <f t="shared" si="16"/>
        <v>3548.15</v>
      </c>
      <c r="H39" s="217">
        <f t="shared" si="16"/>
        <v>5338.65</v>
      </c>
      <c r="I39" s="217">
        <f t="shared" si="16"/>
        <v>5338.65</v>
      </c>
      <c r="J39" s="217">
        <f t="shared" si="16"/>
        <v>6237.8</v>
      </c>
      <c r="K39" s="217">
        <f t="shared" si="16"/>
        <v>6237.8</v>
      </c>
      <c r="L39" s="217">
        <f t="shared" si="16"/>
        <v>6237.8</v>
      </c>
      <c r="M39" s="217">
        <f t="shared" si="16"/>
        <v>6237.8</v>
      </c>
      <c r="N39" s="217">
        <f t="shared" si="16"/>
        <v>4443.4</v>
      </c>
      <c r="O39" s="217">
        <f t="shared" si="16"/>
        <v>2649</v>
      </c>
      <c r="P39" s="216">
        <f t="shared" si="17"/>
        <v>46269.05</v>
      </c>
      <c r="Q39" s="217">
        <f t="shared" ref="Q39:AB39" si="18">Q25+Q27+Q29+Q31+Q33+Q35</f>
        <v>3684.207</v>
      </c>
      <c r="R39" s="217">
        <f t="shared" si="18"/>
        <v>3684.207</v>
      </c>
      <c r="S39" s="217">
        <f t="shared" si="18"/>
        <v>3684.207</v>
      </c>
      <c r="T39" s="217">
        <f t="shared" si="18"/>
        <v>3684.207</v>
      </c>
      <c r="U39" s="217">
        <f t="shared" si="18"/>
        <v>4416.537</v>
      </c>
      <c r="V39" s="217">
        <f t="shared" si="18"/>
        <v>4416.537</v>
      </c>
      <c r="W39" s="217">
        <f t="shared" si="18"/>
        <v>4416.537</v>
      </c>
      <c r="X39" s="217">
        <f t="shared" si="18"/>
        <v>4416.537</v>
      </c>
      <c r="Y39" s="217">
        <f t="shared" si="18"/>
        <v>5148.867</v>
      </c>
      <c r="Z39" s="217">
        <f t="shared" si="18"/>
        <v>3684.207</v>
      </c>
      <c r="AA39" s="217">
        <f t="shared" si="18"/>
        <v>4416.537</v>
      </c>
      <c r="AB39" s="217">
        <f t="shared" si="18"/>
        <v>3684.207</v>
      </c>
      <c r="AC39" s="216">
        <f t="shared" si="19"/>
        <v>49336.794</v>
      </c>
      <c r="AD39" s="223">
        <f t="shared" ref="AD39:AE39" si="20">AD25+AD27+AD29+AD31+AD33+AD35</f>
        <v>54382.47663</v>
      </c>
      <c r="AE39" s="223">
        <f t="shared" si="20"/>
        <v>58662.6119</v>
      </c>
      <c r="AF39" s="214"/>
      <c r="AG39" s="187"/>
      <c r="AH39" s="187"/>
      <c r="AI39" s="195"/>
      <c r="AJ39" s="195"/>
      <c r="AK39" s="195"/>
      <c r="AL39" s="195"/>
      <c r="AM39" s="195"/>
      <c r="AN39" s="195"/>
      <c r="AO39" s="195"/>
      <c r="AP39" s="195"/>
    </row>
    <row r="40" ht="6.75" customHeight="1">
      <c r="A40" s="187"/>
      <c r="B40" s="46"/>
      <c r="C40" s="220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0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0"/>
      <c r="AD40" s="224"/>
      <c r="AE40" s="224"/>
      <c r="AF40" s="187"/>
      <c r="AG40" s="187"/>
      <c r="AH40" s="187"/>
      <c r="AI40" s="195"/>
      <c r="AJ40" s="195"/>
      <c r="AK40" s="195"/>
      <c r="AL40" s="195"/>
      <c r="AM40" s="195"/>
      <c r="AN40" s="195"/>
      <c r="AO40" s="195"/>
      <c r="AP40" s="195"/>
    </row>
    <row r="41" ht="21.0" customHeight="1">
      <c r="A41" s="180"/>
      <c r="B41" s="183" t="s">
        <v>133</v>
      </c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</row>
    <row r="42" ht="13.5" customHeight="1" outlineLevel="1">
      <c r="A42" s="187"/>
      <c r="B42" s="188" t="s">
        <v>215</v>
      </c>
      <c r="C42" s="189"/>
      <c r="D42" s="225"/>
      <c r="E42" s="225"/>
      <c r="F42" s="225"/>
      <c r="G42" s="225"/>
      <c r="H42" s="225"/>
      <c r="I42" s="226">
        <v>6500.0</v>
      </c>
      <c r="J42" s="225"/>
      <c r="K42" s="225"/>
      <c r="L42" s="225"/>
      <c r="M42" s="225"/>
      <c r="N42" s="225"/>
      <c r="O42" s="227"/>
      <c r="P42" s="189">
        <f t="shared" ref="P42:P43" si="22">SUM(D42:O42)</f>
        <v>6500</v>
      </c>
      <c r="Q42" s="225"/>
      <c r="R42" s="225"/>
      <c r="S42" s="225"/>
      <c r="T42" s="225"/>
      <c r="U42" s="225"/>
      <c r="V42" s="226">
        <v>8550.0</v>
      </c>
      <c r="W42" s="225"/>
      <c r="X42" s="225"/>
      <c r="Y42" s="225"/>
      <c r="Z42" s="225"/>
      <c r="AA42" s="225"/>
      <c r="AB42" s="227"/>
      <c r="AC42" s="189">
        <f t="shared" ref="AC42:AC43" si="24">SUM(Q42:AB42)</f>
        <v>8550</v>
      </c>
      <c r="AD42" s="228">
        <v>15700.0</v>
      </c>
      <c r="AE42" s="228">
        <v>15700.0</v>
      </c>
      <c r="AF42" s="187"/>
      <c r="AG42" s="187"/>
      <c r="AH42" s="187"/>
      <c r="AI42" s="195"/>
      <c r="AJ42" s="195"/>
      <c r="AK42" s="195"/>
      <c r="AL42" s="195"/>
      <c r="AM42" s="195"/>
      <c r="AN42" s="195"/>
      <c r="AO42" s="195"/>
      <c r="AP42" s="195"/>
    </row>
    <row r="43" ht="12.75" customHeight="1">
      <c r="A43" s="187"/>
      <c r="B43" s="215" t="str">
        <f>CONCAT("Chiffre d'Affaires - ",B41)</f>
        <v>Chiffre d'Affaires - Epicerie</v>
      </c>
      <c r="C43" s="216"/>
      <c r="D43" s="217" t="str">
        <f t="shared" ref="D43:O43" si="21">D42</f>
        <v/>
      </c>
      <c r="E43" s="217" t="str">
        <f t="shared" si="21"/>
        <v/>
      </c>
      <c r="F43" s="217" t="str">
        <f t="shared" si="21"/>
        <v/>
      </c>
      <c r="G43" s="217" t="str">
        <f t="shared" si="21"/>
        <v/>
      </c>
      <c r="H43" s="217" t="str">
        <f t="shared" si="21"/>
        <v/>
      </c>
      <c r="I43" s="217">
        <f t="shared" si="21"/>
        <v>6500</v>
      </c>
      <c r="J43" s="217" t="str">
        <f t="shared" si="21"/>
        <v/>
      </c>
      <c r="K43" s="217" t="str">
        <f t="shared" si="21"/>
        <v/>
      </c>
      <c r="L43" s="217" t="str">
        <f t="shared" si="21"/>
        <v/>
      </c>
      <c r="M43" s="217" t="str">
        <f t="shared" si="21"/>
        <v/>
      </c>
      <c r="N43" s="217" t="str">
        <f t="shared" si="21"/>
        <v/>
      </c>
      <c r="O43" s="217" t="str">
        <f t="shared" si="21"/>
        <v/>
      </c>
      <c r="P43" s="229">
        <f t="shared" si="22"/>
        <v>6500</v>
      </c>
      <c r="Q43" s="217" t="str">
        <f t="shared" ref="Q43:AB43" si="23">Q42</f>
        <v/>
      </c>
      <c r="R43" s="217" t="str">
        <f t="shared" si="23"/>
        <v/>
      </c>
      <c r="S43" s="217" t="str">
        <f t="shared" si="23"/>
        <v/>
      </c>
      <c r="T43" s="217" t="str">
        <f t="shared" si="23"/>
        <v/>
      </c>
      <c r="U43" s="217" t="str">
        <f t="shared" si="23"/>
        <v/>
      </c>
      <c r="V43" s="217">
        <f t="shared" si="23"/>
        <v>8550</v>
      </c>
      <c r="W43" s="217" t="str">
        <f t="shared" si="23"/>
        <v/>
      </c>
      <c r="X43" s="217" t="str">
        <f t="shared" si="23"/>
        <v/>
      </c>
      <c r="Y43" s="217" t="str">
        <f t="shared" si="23"/>
        <v/>
      </c>
      <c r="Z43" s="217" t="str">
        <f t="shared" si="23"/>
        <v/>
      </c>
      <c r="AA43" s="217" t="str">
        <f t="shared" si="23"/>
        <v/>
      </c>
      <c r="AB43" s="217" t="str">
        <f t="shared" si="23"/>
        <v/>
      </c>
      <c r="AC43" s="229">
        <f t="shared" si="24"/>
        <v>8550</v>
      </c>
      <c r="AD43" s="217">
        <f t="shared" ref="AD43:AE43" si="25">AD42</f>
        <v>15700</v>
      </c>
      <c r="AE43" s="217">
        <f t="shared" si="25"/>
        <v>15700</v>
      </c>
      <c r="AF43" s="187"/>
      <c r="AG43" s="187"/>
      <c r="AH43" s="187"/>
      <c r="AI43" s="195"/>
      <c r="AJ43" s="195"/>
      <c r="AK43" s="195"/>
      <c r="AL43" s="195"/>
      <c r="AM43" s="195"/>
      <c r="AN43" s="195"/>
      <c r="AO43" s="195"/>
      <c r="AP43" s="195"/>
    </row>
    <row r="44" ht="6.75" customHeight="1">
      <c r="A44" s="187" t="s">
        <v>216</v>
      </c>
      <c r="B44" s="46"/>
      <c r="C44" s="220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0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0"/>
      <c r="AD44" s="220"/>
      <c r="AE44" s="220"/>
      <c r="AF44" s="187"/>
      <c r="AG44" s="187"/>
      <c r="AH44" s="187"/>
      <c r="AI44" s="195"/>
      <c r="AJ44" s="195"/>
      <c r="AK44" s="195"/>
      <c r="AL44" s="195"/>
      <c r="AM44" s="195"/>
      <c r="AN44" s="195"/>
      <c r="AO44" s="195"/>
      <c r="AP44" s="195"/>
    </row>
    <row r="45" ht="21.0" customHeight="1">
      <c r="A45" s="180"/>
      <c r="B45" s="183" t="s">
        <v>134</v>
      </c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</row>
    <row r="46" ht="15.0" customHeight="1" outlineLevel="1">
      <c r="A46" s="187"/>
      <c r="B46" s="222" t="s">
        <v>215</v>
      </c>
      <c r="C46" s="230"/>
      <c r="D46" s="231"/>
      <c r="E46" s="231"/>
      <c r="F46" s="231"/>
      <c r="G46" s="231"/>
      <c r="H46" s="231"/>
      <c r="I46" s="231"/>
      <c r="J46" s="231"/>
      <c r="K46" s="231"/>
      <c r="L46" s="231"/>
      <c r="M46" s="232"/>
      <c r="N46" s="232">
        <v>3500.0</v>
      </c>
      <c r="O46" s="233">
        <v>3500.0</v>
      </c>
      <c r="P46" s="230">
        <f t="shared" ref="P46:P47" si="27">SUM(D46:O46)</f>
        <v>7000</v>
      </c>
      <c r="Q46" s="231"/>
      <c r="R46" s="232">
        <v>3125.0</v>
      </c>
      <c r="S46" s="231"/>
      <c r="T46" s="231"/>
      <c r="U46" s="232">
        <v>3125.0</v>
      </c>
      <c r="V46" s="231"/>
      <c r="W46" s="231"/>
      <c r="X46" s="232">
        <v>3125.0</v>
      </c>
      <c r="Y46" s="231"/>
      <c r="Z46" s="231"/>
      <c r="AA46" s="232">
        <v>3125.0</v>
      </c>
      <c r="AB46" s="234"/>
      <c r="AC46" s="230">
        <f t="shared" ref="AC46:AC47" si="29">SUM(Q46:AB46)</f>
        <v>12500</v>
      </c>
      <c r="AD46" s="235">
        <v>12500.0</v>
      </c>
      <c r="AE46" s="235">
        <v>13000.0</v>
      </c>
      <c r="AF46" s="187"/>
      <c r="AG46" s="187"/>
      <c r="AH46" s="187"/>
      <c r="AI46" s="195"/>
      <c r="AJ46" s="195"/>
      <c r="AK46" s="195"/>
      <c r="AL46" s="195"/>
      <c r="AM46" s="195"/>
      <c r="AN46" s="195"/>
      <c r="AO46" s="195"/>
      <c r="AP46" s="195"/>
    </row>
    <row r="47" ht="12.75" customHeight="1">
      <c r="A47" s="187"/>
      <c r="B47" s="215" t="str">
        <f>CONCAT("Chiffre d'Affaires - ",B45)</f>
        <v>Chiffre d'Affaires - Traiteur</v>
      </c>
      <c r="C47" s="216"/>
      <c r="D47" s="217" t="str">
        <f t="shared" ref="D47:O47" si="26">D46</f>
        <v/>
      </c>
      <c r="E47" s="217" t="str">
        <f t="shared" si="26"/>
        <v/>
      </c>
      <c r="F47" s="217" t="str">
        <f t="shared" si="26"/>
        <v/>
      </c>
      <c r="G47" s="217" t="str">
        <f t="shared" si="26"/>
        <v/>
      </c>
      <c r="H47" s="217" t="str">
        <f t="shared" si="26"/>
        <v/>
      </c>
      <c r="I47" s="217" t="str">
        <f t="shared" si="26"/>
        <v/>
      </c>
      <c r="J47" s="217" t="str">
        <f t="shared" si="26"/>
        <v/>
      </c>
      <c r="K47" s="217" t="str">
        <f t="shared" si="26"/>
        <v/>
      </c>
      <c r="L47" s="217" t="str">
        <f t="shared" si="26"/>
        <v/>
      </c>
      <c r="M47" s="217" t="str">
        <f t="shared" si="26"/>
        <v/>
      </c>
      <c r="N47" s="217">
        <f t="shared" si="26"/>
        <v>3500</v>
      </c>
      <c r="O47" s="217">
        <f t="shared" si="26"/>
        <v>3500</v>
      </c>
      <c r="P47" s="229">
        <f t="shared" si="27"/>
        <v>7000</v>
      </c>
      <c r="Q47" s="217" t="str">
        <f t="shared" ref="Q47:AB47" si="28">Q46</f>
        <v/>
      </c>
      <c r="R47" s="217">
        <f t="shared" si="28"/>
        <v>3125</v>
      </c>
      <c r="S47" s="217" t="str">
        <f t="shared" si="28"/>
        <v/>
      </c>
      <c r="T47" s="217" t="str">
        <f t="shared" si="28"/>
        <v/>
      </c>
      <c r="U47" s="217">
        <f t="shared" si="28"/>
        <v>3125</v>
      </c>
      <c r="V47" s="217" t="str">
        <f t="shared" si="28"/>
        <v/>
      </c>
      <c r="W47" s="217" t="str">
        <f t="shared" si="28"/>
        <v/>
      </c>
      <c r="X47" s="217">
        <f t="shared" si="28"/>
        <v>3125</v>
      </c>
      <c r="Y47" s="217" t="str">
        <f t="shared" si="28"/>
        <v/>
      </c>
      <c r="Z47" s="217" t="str">
        <f t="shared" si="28"/>
        <v/>
      </c>
      <c r="AA47" s="217">
        <f t="shared" si="28"/>
        <v>3125</v>
      </c>
      <c r="AB47" s="217" t="str">
        <f t="shared" si="28"/>
        <v/>
      </c>
      <c r="AC47" s="229">
        <f t="shared" si="29"/>
        <v>12500</v>
      </c>
      <c r="AD47" s="217">
        <f t="shared" ref="AD47:AE47" si="30">AD46</f>
        <v>12500</v>
      </c>
      <c r="AE47" s="217">
        <f t="shared" si="30"/>
        <v>13000</v>
      </c>
      <c r="AF47" s="187"/>
      <c r="AG47" s="187"/>
      <c r="AH47" s="187"/>
      <c r="AI47" s="195"/>
      <c r="AJ47" s="195"/>
      <c r="AK47" s="195"/>
      <c r="AL47" s="195"/>
      <c r="AM47" s="195"/>
      <c r="AN47" s="195"/>
      <c r="AO47" s="195"/>
      <c r="AP47" s="195"/>
    </row>
    <row r="48" ht="12.75" customHeight="1">
      <c r="A48" s="187"/>
      <c r="B48" s="236"/>
      <c r="C48" s="237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7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7"/>
      <c r="AD48" s="237"/>
      <c r="AE48" s="237"/>
      <c r="AF48" s="187"/>
      <c r="AG48" s="187"/>
      <c r="AH48" s="187"/>
      <c r="AI48" s="195"/>
      <c r="AJ48" s="195"/>
      <c r="AK48" s="195"/>
      <c r="AL48" s="195"/>
      <c r="AM48" s="195"/>
      <c r="AN48" s="195"/>
      <c r="AO48" s="195"/>
      <c r="AP48" s="195"/>
    </row>
    <row r="49" ht="15.0" customHeight="1">
      <c r="A49" s="239"/>
      <c r="B49" s="240" t="s">
        <v>217</v>
      </c>
      <c r="C49" s="241"/>
      <c r="D49" s="242"/>
      <c r="E49" s="242">
        <f t="shared" ref="E49:O49" si="31">(E50-D50)/D50</f>
        <v>0.1982488663</v>
      </c>
      <c r="F49" s="242">
        <f t="shared" si="31"/>
        <v>0.08474415501</v>
      </c>
      <c r="G49" s="242">
        <f t="shared" si="31"/>
        <v>0.311798903</v>
      </c>
      <c r="H49" s="242">
        <f t="shared" si="31"/>
        <v>0.267265806</v>
      </c>
      <c r="I49" s="242">
        <f t="shared" si="31"/>
        <v>0.3972997136</v>
      </c>
      <c r="J49" s="242">
        <f t="shared" si="31"/>
        <v>-0.0941454126</v>
      </c>
      <c r="K49" s="242">
        <f t="shared" si="31"/>
        <v>0</v>
      </c>
      <c r="L49" s="242">
        <f t="shared" si="31"/>
        <v>-0.07264349645</v>
      </c>
      <c r="M49" s="242">
        <f t="shared" si="31"/>
        <v>-0.1175001499</v>
      </c>
      <c r="N49" s="242">
        <f t="shared" si="31"/>
        <v>0.01984624075</v>
      </c>
      <c r="O49" s="243">
        <f t="shared" si="31"/>
        <v>-0.2853689374</v>
      </c>
      <c r="P49" s="241"/>
      <c r="Q49" s="242"/>
      <c r="R49" s="242">
        <f t="shared" ref="R49:AB49" si="32">(R50-Q50)/Q50</f>
        <v>0.1848257724</v>
      </c>
      <c r="S49" s="242">
        <f t="shared" si="32"/>
        <v>-0.09002077487</v>
      </c>
      <c r="T49" s="242">
        <f t="shared" si="32"/>
        <v>0.2176996087</v>
      </c>
      <c r="U49" s="242">
        <f t="shared" si="32"/>
        <v>0.173769346</v>
      </c>
      <c r="V49" s="242">
        <f t="shared" si="32"/>
        <v>0.5126951099</v>
      </c>
      <c r="W49" s="242">
        <f t="shared" si="32"/>
        <v>-0.1498649224</v>
      </c>
      <c r="X49" s="242">
        <f t="shared" si="32"/>
        <v>0.09326405434</v>
      </c>
      <c r="Y49" s="242">
        <f t="shared" si="32"/>
        <v>-0.1374734917</v>
      </c>
      <c r="Z49" s="242">
        <f t="shared" si="32"/>
        <v>-0.2974449218</v>
      </c>
      <c r="AA49" s="242">
        <f t="shared" si="32"/>
        <v>0.05452824049</v>
      </c>
      <c r="AB49" s="243">
        <f t="shared" si="32"/>
        <v>-0.2777032697</v>
      </c>
      <c r="AC49" s="241">
        <f>(AC50-P50)/P50</f>
        <v>0.07890527376</v>
      </c>
      <c r="AD49" s="244">
        <f t="shared" ref="AD49:AE49" si="33">(AD50-AC50)/AC50</f>
        <v>0.06847838485</v>
      </c>
      <c r="AE49" s="244">
        <f t="shared" si="33"/>
        <v>0.129117088</v>
      </c>
      <c r="AF49" s="239"/>
      <c r="AG49" s="239"/>
      <c r="AH49" s="239"/>
      <c r="AI49" s="245"/>
      <c r="AJ49" s="245"/>
      <c r="AK49" s="245"/>
      <c r="AL49" s="245"/>
      <c r="AM49" s="245"/>
      <c r="AN49" s="245"/>
      <c r="AO49" s="245"/>
      <c r="AP49" s="245"/>
    </row>
    <row r="50" ht="24.75" customHeight="1">
      <c r="A50" s="195"/>
      <c r="B50" s="246" t="s">
        <v>218</v>
      </c>
      <c r="C50" s="247"/>
      <c r="D50" s="248">
        <f t="shared" ref="D50:AB50" si="34">D22+D39+D47+D43</f>
        <v>11597.68182</v>
      </c>
      <c r="E50" s="248">
        <f t="shared" si="34"/>
        <v>13896.90909</v>
      </c>
      <c r="F50" s="248">
        <f t="shared" si="34"/>
        <v>15074.59091</v>
      </c>
      <c r="G50" s="248">
        <f t="shared" si="34"/>
        <v>19774.83182</v>
      </c>
      <c r="H50" s="248">
        <f t="shared" si="34"/>
        <v>25059.96818</v>
      </c>
      <c r="I50" s="248">
        <f t="shared" si="34"/>
        <v>35016.28636</v>
      </c>
      <c r="J50" s="248">
        <f t="shared" si="34"/>
        <v>31719.66364</v>
      </c>
      <c r="K50" s="248">
        <f t="shared" si="34"/>
        <v>31719.66364</v>
      </c>
      <c r="L50" s="248">
        <f t="shared" si="34"/>
        <v>29415.43636</v>
      </c>
      <c r="M50" s="248">
        <f t="shared" si="34"/>
        <v>25959.11818</v>
      </c>
      <c r="N50" s="248">
        <f t="shared" si="34"/>
        <v>26474.30909</v>
      </c>
      <c r="O50" s="248">
        <f t="shared" si="34"/>
        <v>18919.36364</v>
      </c>
      <c r="P50" s="247">
        <f t="shared" si="34"/>
        <v>284627.8227</v>
      </c>
      <c r="Q50" s="248">
        <f t="shared" si="34"/>
        <v>16907.81518</v>
      </c>
      <c r="R50" s="248">
        <f t="shared" si="34"/>
        <v>20032.81518</v>
      </c>
      <c r="S50" s="248">
        <f t="shared" si="34"/>
        <v>18229.44564</v>
      </c>
      <c r="T50" s="248">
        <f t="shared" si="34"/>
        <v>22197.98882</v>
      </c>
      <c r="U50" s="248">
        <f t="shared" si="34"/>
        <v>26055.31882</v>
      </c>
      <c r="V50" s="248">
        <f t="shared" si="34"/>
        <v>39413.75336</v>
      </c>
      <c r="W50" s="248">
        <f t="shared" si="34"/>
        <v>33507.01427</v>
      </c>
      <c r="X50" s="248">
        <f t="shared" si="34"/>
        <v>36632.01427</v>
      </c>
      <c r="Y50" s="248">
        <f t="shared" si="34"/>
        <v>31596.08336</v>
      </c>
      <c r="Z50" s="248">
        <f t="shared" si="34"/>
        <v>22197.98882</v>
      </c>
      <c r="AA50" s="248">
        <f t="shared" si="34"/>
        <v>23408.40609</v>
      </c>
      <c r="AB50" s="248">
        <f t="shared" si="34"/>
        <v>16907.81518</v>
      </c>
      <c r="AC50" s="247">
        <f t="shared" ref="AC50:AE50" si="35">AC22+AC39+AC43+AC47</f>
        <v>307086.459</v>
      </c>
      <c r="AD50" s="247">
        <f t="shared" si="35"/>
        <v>328115.2437</v>
      </c>
      <c r="AE50" s="247">
        <f t="shared" si="35"/>
        <v>370480.5285</v>
      </c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</row>
    <row r="51" ht="14.25" customHeight="1">
      <c r="A51" s="249"/>
      <c r="B51" s="250" t="s">
        <v>219</v>
      </c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2"/>
      <c r="P51" s="253">
        <f>IF(SUM(D50:O50)=P50,0,P50-SUM(D50:O50))</f>
        <v>0</v>
      </c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2"/>
      <c r="AC51" s="253">
        <f>IF(SUM(Q50:AB50)=AC50,0,AC50-SUM(Q50:AB50))</f>
        <v>0</v>
      </c>
      <c r="AD51" s="251"/>
      <c r="AE51" s="251"/>
      <c r="AF51" s="249"/>
      <c r="AG51" s="249"/>
      <c r="AH51" s="249"/>
      <c r="AI51" s="195"/>
      <c r="AJ51" s="195"/>
      <c r="AK51" s="195"/>
      <c r="AL51" s="195"/>
      <c r="AM51" s="195"/>
      <c r="AN51" s="195"/>
      <c r="AO51" s="195"/>
      <c r="AP51" s="195"/>
    </row>
    <row r="52" ht="24.75" customHeight="1">
      <c r="A52" s="180"/>
      <c r="B52" s="181" t="s">
        <v>220</v>
      </c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</row>
    <row r="53" ht="21.0" customHeight="1">
      <c r="A53" s="180"/>
      <c r="B53" s="183" t="s">
        <v>200</v>
      </c>
      <c r="C53" s="184"/>
      <c r="D53" s="254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184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184"/>
      <c r="AD53" s="184"/>
      <c r="AE53" s="184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</row>
    <row r="54" ht="15.0" customHeight="1" outlineLevel="1">
      <c r="A54" s="256"/>
      <c r="B54" s="188" t="s">
        <v>221</v>
      </c>
      <c r="C54" s="257"/>
      <c r="D54" s="258">
        <v>0.3</v>
      </c>
      <c r="E54" s="259">
        <v>0.3</v>
      </c>
      <c r="F54" s="259">
        <v>0.3</v>
      </c>
      <c r="G54" s="259">
        <v>0.3</v>
      </c>
      <c r="H54" s="259">
        <v>0.3</v>
      </c>
      <c r="I54" s="259">
        <v>0.3</v>
      </c>
      <c r="J54" s="259">
        <v>0.25</v>
      </c>
      <c r="K54" s="259">
        <v>0.25</v>
      </c>
      <c r="L54" s="259">
        <v>0.25</v>
      </c>
      <c r="M54" s="259">
        <v>0.25</v>
      </c>
      <c r="N54" s="259">
        <v>0.25</v>
      </c>
      <c r="O54" s="259">
        <v>0.25</v>
      </c>
      <c r="P54" s="260">
        <f>AVERAGE(D54:O54)</f>
        <v>0.275</v>
      </c>
      <c r="Q54" s="258">
        <v>0.25</v>
      </c>
      <c r="R54" s="259">
        <v>0.25</v>
      </c>
      <c r="S54" s="259">
        <v>0.25</v>
      </c>
      <c r="T54" s="259">
        <v>0.25</v>
      </c>
      <c r="U54" s="259">
        <v>0.25</v>
      </c>
      <c r="V54" s="259">
        <v>0.25</v>
      </c>
      <c r="W54" s="259">
        <v>0.25</v>
      </c>
      <c r="X54" s="259">
        <v>0.25</v>
      </c>
      <c r="Y54" s="259">
        <v>0.25</v>
      </c>
      <c r="Z54" s="259">
        <v>0.25</v>
      </c>
      <c r="AA54" s="259">
        <v>0.25</v>
      </c>
      <c r="AB54" s="259">
        <v>0.25</v>
      </c>
      <c r="AC54" s="260">
        <f>AVERAGE(Q54:AB54)</f>
        <v>0.25</v>
      </c>
      <c r="AD54" s="261">
        <v>0.2</v>
      </c>
      <c r="AE54" s="261">
        <v>0.2</v>
      </c>
      <c r="AF54" s="262"/>
      <c r="AG54" s="256"/>
      <c r="AH54" s="256"/>
      <c r="AI54" s="263"/>
      <c r="AJ54" s="263"/>
      <c r="AK54" s="263"/>
      <c r="AL54" s="263"/>
      <c r="AM54" s="263"/>
      <c r="AN54" s="263"/>
      <c r="AO54" s="263"/>
      <c r="AP54" s="263"/>
    </row>
    <row r="55" ht="15.0" customHeight="1" outlineLevel="1">
      <c r="A55" s="256"/>
      <c r="B55" s="196" t="s">
        <v>222</v>
      </c>
      <c r="C55" s="257"/>
      <c r="D55" s="197">
        <f t="shared" ref="D55:O55" si="36">D8*D54</f>
        <v>232.5</v>
      </c>
      <c r="E55" s="198">
        <f t="shared" si="36"/>
        <v>277.5</v>
      </c>
      <c r="F55" s="198">
        <f t="shared" si="36"/>
        <v>301.5</v>
      </c>
      <c r="G55" s="198">
        <f t="shared" si="36"/>
        <v>324</v>
      </c>
      <c r="H55" s="198">
        <f t="shared" si="36"/>
        <v>394.5</v>
      </c>
      <c r="I55" s="198">
        <f t="shared" si="36"/>
        <v>463.5</v>
      </c>
      <c r="J55" s="198">
        <f t="shared" si="36"/>
        <v>425</v>
      </c>
      <c r="K55" s="198">
        <f t="shared" si="36"/>
        <v>425</v>
      </c>
      <c r="L55" s="198">
        <f t="shared" si="36"/>
        <v>386.25</v>
      </c>
      <c r="M55" s="198">
        <f t="shared" si="36"/>
        <v>328.75</v>
      </c>
      <c r="N55" s="198">
        <f t="shared" si="36"/>
        <v>308.75</v>
      </c>
      <c r="O55" s="198">
        <f t="shared" si="36"/>
        <v>212.5</v>
      </c>
      <c r="P55" s="200">
        <f>SUM(D55:O55)</f>
        <v>4079.75</v>
      </c>
      <c r="Q55" s="197">
        <f t="shared" ref="Q55:AB55" si="37">Q8*Q54</f>
        <v>218.875</v>
      </c>
      <c r="R55" s="198">
        <f t="shared" si="37"/>
        <v>218.875</v>
      </c>
      <c r="S55" s="198">
        <f t="shared" si="37"/>
        <v>240.7625</v>
      </c>
      <c r="T55" s="198">
        <f t="shared" si="37"/>
        <v>306.425</v>
      </c>
      <c r="U55" s="198">
        <f t="shared" si="37"/>
        <v>306.425</v>
      </c>
      <c r="V55" s="198">
        <f t="shared" si="37"/>
        <v>437.75</v>
      </c>
      <c r="W55" s="198">
        <f t="shared" si="37"/>
        <v>481.525</v>
      </c>
      <c r="X55" s="198">
        <f t="shared" si="37"/>
        <v>481.525</v>
      </c>
      <c r="Y55" s="198">
        <f t="shared" si="37"/>
        <v>437.75</v>
      </c>
      <c r="Z55" s="198">
        <f t="shared" si="37"/>
        <v>306.425</v>
      </c>
      <c r="AA55" s="198">
        <f t="shared" si="37"/>
        <v>262.65</v>
      </c>
      <c r="AB55" s="198">
        <f t="shared" si="37"/>
        <v>218.875</v>
      </c>
      <c r="AC55" s="200">
        <f>SUM(Q55:AB55)</f>
        <v>3917.8625</v>
      </c>
      <c r="AD55" s="264">
        <f t="shared" ref="AD55:AE55" si="38">AD8*AD54</f>
        <v>3360.9312</v>
      </c>
      <c r="AE55" s="264">
        <f t="shared" si="38"/>
        <v>3874.809942</v>
      </c>
      <c r="AF55" s="262"/>
      <c r="AG55" s="256"/>
      <c r="AH55" s="256"/>
      <c r="AI55" s="263"/>
      <c r="AJ55" s="263"/>
      <c r="AK55" s="263"/>
      <c r="AL55" s="263"/>
      <c r="AM55" s="263"/>
      <c r="AN55" s="263"/>
      <c r="AO55" s="263"/>
      <c r="AP55" s="263"/>
    </row>
    <row r="56" ht="15.0" customHeight="1" outlineLevel="1">
      <c r="A56" s="256"/>
      <c r="B56" s="188" t="s">
        <v>223</v>
      </c>
      <c r="C56" s="257"/>
      <c r="D56" s="265">
        <v>0.3</v>
      </c>
      <c r="E56" s="266">
        <v>0.3</v>
      </c>
      <c r="F56" s="266">
        <v>0.3</v>
      </c>
      <c r="G56" s="266">
        <v>0.3</v>
      </c>
      <c r="H56" s="266">
        <v>0.3</v>
      </c>
      <c r="I56" s="266">
        <v>0.3</v>
      </c>
      <c r="J56" s="266">
        <v>0.25</v>
      </c>
      <c r="K56" s="266">
        <v>0.25</v>
      </c>
      <c r="L56" s="267">
        <v>0.25</v>
      </c>
      <c r="M56" s="267">
        <v>0.25</v>
      </c>
      <c r="N56" s="267">
        <v>0.25</v>
      </c>
      <c r="O56" s="268">
        <v>0.25</v>
      </c>
      <c r="P56" s="260">
        <f>AVERAGE(D56:O56)</f>
        <v>0.275</v>
      </c>
      <c r="Q56" s="265">
        <v>0.25</v>
      </c>
      <c r="R56" s="266">
        <v>0.25</v>
      </c>
      <c r="S56" s="266">
        <v>0.25</v>
      </c>
      <c r="T56" s="266">
        <v>0.25</v>
      </c>
      <c r="U56" s="266">
        <v>0.25</v>
      </c>
      <c r="V56" s="266">
        <v>0.25</v>
      </c>
      <c r="W56" s="266">
        <v>0.25</v>
      </c>
      <c r="X56" s="266">
        <v>0.25</v>
      </c>
      <c r="Y56" s="267">
        <v>0.25</v>
      </c>
      <c r="Z56" s="267">
        <v>0.25</v>
      </c>
      <c r="AA56" s="267">
        <v>0.25</v>
      </c>
      <c r="AB56" s="268">
        <v>0.25</v>
      </c>
      <c r="AC56" s="260">
        <f>AVERAGE(Q56:AB56)</f>
        <v>0.25</v>
      </c>
      <c r="AD56" s="269">
        <v>0.2</v>
      </c>
      <c r="AE56" s="269">
        <v>0.2</v>
      </c>
      <c r="AF56" s="262"/>
      <c r="AG56" s="256"/>
      <c r="AH56" s="256"/>
      <c r="AI56" s="263"/>
      <c r="AJ56" s="263"/>
      <c r="AK56" s="263"/>
      <c r="AL56" s="263"/>
      <c r="AM56" s="263"/>
      <c r="AN56" s="263"/>
      <c r="AO56" s="263"/>
      <c r="AP56" s="263"/>
    </row>
    <row r="57" ht="15.0" customHeight="1" outlineLevel="1">
      <c r="A57" s="256"/>
      <c r="B57" s="196" t="s">
        <v>222</v>
      </c>
      <c r="C57" s="257"/>
      <c r="D57" s="197">
        <f t="shared" ref="D57:O57" si="39">D10*D56</f>
        <v>652.8272727</v>
      </c>
      <c r="E57" s="198">
        <f t="shared" si="39"/>
        <v>782.2909091</v>
      </c>
      <c r="F57" s="198">
        <f t="shared" si="39"/>
        <v>848.4</v>
      </c>
      <c r="G57" s="198">
        <f t="shared" si="39"/>
        <v>914.5090909</v>
      </c>
      <c r="H57" s="198">
        <f t="shared" si="39"/>
        <v>1110.081818</v>
      </c>
      <c r="I57" s="198">
        <f t="shared" si="39"/>
        <v>1305.654545</v>
      </c>
      <c r="J57" s="198">
        <f t="shared" si="39"/>
        <v>1195.931818</v>
      </c>
      <c r="K57" s="198">
        <f t="shared" si="39"/>
        <v>1195.931818</v>
      </c>
      <c r="L57" s="198">
        <f t="shared" si="39"/>
        <v>1088.045455</v>
      </c>
      <c r="M57" s="198">
        <f t="shared" si="39"/>
        <v>925.0681818</v>
      </c>
      <c r="N57" s="198">
        <f t="shared" si="39"/>
        <v>869.9772727</v>
      </c>
      <c r="O57" s="198">
        <f t="shared" si="39"/>
        <v>599.1136364</v>
      </c>
      <c r="P57" s="200">
        <f>SUM(D57:O57)</f>
        <v>11487.83182</v>
      </c>
      <c r="Q57" s="197">
        <f t="shared" ref="Q57:AB57" si="40">Q10*Q56</f>
        <v>680.9236364</v>
      </c>
      <c r="R57" s="198">
        <f t="shared" si="40"/>
        <v>680.9236364</v>
      </c>
      <c r="S57" s="198">
        <f t="shared" si="40"/>
        <v>749.4888636</v>
      </c>
      <c r="T57" s="198">
        <f t="shared" si="40"/>
        <v>952.8202273</v>
      </c>
      <c r="U57" s="198">
        <f t="shared" si="40"/>
        <v>952.8202273</v>
      </c>
      <c r="V57" s="198">
        <f t="shared" si="40"/>
        <v>1361.847273</v>
      </c>
      <c r="W57" s="198">
        <f t="shared" si="40"/>
        <v>1498.977727</v>
      </c>
      <c r="X57" s="198">
        <f t="shared" si="40"/>
        <v>1498.977727</v>
      </c>
      <c r="Y57" s="198">
        <f t="shared" si="40"/>
        <v>1361.847273</v>
      </c>
      <c r="Z57" s="198">
        <f t="shared" si="40"/>
        <v>952.8202273</v>
      </c>
      <c r="AA57" s="198">
        <f t="shared" si="40"/>
        <v>818.0540909</v>
      </c>
      <c r="AB57" s="198">
        <f t="shared" si="40"/>
        <v>680.9236364</v>
      </c>
      <c r="AC57" s="200">
        <f>SUM(Q57:AB57)</f>
        <v>12190.42455</v>
      </c>
      <c r="AD57" s="264">
        <f t="shared" ref="AD57:AE57" si="41">AD10*AD56</f>
        <v>10068.2882</v>
      </c>
      <c r="AE57" s="264">
        <f t="shared" si="41"/>
        <v>11606.42963</v>
      </c>
      <c r="AF57" s="262"/>
      <c r="AG57" s="256"/>
      <c r="AH57" s="256"/>
      <c r="AI57" s="263"/>
      <c r="AJ57" s="263"/>
      <c r="AK57" s="263"/>
      <c r="AL57" s="263"/>
      <c r="AM57" s="263"/>
      <c r="AN57" s="263"/>
      <c r="AO57" s="263"/>
      <c r="AP57" s="263"/>
    </row>
    <row r="58" ht="15.0" customHeight="1" outlineLevel="1">
      <c r="A58" s="256"/>
      <c r="B58" s="188" t="s">
        <v>224</v>
      </c>
      <c r="C58" s="257"/>
      <c r="D58" s="265">
        <v>0.3</v>
      </c>
      <c r="E58" s="266">
        <v>0.3</v>
      </c>
      <c r="F58" s="266">
        <v>0.3</v>
      </c>
      <c r="G58" s="266">
        <v>0.3</v>
      </c>
      <c r="H58" s="266">
        <v>0.3</v>
      </c>
      <c r="I58" s="266">
        <v>0.3</v>
      </c>
      <c r="J58" s="266">
        <v>0.25</v>
      </c>
      <c r="K58" s="266">
        <v>0.25</v>
      </c>
      <c r="L58" s="267">
        <v>0.25</v>
      </c>
      <c r="M58" s="267">
        <v>0.25</v>
      </c>
      <c r="N58" s="267">
        <v>0.25</v>
      </c>
      <c r="O58" s="268">
        <v>0.25</v>
      </c>
      <c r="P58" s="260">
        <f>AVERAGE(D58:O58)</f>
        <v>0.275</v>
      </c>
      <c r="Q58" s="265">
        <v>0.25</v>
      </c>
      <c r="R58" s="266">
        <v>0.25</v>
      </c>
      <c r="S58" s="266">
        <v>0.25</v>
      </c>
      <c r="T58" s="266">
        <v>0.25</v>
      </c>
      <c r="U58" s="266">
        <v>0.25</v>
      </c>
      <c r="V58" s="266">
        <v>0.25</v>
      </c>
      <c r="W58" s="266">
        <v>0.25</v>
      </c>
      <c r="X58" s="266">
        <v>0.25</v>
      </c>
      <c r="Y58" s="267">
        <v>0.25</v>
      </c>
      <c r="Z58" s="267">
        <v>0.25</v>
      </c>
      <c r="AA58" s="267">
        <v>0.25</v>
      </c>
      <c r="AB58" s="268">
        <v>0.25</v>
      </c>
      <c r="AC58" s="260">
        <f>AVERAGE(Q58:AB58)</f>
        <v>0.25</v>
      </c>
      <c r="AD58" s="269">
        <v>0.25</v>
      </c>
      <c r="AE58" s="269">
        <v>0.25</v>
      </c>
      <c r="AF58" s="262"/>
      <c r="AG58" s="256"/>
      <c r="AH58" s="256"/>
      <c r="AI58" s="263"/>
      <c r="AJ58" s="263"/>
      <c r="AK58" s="263"/>
      <c r="AL58" s="263"/>
      <c r="AM58" s="263"/>
      <c r="AN58" s="263"/>
      <c r="AO58" s="263"/>
      <c r="AP58" s="263"/>
    </row>
    <row r="59" ht="15.0" customHeight="1" outlineLevel="1">
      <c r="A59" s="256"/>
      <c r="B59" s="196" t="s">
        <v>222</v>
      </c>
      <c r="C59" s="257"/>
      <c r="D59" s="197">
        <f t="shared" ref="D59:O59" si="42">D12*D58</f>
        <v>313.0909091</v>
      </c>
      <c r="E59" s="198">
        <f t="shared" si="42"/>
        <v>374.1818182</v>
      </c>
      <c r="F59" s="198">
        <f t="shared" si="42"/>
        <v>404.7272727</v>
      </c>
      <c r="G59" s="198">
        <f t="shared" si="42"/>
        <v>435.2727273</v>
      </c>
      <c r="H59" s="198">
        <f t="shared" si="42"/>
        <v>530.7272727</v>
      </c>
      <c r="I59" s="198">
        <f t="shared" si="42"/>
        <v>622.3636364</v>
      </c>
      <c r="J59" s="198">
        <f t="shared" si="42"/>
        <v>569.5454545</v>
      </c>
      <c r="K59" s="198">
        <f t="shared" si="42"/>
        <v>569.5454545</v>
      </c>
      <c r="L59" s="198">
        <f t="shared" si="42"/>
        <v>518.6363636</v>
      </c>
      <c r="M59" s="198">
        <f t="shared" si="42"/>
        <v>442.2727273</v>
      </c>
      <c r="N59" s="198">
        <f t="shared" si="42"/>
        <v>413.6363636</v>
      </c>
      <c r="O59" s="198">
        <f t="shared" si="42"/>
        <v>286.3636364</v>
      </c>
      <c r="P59" s="200">
        <f>SUM(D59:O59)</f>
        <v>5480.363636</v>
      </c>
      <c r="Q59" s="197">
        <f t="shared" ref="Q59:AB59" si="43">Q12*Q58</f>
        <v>367.0545455</v>
      </c>
      <c r="R59" s="198">
        <f t="shared" si="43"/>
        <v>367.0545455</v>
      </c>
      <c r="S59" s="198">
        <f t="shared" si="43"/>
        <v>403.1045455</v>
      </c>
      <c r="T59" s="198">
        <f t="shared" si="43"/>
        <v>514.5318182</v>
      </c>
      <c r="U59" s="198">
        <f t="shared" si="43"/>
        <v>514.5318182</v>
      </c>
      <c r="V59" s="198">
        <f t="shared" si="43"/>
        <v>734.1090909</v>
      </c>
      <c r="W59" s="198">
        <f t="shared" si="43"/>
        <v>806.2090909</v>
      </c>
      <c r="X59" s="198">
        <f t="shared" si="43"/>
        <v>806.2090909</v>
      </c>
      <c r="Y59" s="198">
        <f t="shared" si="43"/>
        <v>734.1090909</v>
      </c>
      <c r="Z59" s="198">
        <f t="shared" si="43"/>
        <v>514.5318182</v>
      </c>
      <c r="AA59" s="198">
        <f t="shared" si="43"/>
        <v>439.1545455</v>
      </c>
      <c r="AB59" s="198">
        <f t="shared" si="43"/>
        <v>367.0545455</v>
      </c>
      <c r="AC59" s="200">
        <f>SUM(Q59:AB59)</f>
        <v>6567.654545</v>
      </c>
      <c r="AD59" s="264">
        <f t="shared" ref="AD59:AE59" si="44">AD12*AD58</f>
        <v>5525.842318</v>
      </c>
      <c r="AE59" s="264">
        <f t="shared" si="44"/>
        <v>6376.558739</v>
      </c>
      <c r="AF59" s="262"/>
      <c r="AG59" s="256"/>
      <c r="AH59" s="256"/>
      <c r="AI59" s="263"/>
      <c r="AJ59" s="263"/>
      <c r="AK59" s="263"/>
      <c r="AL59" s="263"/>
      <c r="AM59" s="263"/>
      <c r="AN59" s="263"/>
      <c r="AO59" s="263"/>
      <c r="AP59" s="263"/>
    </row>
    <row r="60" ht="15.0" customHeight="1" outlineLevel="1">
      <c r="A60" s="256"/>
      <c r="B60" s="188" t="s">
        <v>225</v>
      </c>
      <c r="C60" s="257"/>
      <c r="D60" s="265">
        <v>0.3</v>
      </c>
      <c r="E60" s="266">
        <v>0.3</v>
      </c>
      <c r="F60" s="266">
        <v>0.3</v>
      </c>
      <c r="G60" s="266">
        <v>0.3</v>
      </c>
      <c r="H60" s="266">
        <v>0.3</v>
      </c>
      <c r="I60" s="266">
        <v>0.3</v>
      </c>
      <c r="J60" s="266">
        <v>0.25</v>
      </c>
      <c r="K60" s="266">
        <v>0.25</v>
      </c>
      <c r="L60" s="267">
        <v>0.25</v>
      </c>
      <c r="M60" s="267">
        <v>0.25</v>
      </c>
      <c r="N60" s="267">
        <v>0.25</v>
      </c>
      <c r="O60" s="268">
        <v>0.25</v>
      </c>
      <c r="P60" s="260">
        <f>AVERAGE(D60:O60)</f>
        <v>0.275</v>
      </c>
      <c r="Q60" s="265">
        <v>0.25</v>
      </c>
      <c r="R60" s="266">
        <v>0.25</v>
      </c>
      <c r="S60" s="266">
        <v>0.25</v>
      </c>
      <c r="T60" s="266">
        <v>0.25</v>
      </c>
      <c r="U60" s="266">
        <v>0.25</v>
      </c>
      <c r="V60" s="266">
        <v>0.25</v>
      </c>
      <c r="W60" s="266">
        <v>0.25</v>
      </c>
      <c r="X60" s="266">
        <v>0.25</v>
      </c>
      <c r="Y60" s="267">
        <v>0.25</v>
      </c>
      <c r="Z60" s="267">
        <v>0.25</v>
      </c>
      <c r="AA60" s="267">
        <v>0.25</v>
      </c>
      <c r="AB60" s="268">
        <v>0.25</v>
      </c>
      <c r="AC60" s="260">
        <f>AVERAGE(Q60:AB60)</f>
        <v>0.25</v>
      </c>
      <c r="AD60" s="269">
        <v>0.25</v>
      </c>
      <c r="AE60" s="269">
        <v>0.25</v>
      </c>
      <c r="AF60" s="262"/>
      <c r="AG60" s="256"/>
      <c r="AH60" s="256"/>
      <c r="AI60" s="263"/>
      <c r="AJ60" s="263"/>
      <c r="AK60" s="263"/>
      <c r="AL60" s="263"/>
      <c r="AM60" s="263"/>
      <c r="AN60" s="263"/>
      <c r="AO60" s="263"/>
      <c r="AP60" s="263"/>
    </row>
    <row r="61" ht="15.0" customHeight="1" outlineLevel="1">
      <c r="A61" s="256"/>
      <c r="B61" s="196" t="s">
        <v>222</v>
      </c>
      <c r="C61" s="257"/>
      <c r="D61" s="197">
        <f t="shared" ref="D61:O61" si="45">D14*D60</f>
        <v>1261.636364</v>
      </c>
      <c r="E61" s="198">
        <f t="shared" si="45"/>
        <v>1512</v>
      </c>
      <c r="F61" s="198">
        <f t="shared" si="45"/>
        <v>1639.636364</v>
      </c>
      <c r="G61" s="198">
        <f t="shared" si="45"/>
        <v>1767.272727</v>
      </c>
      <c r="H61" s="198">
        <f t="shared" si="45"/>
        <v>2145.272727</v>
      </c>
      <c r="I61" s="198">
        <f t="shared" si="45"/>
        <v>2523.272727</v>
      </c>
      <c r="J61" s="198">
        <f t="shared" si="45"/>
        <v>2311.363636</v>
      </c>
      <c r="K61" s="198">
        <f t="shared" si="45"/>
        <v>2311.363636</v>
      </c>
      <c r="L61" s="198">
        <f t="shared" si="45"/>
        <v>2102.727273</v>
      </c>
      <c r="M61" s="198">
        <f t="shared" si="45"/>
        <v>1787.727273</v>
      </c>
      <c r="N61" s="198">
        <f t="shared" si="45"/>
        <v>1681.363636</v>
      </c>
      <c r="O61" s="198">
        <f t="shared" si="45"/>
        <v>1157.727273</v>
      </c>
      <c r="P61" s="200">
        <f>SUM(D61:O61)</f>
        <v>22201.36364</v>
      </c>
      <c r="Q61" s="197">
        <f t="shared" ref="Q61:AB61" si="46">Q14*Q60</f>
        <v>1137.681818</v>
      </c>
      <c r="R61" s="198">
        <f t="shared" si="46"/>
        <v>1137.681818</v>
      </c>
      <c r="S61" s="198">
        <f t="shared" si="46"/>
        <v>1251.45</v>
      </c>
      <c r="T61" s="198">
        <f t="shared" si="46"/>
        <v>1592.754545</v>
      </c>
      <c r="U61" s="198">
        <f t="shared" si="46"/>
        <v>1592.754545</v>
      </c>
      <c r="V61" s="198">
        <f t="shared" si="46"/>
        <v>2275.363636</v>
      </c>
      <c r="W61" s="198">
        <f t="shared" si="46"/>
        <v>2502.9</v>
      </c>
      <c r="X61" s="198">
        <f t="shared" si="46"/>
        <v>2502.9</v>
      </c>
      <c r="Y61" s="198">
        <f t="shared" si="46"/>
        <v>2275.363636</v>
      </c>
      <c r="Z61" s="198">
        <f t="shared" si="46"/>
        <v>1592.754545</v>
      </c>
      <c r="AA61" s="198">
        <f t="shared" si="46"/>
        <v>1365.218182</v>
      </c>
      <c r="AB61" s="198">
        <f t="shared" si="46"/>
        <v>1137.681818</v>
      </c>
      <c r="AC61" s="200">
        <f>SUM(Q61:AB61)</f>
        <v>20364.50455</v>
      </c>
      <c r="AD61" s="264">
        <f t="shared" ref="AD61:AE61" si="47">AD14*AD60</f>
        <v>21769.668</v>
      </c>
      <c r="AE61" s="264">
        <f t="shared" si="47"/>
        <v>25104.90613</v>
      </c>
      <c r="AF61" s="262"/>
      <c r="AG61" s="256"/>
      <c r="AH61" s="256"/>
      <c r="AI61" s="263"/>
      <c r="AJ61" s="263"/>
      <c r="AK61" s="263"/>
      <c r="AL61" s="263"/>
      <c r="AM61" s="263"/>
      <c r="AN61" s="263"/>
      <c r="AO61" s="263"/>
      <c r="AP61" s="263"/>
    </row>
    <row r="62" ht="15.0" customHeight="1" outlineLevel="1">
      <c r="A62" s="256"/>
      <c r="B62" s="188" t="s">
        <v>226</v>
      </c>
      <c r="C62" s="257"/>
      <c r="D62" s="265">
        <v>0.3</v>
      </c>
      <c r="E62" s="266">
        <v>0.3</v>
      </c>
      <c r="F62" s="266">
        <v>0.3</v>
      </c>
      <c r="G62" s="266">
        <v>0.3</v>
      </c>
      <c r="H62" s="266">
        <v>0.3</v>
      </c>
      <c r="I62" s="266">
        <v>0.3</v>
      </c>
      <c r="J62" s="266">
        <v>0.25</v>
      </c>
      <c r="K62" s="266">
        <v>0.25</v>
      </c>
      <c r="L62" s="267">
        <v>0.25</v>
      </c>
      <c r="M62" s="267">
        <v>0.25</v>
      </c>
      <c r="N62" s="267">
        <v>0.25</v>
      </c>
      <c r="O62" s="268">
        <v>0.25</v>
      </c>
      <c r="P62" s="260">
        <f>AVERAGE(D62:O62)</f>
        <v>0.275</v>
      </c>
      <c r="Q62" s="265">
        <v>0.25</v>
      </c>
      <c r="R62" s="266">
        <v>0.25</v>
      </c>
      <c r="S62" s="266">
        <v>0.25</v>
      </c>
      <c r="T62" s="266">
        <v>0.25</v>
      </c>
      <c r="U62" s="266">
        <v>0.25</v>
      </c>
      <c r="V62" s="266">
        <v>0.25</v>
      </c>
      <c r="W62" s="266">
        <v>0.25</v>
      </c>
      <c r="X62" s="266">
        <v>0.25</v>
      </c>
      <c r="Y62" s="267">
        <v>0.25</v>
      </c>
      <c r="Z62" s="267">
        <v>0.25</v>
      </c>
      <c r="AA62" s="267">
        <v>0.25</v>
      </c>
      <c r="AB62" s="268">
        <v>0.25</v>
      </c>
      <c r="AC62" s="260">
        <f>AVERAGE(Q62:AB62)</f>
        <v>0.25</v>
      </c>
      <c r="AD62" s="269">
        <v>0.25</v>
      </c>
      <c r="AE62" s="269">
        <v>0.25</v>
      </c>
      <c r="AF62" s="262"/>
      <c r="AG62" s="256"/>
      <c r="AH62" s="256"/>
      <c r="AI62" s="263"/>
      <c r="AJ62" s="263"/>
      <c r="AK62" s="263"/>
      <c r="AL62" s="263"/>
      <c r="AM62" s="263"/>
      <c r="AN62" s="263"/>
      <c r="AO62" s="263"/>
      <c r="AP62" s="263"/>
    </row>
    <row r="63" ht="15.0" customHeight="1" outlineLevel="1">
      <c r="A63" s="256"/>
      <c r="B63" s="196" t="s">
        <v>222</v>
      </c>
      <c r="C63" s="257"/>
      <c r="D63" s="197">
        <f t="shared" ref="D63:O63" si="48">D16*D62</f>
        <v>1019.25</v>
      </c>
      <c r="E63" s="198">
        <f t="shared" si="48"/>
        <v>1223.1</v>
      </c>
      <c r="F63" s="198">
        <f t="shared" si="48"/>
        <v>1328.113636</v>
      </c>
      <c r="G63" s="198">
        <f t="shared" si="48"/>
        <v>1426.95</v>
      </c>
      <c r="H63" s="198">
        <f t="shared" si="48"/>
        <v>1735.813636</v>
      </c>
      <c r="I63" s="198">
        <f t="shared" si="48"/>
        <v>2038.5</v>
      </c>
      <c r="J63" s="198">
        <f t="shared" si="48"/>
        <v>1868.625</v>
      </c>
      <c r="K63" s="198">
        <f t="shared" si="48"/>
        <v>1868.625</v>
      </c>
      <c r="L63" s="198">
        <f t="shared" si="48"/>
        <v>1698.75</v>
      </c>
      <c r="M63" s="198">
        <f t="shared" si="48"/>
        <v>1446.511364</v>
      </c>
      <c r="N63" s="198">
        <f t="shared" si="48"/>
        <v>1359</v>
      </c>
      <c r="O63" s="198">
        <f t="shared" si="48"/>
        <v>936.8863636</v>
      </c>
      <c r="P63" s="200">
        <f>SUM(D63:O63)</f>
        <v>17950.125</v>
      </c>
      <c r="Q63" s="197">
        <f t="shared" ref="Q63:AB63" si="49">Q16*Q62</f>
        <v>901.3670455</v>
      </c>
      <c r="R63" s="198">
        <f t="shared" si="49"/>
        <v>901.3670455</v>
      </c>
      <c r="S63" s="198">
        <f t="shared" si="49"/>
        <v>991.50375</v>
      </c>
      <c r="T63" s="198">
        <f t="shared" si="49"/>
        <v>1261.913864</v>
      </c>
      <c r="U63" s="198">
        <f t="shared" si="49"/>
        <v>1261.913864</v>
      </c>
      <c r="V63" s="198">
        <f t="shared" si="49"/>
        <v>1802.734091</v>
      </c>
      <c r="W63" s="198">
        <f t="shared" si="49"/>
        <v>1983.0075</v>
      </c>
      <c r="X63" s="198">
        <f t="shared" si="49"/>
        <v>1983.0075</v>
      </c>
      <c r="Y63" s="198">
        <f t="shared" si="49"/>
        <v>1802.734091</v>
      </c>
      <c r="Z63" s="198">
        <f t="shared" si="49"/>
        <v>1261.913864</v>
      </c>
      <c r="AA63" s="198">
        <f t="shared" si="49"/>
        <v>1081.640455</v>
      </c>
      <c r="AB63" s="198">
        <f t="shared" si="49"/>
        <v>901.3670455</v>
      </c>
      <c r="AC63" s="200">
        <f>SUM(Q63:AB63)</f>
        <v>16134.47011</v>
      </c>
      <c r="AD63" s="264">
        <f t="shared" ref="AD63:AE63" si="50">AD16*AD62</f>
        <v>17301.1572</v>
      </c>
      <c r="AE63" s="264">
        <f t="shared" si="50"/>
        <v>19946.46482</v>
      </c>
      <c r="AF63" s="262"/>
      <c r="AG63" s="256"/>
      <c r="AH63" s="256"/>
      <c r="AI63" s="263"/>
      <c r="AJ63" s="263"/>
      <c r="AK63" s="263"/>
      <c r="AL63" s="263"/>
      <c r="AM63" s="263"/>
      <c r="AN63" s="263"/>
      <c r="AO63" s="263"/>
      <c r="AP63" s="263"/>
    </row>
    <row r="64" ht="15.0" customHeight="1" outlineLevel="1">
      <c r="A64" s="256"/>
      <c r="B64" s="188" t="s">
        <v>227</v>
      </c>
      <c r="C64" s="257"/>
      <c r="D64" s="265">
        <v>0.3</v>
      </c>
      <c r="E64" s="266">
        <v>0.3</v>
      </c>
      <c r="F64" s="266">
        <v>0.3</v>
      </c>
      <c r="G64" s="266">
        <v>0.3</v>
      </c>
      <c r="H64" s="266">
        <v>0.3</v>
      </c>
      <c r="I64" s="266">
        <v>0.3</v>
      </c>
      <c r="J64" s="266">
        <v>0.25</v>
      </c>
      <c r="K64" s="266">
        <v>0.25</v>
      </c>
      <c r="L64" s="267">
        <v>0.25</v>
      </c>
      <c r="M64" s="267">
        <v>0.25</v>
      </c>
      <c r="N64" s="267">
        <v>0.25</v>
      </c>
      <c r="O64" s="268">
        <v>0.25</v>
      </c>
      <c r="P64" s="260">
        <f>AVERAGE(D64:O64)</f>
        <v>0.275</v>
      </c>
      <c r="Q64" s="265">
        <v>0.25</v>
      </c>
      <c r="R64" s="266">
        <v>0.25</v>
      </c>
      <c r="S64" s="266">
        <v>0.25</v>
      </c>
      <c r="T64" s="266">
        <v>0.25</v>
      </c>
      <c r="U64" s="266">
        <v>0.25</v>
      </c>
      <c r="V64" s="266">
        <v>0.25</v>
      </c>
      <c r="W64" s="266">
        <v>0.25</v>
      </c>
      <c r="X64" s="266">
        <v>0.25</v>
      </c>
      <c r="Y64" s="267">
        <v>0.25</v>
      </c>
      <c r="Z64" s="267">
        <v>0.25</v>
      </c>
      <c r="AA64" s="267">
        <v>0.25</v>
      </c>
      <c r="AB64" s="268">
        <v>0.25</v>
      </c>
      <c r="AC64" s="260">
        <f>AVERAGE(Q64:AB64)</f>
        <v>0.25</v>
      </c>
      <c r="AD64" s="269">
        <v>0.25</v>
      </c>
      <c r="AE64" s="269">
        <v>0.25</v>
      </c>
      <c r="AF64" s="262"/>
      <c r="AG64" s="256"/>
      <c r="AH64" s="256"/>
      <c r="AI64" s="263"/>
      <c r="AJ64" s="263"/>
      <c r="AK64" s="263"/>
      <c r="AL64" s="263"/>
      <c r="AM64" s="263"/>
      <c r="AN64" s="263"/>
      <c r="AO64" s="263"/>
      <c r="AP64" s="263"/>
    </row>
    <row r="65" ht="15.0" customHeight="1" outlineLevel="1">
      <c r="A65" s="256"/>
      <c r="B65" s="196" t="s">
        <v>222</v>
      </c>
      <c r="C65" s="270"/>
      <c r="D65" s="197">
        <f t="shared" ref="D65:O65" si="51">D18*D64</f>
        <v>0</v>
      </c>
      <c r="E65" s="198">
        <f t="shared" si="51"/>
        <v>0</v>
      </c>
      <c r="F65" s="198">
        <f t="shared" si="51"/>
        <v>0</v>
      </c>
      <c r="G65" s="198">
        <f t="shared" si="51"/>
        <v>0</v>
      </c>
      <c r="H65" s="198">
        <f t="shared" si="51"/>
        <v>0</v>
      </c>
      <c r="I65" s="198">
        <f t="shared" si="51"/>
        <v>0</v>
      </c>
      <c r="J65" s="198">
        <f t="shared" si="51"/>
        <v>0</v>
      </c>
      <c r="K65" s="198">
        <f t="shared" si="51"/>
        <v>0</v>
      </c>
      <c r="L65" s="198">
        <f t="shared" si="51"/>
        <v>0</v>
      </c>
      <c r="M65" s="198">
        <f t="shared" si="51"/>
        <v>0</v>
      </c>
      <c r="N65" s="198">
        <f t="shared" si="51"/>
        <v>0</v>
      </c>
      <c r="O65" s="198">
        <f t="shared" si="51"/>
        <v>0</v>
      </c>
      <c r="P65" s="200">
        <f>SUM(D65:O65)</f>
        <v>0</v>
      </c>
      <c r="Q65" s="197">
        <f t="shared" ref="Q65:AB65" si="52">Q18*Q64</f>
        <v>0</v>
      </c>
      <c r="R65" s="198">
        <f t="shared" si="52"/>
        <v>0</v>
      </c>
      <c r="S65" s="198">
        <f t="shared" si="52"/>
        <v>0</v>
      </c>
      <c r="T65" s="198">
        <f t="shared" si="52"/>
        <v>0</v>
      </c>
      <c r="U65" s="198">
        <f t="shared" si="52"/>
        <v>0</v>
      </c>
      <c r="V65" s="198">
        <f t="shared" si="52"/>
        <v>0</v>
      </c>
      <c r="W65" s="198">
        <f t="shared" si="52"/>
        <v>0</v>
      </c>
      <c r="X65" s="198">
        <f t="shared" si="52"/>
        <v>0</v>
      </c>
      <c r="Y65" s="198">
        <f t="shared" si="52"/>
        <v>0</v>
      </c>
      <c r="Z65" s="198">
        <f t="shared" si="52"/>
        <v>0</v>
      </c>
      <c r="AA65" s="198">
        <f t="shared" si="52"/>
        <v>0</v>
      </c>
      <c r="AB65" s="198">
        <f t="shared" si="52"/>
        <v>0</v>
      </c>
      <c r="AC65" s="200">
        <f>SUM(Q65:AB65)</f>
        <v>0</v>
      </c>
      <c r="AD65" s="264">
        <f t="shared" ref="AD65:AE65" si="53">AD18*AD64</f>
        <v>0</v>
      </c>
      <c r="AE65" s="264">
        <f t="shared" si="53"/>
        <v>0</v>
      </c>
      <c r="AF65" s="262"/>
      <c r="AG65" s="256"/>
      <c r="AH65" s="256"/>
      <c r="AI65" s="263"/>
      <c r="AJ65" s="263"/>
      <c r="AK65" s="263"/>
      <c r="AL65" s="263"/>
      <c r="AM65" s="263"/>
      <c r="AN65" s="263"/>
      <c r="AO65" s="263"/>
      <c r="AP65" s="263"/>
    </row>
    <row r="66" ht="15.0" customHeight="1" outlineLevel="1">
      <c r="A66" s="256"/>
      <c r="B66" s="271"/>
      <c r="C66" s="205"/>
      <c r="D66" s="272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4"/>
      <c r="P66" s="275"/>
      <c r="Q66" s="272"/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4"/>
      <c r="AC66" s="273"/>
      <c r="AD66" s="276"/>
      <c r="AE66" s="276"/>
      <c r="AF66" s="256"/>
      <c r="AG66" s="256"/>
      <c r="AH66" s="256"/>
      <c r="AI66" s="263"/>
      <c r="AJ66" s="263"/>
      <c r="AK66" s="263"/>
      <c r="AL66" s="263"/>
      <c r="AM66" s="263"/>
      <c r="AN66" s="263"/>
      <c r="AO66" s="263"/>
      <c r="AP66" s="263"/>
    </row>
    <row r="67" ht="15.0" customHeight="1">
      <c r="A67" s="277"/>
      <c r="B67" s="215" t="str">
        <f>CONCAT("Cout Achats - ",B53)</f>
        <v>Cout Achats - Restauration</v>
      </c>
      <c r="C67" s="278"/>
      <c r="D67" s="279">
        <f t="shared" ref="D67:O67" si="54">D55+D57+D59+D61+D63+D65</f>
        <v>3479.304545</v>
      </c>
      <c r="E67" s="279">
        <f t="shared" si="54"/>
        <v>4169.072727</v>
      </c>
      <c r="F67" s="279">
        <f t="shared" si="54"/>
        <v>4522.377273</v>
      </c>
      <c r="G67" s="279">
        <f t="shared" si="54"/>
        <v>4868.004545</v>
      </c>
      <c r="H67" s="279">
        <f t="shared" si="54"/>
        <v>5916.395455</v>
      </c>
      <c r="I67" s="279">
        <f t="shared" si="54"/>
        <v>6953.290909</v>
      </c>
      <c r="J67" s="279">
        <f t="shared" si="54"/>
        <v>6370.465909</v>
      </c>
      <c r="K67" s="279">
        <f t="shared" si="54"/>
        <v>6370.465909</v>
      </c>
      <c r="L67" s="279">
        <f t="shared" si="54"/>
        <v>5794.409091</v>
      </c>
      <c r="M67" s="279">
        <f t="shared" si="54"/>
        <v>4930.329545</v>
      </c>
      <c r="N67" s="279">
        <f t="shared" si="54"/>
        <v>4632.727273</v>
      </c>
      <c r="O67" s="280">
        <f t="shared" si="54"/>
        <v>3192.590909</v>
      </c>
      <c r="P67" s="281">
        <f>SUM(D67:O67)</f>
        <v>61199.43409</v>
      </c>
      <c r="Q67" s="279">
        <f t="shared" ref="Q67:AB67" si="55">Q55+Q57+Q59+Q61+Q63+Q65</f>
        <v>3305.902045</v>
      </c>
      <c r="R67" s="279">
        <f t="shared" si="55"/>
        <v>3305.902045</v>
      </c>
      <c r="S67" s="279">
        <f t="shared" si="55"/>
        <v>3636.309659</v>
      </c>
      <c r="T67" s="279">
        <f t="shared" si="55"/>
        <v>4628.445455</v>
      </c>
      <c r="U67" s="279">
        <f t="shared" si="55"/>
        <v>4628.445455</v>
      </c>
      <c r="V67" s="279">
        <f t="shared" si="55"/>
        <v>6611.804091</v>
      </c>
      <c r="W67" s="279">
        <f t="shared" si="55"/>
        <v>7272.619318</v>
      </c>
      <c r="X67" s="279">
        <f t="shared" si="55"/>
        <v>7272.619318</v>
      </c>
      <c r="Y67" s="279">
        <f t="shared" si="55"/>
        <v>6611.804091</v>
      </c>
      <c r="Z67" s="279">
        <f t="shared" si="55"/>
        <v>4628.445455</v>
      </c>
      <c r="AA67" s="279">
        <f t="shared" si="55"/>
        <v>3966.717273</v>
      </c>
      <c r="AB67" s="280">
        <f t="shared" si="55"/>
        <v>3305.902045</v>
      </c>
      <c r="AC67" s="281">
        <f>SUM(Q67:AB67)</f>
        <v>59174.91625</v>
      </c>
      <c r="AD67" s="278">
        <f t="shared" ref="AD67:AE67" si="56">AD55+AD57+AD59+AD61+AD63+AD65</f>
        <v>58025.88692</v>
      </c>
      <c r="AE67" s="282">
        <f t="shared" si="56"/>
        <v>66909.16926</v>
      </c>
      <c r="AF67" s="283"/>
      <c r="AG67" s="277"/>
      <c r="AH67" s="277"/>
      <c r="AI67" s="284"/>
      <c r="AJ67" s="284"/>
      <c r="AK67" s="284"/>
      <c r="AL67" s="284"/>
      <c r="AM67" s="284"/>
      <c r="AN67" s="284"/>
      <c r="AO67" s="284"/>
      <c r="AP67" s="284"/>
    </row>
    <row r="68" ht="15.0" customHeight="1">
      <c r="A68" s="285"/>
      <c r="B68" s="286" t="s">
        <v>217</v>
      </c>
      <c r="C68" s="241"/>
      <c r="D68" s="242">
        <f t="shared" ref="D68:AE68" si="57">IFERROR(D67/D22,0)</f>
        <v>0.3</v>
      </c>
      <c r="E68" s="242">
        <f t="shared" si="57"/>
        <v>0.3</v>
      </c>
      <c r="F68" s="242">
        <f t="shared" si="57"/>
        <v>0.3</v>
      </c>
      <c r="G68" s="242">
        <f t="shared" si="57"/>
        <v>0.3</v>
      </c>
      <c r="H68" s="242">
        <f t="shared" si="57"/>
        <v>0.3</v>
      </c>
      <c r="I68" s="242">
        <f t="shared" si="57"/>
        <v>0.3</v>
      </c>
      <c r="J68" s="242">
        <f t="shared" si="57"/>
        <v>0.25</v>
      </c>
      <c r="K68" s="242">
        <f t="shared" si="57"/>
        <v>0.25</v>
      </c>
      <c r="L68" s="242">
        <f t="shared" si="57"/>
        <v>0.25</v>
      </c>
      <c r="M68" s="242">
        <f t="shared" si="57"/>
        <v>0.25</v>
      </c>
      <c r="N68" s="242">
        <f t="shared" si="57"/>
        <v>0.25</v>
      </c>
      <c r="O68" s="243">
        <f t="shared" si="57"/>
        <v>0.25</v>
      </c>
      <c r="P68" s="241">
        <f t="shared" si="57"/>
        <v>0.2721683186</v>
      </c>
      <c r="Q68" s="242">
        <f t="shared" si="57"/>
        <v>0.25</v>
      </c>
      <c r="R68" s="242">
        <f t="shared" si="57"/>
        <v>0.25</v>
      </c>
      <c r="S68" s="242">
        <f t="shared" si="57"/>
        <v>0.25</v>
      </c>
      <c r="T68" s="242">
        <f t="shared" si="57"/>
        <v>0.25</v>
      </c>
      <c r="U68" s="242">
        <f t="shared" si="57"/>
        <v>0.25</v>
      </c>
      <c r="V68" s="242">
        <f t="shared" si="57"/>
        <v>0.25</v>
      </c>
      <c r="W68" s="242">
        <f t="shared" si="57"/>
        <v>0.25</v>
      </c>
      <c r="X68" s="242">
        <f t="shared" si="57"/>
        <v>0.25</v>
      </c>
      <c r="Y68" s="242">
        <f t="shared" si="57"/>
        <v>0.25</v>
      </c>
      <c r="Z68" s="242">
        <f t="shared" si="57"/>
        <v>0.25</v>
      </c>
      <c r="AA68" s="242">
        <f t="shared" si="57"/>
        <v>0.25</v>
      </c>
      <c r="AB68" s="243">
        <f t="shared" si="57"/>
        <v>0.25</v>
      </c>
      <c r="AC68" s="241">
        <f t="shared" si="57"/>
        <v>0.25</v>
      </c>
      <c r="AD68" s="241">
        <f t="shared" si="57"/>
        <v>0.2363264488</v>
      </c>
      <c r="AE68" s="287">
        <f t="shared" si="57"/>
        <v>0.2363296893</v>
      </c>
      <c r="AF68" s="288"/>
      <c r="AG68" s="285"/>
      <c r="AH68" s="285"/>
      <c r="AI68" s="245"/>
      <c r="AJ68" s="245"/>
      <c r="AK68" s="245"/>
      <c r="AL68" s="245"/>
      <c r="AM68" s="245"/>
      <c r="AN68" s="245"/>
      <c r="AO68" s="245"/>
      <c r="AP68" s="245"/>
    </row>
    <row r="69" ht="6.75" customHeight="1">
      <c r="A69" s="187" t="s">
        <v>216</v>
      </c>
      <c r="B69" s="46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0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0"/>
      <c r="AD69" s="220"/>
      <c r="AE69" s="220"/>
      <c r="AF69" s="187"/>
      <c r="AG69" s="187"/>
      <c r="AH69" s="187"/>
      <c r="AI69" s="195"/>
      <c r="AJ69" s="195"/>
      <c r="AK69" s="195"/>
      <c r="AL69" s="195"/>
      <c r="AM69" s="195"/>
      <c r="AN69" s="195"/>
      <c r="AO69" s="195"/>
      <c r="AP69" s="195"/>
    </row>
    <row r="70" ht="21.0" customHeight="1">
      <c r="A70" s="180"/>
      <c r="B70" s="183" t="s">
        <v>228</v>
      </c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</row>
    <row r="71" ht="15.0" customHeight="1" outlineLevel="1">
      <c r="A71" s="256"/>
      <c r="B71" s="188" t="s">
        <v>229</v>
      </c>
      <c r="C71" s="257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91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90"/>
      <c r="AC71" s="289"/>
      <c r="AD71" s="292"/>
      <c r="AE71" s="292"/>
      <c r="AF71" s="256"/>
      <c r="AG71" s="256"/>
      <c r="AH71" s="256"/>
      <c r="AI71" s="263"/>
      <c r="AJ71" s="263"/>
      <c r="AK71" s="263"/>
      <c r="AL71" s="263"/>
      <c r="AM71" s="263"/>
      <c r="AN71" s="263"/>
      <c r="AO71" s="263"/>
      <c r="AP71" s="263"/>
    </row>
    <row r="72" ht="15.0" customHeight="1" outlineLevel="1">
      <c r="A72" s="256"/>
      <c r="B72" s="293" t="s">
        <v>230</v>
      </c>
      <c r="C72" s="257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4"/>
      <c r="P72" s="291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94"/>
      <c r="AC72" s="289"/>
      <c r="AD72" s="292"/>
      <c r="AE72" s="292"/>
      <c r="AF72" s="256"/>
      <c r="AG72" s="256"/>
      <c r="AH72" s="256"/>
      <c r="AI72" s="263"/>
      <c r="AJ72" s="263"/>
      <c r="AK72" s="263"/>
      <c r="AL72" s="263"/>
      <c r="AM72" s="263"/>
      <c r="AN72" s="263"/>
      <c r="AO72" s="263"/>
      <c r="AP72" s="263"/>
    </row>
    <row r="73" ht="15.0" customHeight="1" outlineLevel="1">
      <c r="A73" s="256"/>
      <c r="B73" s="222" t="s">
        <v>231</v>
      </c>
      <c r="C73" s="205"/>
      <c r="D73" s="272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4"/>
      <c r="P73" s="275"/>
      <c r="Q73" s="272"/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4"/>
      <c r="AC73" s="273"/>
      <c r="AD73" s="276"/>
      <c r="AE73" s="276"/>
      <c r="AF73" s="256"/>
      <c r="AG73" s="256"/>
      <c r="AH73" s="256"/>
      <c r="AI73" s="263"/>
      <c r="AJ73" s="263"/>
      <c r="AK73" s="263"/>
      <c r="AL73" s="263"/>
      <c r="AM73" s="263"/>
      <c r="AN73" s="263"/>
      <c r="AO73" s="263"/>
      <c r="AP73" s="263"/>
    </row>
    <row r="74" ht="15.0" customHeight="1" outlineLevel="1">
      <c r="A74" s="187"/>
      <c r="B74" s="295" t="s">
        <v>232</v>
      </c>
      <c r="C74" s="189"/>
      <c r="D74" s="221">
        <v>0.0</v>
      </c>
      <c r="E74" s="221">
        <v>0.0</v>
      </c>
      <c r="F74" s="221">
        <v>0.0</v>
      </c>
      <c r="G74" s="196">
        <v>0.0</v>
      </c>
      <c r="H74" s="221">
        <v>0.0</v>
      </c>
      <c r="I74" s="221">
        <v>0.0</v>
      </c>
      <c r="J74" s="221">
        <v>0.0</v>
      </c>
      <c r="K74" s="221">
        <v>0.0</v>
      </c>
      <c r="L74" s="221">
        <v>0.0</v>
      </c>
      <c r="M74" s="221">
        <v>0.0</v>
      </c>
      <c r="N74" s="221">
        <v>0.0</v>
      </c>
      <c r="O74" s="296">
        <v>0.0</v>
      </c>
      <c r="P74" s="189"/>
      <c r="Q74" s="221">
        <v>0.0</v>
      </c>
      <c r="R74" s="221">
        <v>0.0</v>
      </c>
      <c r="S74" s="221">
        <v>0.0</v>
      </c>
      <c r="T74" s="221">
        <v>0.0</v>
      </c>
      <c r="U74" s="221">
        <v>0.0</v>
      </c>
      <c r="V74" s="221">
        <v>0.0</v>
      </c>
      <c r="W74" s="221">
        <v>0.0</v>
      </c>
      <c r="X74" s="221">
        <v>0.0</v>
      </c>
      <c r="Y74" s="221">
        <v>0.0</v>
      </c>
      <c r="Z74" s="221">
        <v>0.0</v>
      </c>
      <c r="AA74" s="221">
        <v>0.0</v>
      </c>
      <c r="AB74" s="296">
        <v>0.0</v>
      </c>
      <c r="AC74" s="189"/>
      <c r="AD74" s="297"/>
      <c r="AE74" s="297"/>
      <c r="AF74" s="187"/>
      <c r="AG74" s="187"/>
      <c r="AH74" s="187"/>
      <c r="AI74" s="195"/>
      <c r="AJ74" s="195"/>
      <c r="AK74" s="195"/>
      <c r="AL74" s="195"/>
      <c r="AM74" s="195"/>
      <c r="AN74" s="195"/>
      <c r="AO74" s="195"/>
      <c r="AP74" s="195"/>
    </row>
    <row r="75" ht="15.0" customHeight="1">
      <c r="A75" s="277"/>
      <c r="B75" s="215" t="str">
        <f>CONCAT("Cout Achats - ",B70)</f>
        <v>Cout Achats - Livraison / A Emporter</v>
      </c>
      <c r="C75" s="278"/>
      <c r="D75" s="279">
        <f t="shared" ref="D75:F75" si="58">D74</f>
        <v>0</v>
      </c>
      <c r="E75" s="279">
        <f t="shared" si="58"/>
        <v>0</v>
      </c>
      <c r="F75" s="279">
        <f t="shared" si="58"/>
        <v>0</v>
      </c>
      <c r="G75" s="279">
        <f t="shared" ref="G75:O75" si="59">G39*30%</f>
        <v>1064.445</v>
      </c>
      <c r="H75" s="279">
        <f t="shared" si="59"/>
        <v>1601.595</v>
      </c>
      <c r="I75" s="279">
        <f t="shared" si="59"/>
        <v>1601.595</v>
      </c>
      <c r="J75" s="279">
        <f t="shared" si="59"/>
        <v>1871.34</v>
      </c>
      <c r="K75" s="279">
        <f t="shared" si="59"/>
        <v>1871.34</v>
      </c>
      <c r="L75" s="279">
        <f t="shared" si="59"/>
        <v>1871.34</v>
      </c>
      <c r="M75" s="279">
        <f t="shared" si="59"/>
        <v>1871.34</v>
      </c>
      <c r="N75" s="279">
        <f t="shared" si="59"/>
        <v>1333.02</v>
      </c>
      <c r="O75" s="279">
        <f t="shared" si="59"/>
        <v>794.7</v>
      </c>
      <c r="P75" s="281">
        <f>SUM(D75:O75)</f>
        <v>13880.715</v>
      </c>
      <c r="Q75" s="279">
        <f t="shared" ref="Q75:AB75" si="60">Q39*30%</f>
        <v>1105.2621</v>
      </c>
      <c r="R75" s="279">
        <f t="shared" si="60"/>
        <v>1105.2621</v>
      </c>
      <c r="S75" s="279">
        <f t="shared" si="60"/>
        <v>1105.2621</v>
      </c>
      <c r="T75" s="279">
        <f t="shared" si="60"/>
        <v>1105.2621</v>
      </c>
      <c r="U75" s="279">
        <f t="shared" si="60"/>
        <v>1324.9611</v>
      </c>
      <c r="V75" s="279">
        <f t="shared" si="60"/>
        <v>1324.9611</v>
      </c>
      <c r="W75" s="279">
        <f t="shared" si="60"/>
        <v>1324.9611</v>
      </c>
      <c r="X75" s="279">
        <f t="shared" si="60"/>
        <v>1324.9611</v>
      </c>
      <c r="Y75" s="279">
        <f t="shared" si="60"/>
        <v>1544.6601</v>
      </c>
      <c r="Z75" s="279">
        <f t="shared" si="60"/>
        <v>1105.2621</v>
      </c>
      <c r="AA75" s="279">
        <f t="shared" si="60"/>
        <v>1324.9611</v>
      </c>
      <c r="AB75" s="279">
        <f t="shared" si="60"/>
        <v>1105.2621</v>
      </c>
      <c r="AC75" s="281">
        <f>SUM(Q75:AB75)</f>
        <v>14801.0382</v>
      </c>
      <c r="AD75" s="298">
        <f t="shared" ref="AD75:AE75" si="61">AD39*30%</f>
        <v>16314.74299</v>
      </c>
      <c r="AE75" s="298">
        <f t="shared" si="61"/>
        <v>17598.78357</v>
      </c>
      <c r="AF75" s="277"/>
      <c r="AG75" s="277"/>
      <c r="AH75" s="277"/>
      <c r="AI75" s="284"/>
      <c r="AJ75" s="284"/>
      <c r="AK75" s="284"/>
      <c r="AL75" s="284"/>
      <c r="AM75" s="284"/>
      <c r="AN75" s="284"/>
      <c r="AO75" s="284"/>
      <c r="AP75" s="284"/>
    </row>
    <row r="76" ht="15.0" customHeight="1">
      <c r="A76" s="285"/>
      <c r="B76" s="286" t="s">
        <v>233</v>
      </c>
      <c r="C76" s="241"/>
      <c r="D76" s="242">
        <f t="shared" ref="D76:AE76" si="62">IFERROR(D75/D39,0)</f>
        <v>0</v>
      </c>
      <c r="E76" s="242">
        <f t="shared" si="62"/>
        <v>0</v>
      </c>
      <c r="F76" s="242">
        <f t="shared" si="62"/>
        <v>0</v>
      </c>
      <c r="G76" s="242">
        <f t="shared" si="62"/>
        <v>0.3</v>
      </c>
      <c r="H76" s="242">
        <f t="shared" si="62"/>
        <v>0.3</v>
      </c>
      <c r="I76" s="242">
        <f t="shared" si="62"/>
        <v>0.3</v>
      </c>
      <c r="J76" s="242">
        <f t="shared" si="62"/>
        <v>0.3</v>
      </c>
      <c r="K76" s="242">
        <f t="shared" si="62"/>
        <v>0.3</v>
      </c>
      <c r="L76" s="242">
        <f t="shared" si="62"/>
        <v>0.3</v>
      </c>
      <c r="M76" s="242">
        <f t="shared" si="62"/>
        <v>0.3</v>
      </c>
      <c r="N76" s="242">
        <f t="shared" si="62"/>
        <v>0.3</v>
      </c>
      <c r="O76" s="243">
        <f t="shared" si="62"/>
        <v>0.3</v>
      </c>
      <c r="P76" s="241">
        <f t="shared" si="62"/>
        <v>0.3</v>
      </c>
      <c r="Q76" s="242">
        <f t="shared" si="62"/>
        <v>0.3</v>
      </c>
      <c r="R76" s="242">
        <f t="shared" si="62"/>
        <v>0.3</v>
      </c>
      <c r="S76" s="242">
        <f t="shared" si="62"/>
        <v>0.3</v>
      </c>
      <c r="T76" s="242">
        <f t="shared" si="62"/>
        <v>0.3</v>
      </c>
      <c r="U76" s="242">
        <f t="shared" si="62"/>
        <v>0.3</v>
      </c>
      <c r="V76" s="242">
        <f t="shared" si="62"/>
        <v>0.3</v>
      </c>
      <c r="W76" s="242">
        <f t="shared" si="62"/>
        <v>0.3</v>
      </c>
      <c r="X76" s="242">
        <f t="shared" si="62"/>
        <v>0.3</v>
      </c>
      <c r="Y76" s="242">
        <f t="shared" si="62"/>
        <v>0.3</v>
      </c>
      <c r="Z76" s="242">
        <f t="shared" si="62"/>
        <v>0.3</v>
      </c>
      <c r="AA76" s="242">
        <f t="shared" si="62"/>
        <v>0.3</v>
      </c>
      <c r="AB76" s="243">
        <f t="shared" si="62"/>
        <v>0.3</v>
      </c>
      <c r="AC76" s="241">
        <f t="shared" si="62"/>
        <v>0.3</v>
      </c>
      <c r="AD76" s="244">
        <f t="shared" si="62"/>
        <v>0.3</v>
      </c>
      <c r="AE76" s="244">
        <f t="shared" si="62"/>
        <v>0.3</v>
      </c>
      <c r="AF76" s="285"/>
      <c r="AG76" s="285"/>
      <c r="AH76" s="285"/>
      <c r="AI76" s="245"/>
      <c r="AJ76" s="245"/>
      <c r="AK76" s="245"/>
      <c r="AL76" s="245"/>
      <c r="AM76" s="245"/>
      <c r="AN76" s="245"/>
      <c r="AO76" s="245"/>
      <c r="AP76" s="245"/>
    </row>
    <row r="77" ht="6.75" customHeight="1">
      <c r="A77" s="187"/>
      <c r="B77" s="46"/>
      <c r="C77" s="220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0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0"/>
      <c r="AD77" s="220"/>
      <c r="AE77" s="220"/>
      <c r="AF77" s="187"/>
      <c r="AG77" s="187"/>
      <c r="AH77" s="187"/>
      <c r="AI77" s="195"/>
      <c r="AJ77" s="195"/>
      <c r="AK77" s="195"/>
      <c r="AL77" s="195"/>
      <c r="AM77" s="195"/>
      <c r="AN77" s="195"/>
      <c r="AO77" s="195"/>
      <c r="AP77" s="195"/>
    </row>
    <row r="78" ht="21.0" customHeight="1">
      <c r="A78" s="180"/>
      <c r="B78" s="183" t="s">
        <v>133</v>
      </c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</row>
    <row r="79" ht="15.0" customHeight="1" outlineLevel="1">
      <c r="A79" s="256"/>
      <c r="B79" s="293" t="s">
        <v>234</v>
      </c>
      <c r="C79" s="257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90"/>
      <c r="P79" s="291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90"/>
      <c r="AC79" s="289"/>
      <c r="AD79" s="292"/>
      <c r="AE79" s="292"/>
      <c r="AF79" s="256"/>
      <c r="AG79" s="256"/>
      <c r="AH79" s="256"/>
      <c r="AI79" s="263"/>
      <c r="AJ79" s="263"/>
      <c r="AK79" s="263"/>
      <c r="AL79" s="263"/>
      <c r="AM79" s="263"/>
      <c r="AN79" s="263"/>
      <c r="AO79" s="263"/>
      <c r="AP79" s="263"/>
    </row>
    <row r="80" ht="15.0" customHeight="1" outlineLevel="1">
      <c r="A80" s="256"/>
      <c r="B80" s="293" t="s">
        <v>235</v>
      </c>
      <c r="C80" s="257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94"/>
      <c r="P80" s="291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94"/>
      <c r="AC80" s="289"/>
      <c r="AD80" s="292"/>
      <c r="AE80" s="292"/>
      <c r="AF80" s="256"/>
      <c r="AG80" s="256"/>
      <c r="AH80" s="256"/>
      <c r="AI80" s="263"/>
      <c r="AJ80" s="263"/>
      <c r="AK80" s="263"/>
      <c r="AL80" s="263"/>
      <c r="AM80" s="263"/>
      <c r="AN80" s="263"/>
      <c r="AO80" s="263"/>
      <c r="AP80" s="263"/>
    </row>
    <row r="81" ht="15.0" customHeight="1" outlineLevel="1">
      <c r="A81" s="256"/>
      <c r="B81" s="222" t="s">
        <v>231</v>
      </c>
      <c r="C81" s="205"/>
      <c r="D81" s="272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4"/>
      <c r="P81" s="275"/>
      <c r="Q81" s="272"/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4"/>
      <c r="AC81" s="273"/>
      <c r="AD81" s="276"/>
      <c r="AE81" s="276"/>
      <c r="AF81" s="256"/>
      <c r="AG81" s="256"/>
      <c r="AH81" s="256"/>
      <c r="AI81" s="263"/>
      <c r="AJ81" s="263"/>
      <c r="AK81" s="263"/>
      <c r="AL81" s="263"/>
      <c r="AM81" s="263"/>
      <c r="AN81" s="263"/>
      <c r="AO81" s="263"/>
      <c r="AP81" s="263"/>
    </row>
    <row r="82" ht="15.0" customHeight="1" outlineLevel="1">
      <c r="A82" s="187"/>
      <c r="B82" s="295" t="s">
        <v>236</v>
      </c>
      <c r="C82" s="189"/>
      <c r="D82" s="221">
        <v>0.0</v>
      </c>
      <c r="E82" s="221">
        <v>0.0</v>
      </c>
      <c r="F82" s="221">
        <v>0.0</v>
      </c>
      <c r="G82" s="221">
        <v>0.0</v>
      </c>
      <c r="H82" s="221">
        <v>0.0</v>
      </c>
      <c r="I82" s="221">
        <v>0.0</v>
      </c>
      <c r="J82" s="221">
        <v>0.0</v>
      </c>
      <c r="K82" s="221">
        <v>0.0</v>
      </c>
      <c r="L82" s="221">
        <v>0.0</v>
      </c>
      <c r="M82" s="221">
        <v>0.0</v>
      </c>
      <c r="N82" s="221">
        <v>0.0</v>
      </c>
      <c r="O82" s="296">
        <v>0.0</v>
      </c>
      <c r="P82" s="189"/>
      <c r="Q82" s="221">
        <v>0.0</v>
      </c>
      <c r="R82" s="221">
        <v>0.0</v>
      </c>
      <c r="S82" s="221">
        <v>0.0</v>
      </c>
      <c r="T82" s="221">
        <v>0.0</v>
      </c>
      <c r="U82" s="221">
        <v>0.0</v>
      </c>
      <c r="V82" s="221">
        <v>0.0</v>
      </c>
      <c r="W82" s="221">
        <v>0.0</v>
      </c>
      <c r="X82" s="221">
        <v>0.0</v>
      </c>
      <c r="Y82" s="221">
        <v>0.0</v>
      </c>
      <c r="Z82" s="221">
        <v>0.0</v>
      </c>
      <c r="AA82" s="221">
        <v>0.0</v>
      </c>
      <c r="AB82" s="296">
        <v>0.0</v>
      </c>
      <c r="AC82" s="189"/>
      <c r="AD82" s="297"/>
      <c r="AE82" s="297"/>
      <c r="AF82" s="187"/>
      <c r="AG82" s="187"/>
      <c r="AH82" s="187"/>
      <c r="AI82" s="195"/>
      <c r="AJ82" s="195"/>
      <c r="AK82" s="195"/>
      <c r="AL82" s="195"/>
      <c r="AM82" s="195"/>
      <c r="AN82" s="195"/>
      <c r="AO82" s="195"/>
      <c r="AP82" s="195"/>
    </row>
    <row r="83" ht="15.0" customHeight="1">
      <c r="A83" s="277"/>
      <c r="B83" s="215" t="str">
        <f>CONCAT("Cout Achats - ",B78)</f>
        <v>Cout Achats - Epicerie</v>
      </c>
      <c r="C83" s="278"/>
      <c r="D83" s="279">
        <f t="shared" ref="D83:O83" si="63">D82</f>
        <v>0</v>
      </c>
      <c r="E83" s="279">
        <f t="shared" si="63"/>
        <v>0</v>
      </c>
      <c r="F83" s="279">
        <f t="shared" si="63"/>
        <v>0</v>
      </c>
      <c r="G83" s="279">
        <f t="shared" si="63"/>
        <v>0</v>
      </c>
      <c r="H83" s="279">
        <f t="shared" si="63"/>
        <v>0</v>
      </c>
      <c r="I83" s="279">
        <f t="shared" si="63"/>
        <v>0</v>
      </c>
      <c r="J83" s="279">
        <f t="shared" si="63"/>
        <v>0</v>
      </c>
      <c r="K83" s="279">
        <f t="shared" si="63"/>
        <v>0</v>
      </c>
      <c r="L83" s="279">
        <f t="shared" si="63"/>
        <v>0</v>
      </c>
      <c r="M83" s="279">
        <f t="shared" si="63"/>
        <v>0</v>
      </c>
      <c r="N83" s="279">
        <f t="shared" si="63"/>
        <v>0</v>
      </c>
      <c r="O83" s="280">
        <f t="shared" si="63"/>
        <v>0</v>
      </c>
      <c r="P83" s="281">
        <f>SUM(D83:O83)</f>
        <v>0</v>
      </c>
      <c r="Q83" s="279">
        <f t="shared" ref="Q83:AB83" si="64">Q82</f>
        <v>0</v>
      </c>
      <c r="R83" s="279">
        <f t="shared" si="64"/>
        <v>0</v>
      </c>
      <c r="S83" s="279">
        <f t="shared" si="64"/>
        <v>0</v>
      </c>
      <c r="T83" s="279">
        <f t="shared" si="64"/>
        <v>0</v>
      </c>
      <c r="U83" s="279">
        <f t="shared" si="64"/>
        <v>0</v>
      </c>
      <c r="V83" s="279">
        <f t="shared" si="64"/>
        <v>0</v>
      </c>
      <c r="W83" s="279">
        <f t="shared" si="64"/>
        <v>0</v>
      </c>
      <c r="X83" s="279">
        <f t="shared" si="64"/>
        <v>0</v>
      </c>
      <c r="Y83" s="279">
        <f t="shared" si="64"/>
        <v>0</v>
      </c>
      <c r="Z83" s="279">
        <f t="shared" si="64"/>
        <v>0</v>
      </c>
      <c r="AA83" s="279">
        <f t="shared" si="64"/>
        <v>0</v>
      </c>
      <c r="AB83" s="280">
        <f t="shared" si="64"/>
        <v>0</v>
      </c>
      <c r="AC83" s="281">
        <f>SUM(Q83:AB83)</f>
        <v>0</v>
      </c>
      <c r="AD83" s="298" t="str">
        <f t="shared" ref="AD83:AE83" si="65">AD82</f>
        <v/>
      </c>
      <c r="AE83" s="298" t="str">
        <f t="shared" si="65"/>
        <v/>
      </c>
      <c r="AF83" s="277"/>
      <c r="AG83" s="277"/>
      <c r="AH83" s="277"/>
      <c r="AI83" s="284"/>
      <c r="AJ83" s="284"/>
      <c r="AK83" s="284"/>
      <c r="AL83" s="284"/>
      <c r="AM83" s="284"/>
      <c r="AN83" s="284"/>
      <c r="AO83" s="284"/>
      <c r="AP83" s="284"/>
    </row>
    <row r="84" ht="15.0" customHeight="1">
      <c r="A84" s="285"/>
      <c r="B84" s="286" t="s">
        <v>237</v>
      </c>
      <c r="C84" s="241"/>
      <c r="D84" s="242">
        <f t="shared" ref="D84:O84" si="66">IFERROR(D83/D43,0)</f>
        <v>0</v>
      </c>
      <c r="E84" s="242">
        <f t="shared" si="66"/>
        <v>0</v>
      </c>
      <c r="F84" s="242">
        <f t="shared" si="66"/>
        <v>0</v>
      </c>
      <c r="G84" s="242">
        <f t="shared" si="66"/>
        <v>0</v>
      </c>
      <c r="H84" s="242">
        <f t="shared" si="66"/>
        <v>0</v>
      </c>
      <c r="I84" s="242">
        <f t="shared" si="66"/>
        <v>0</v>
      </c>
      <c r="J84" s="242">
        <f t="shared" si="66"/>
        <v>0</v>
      </c>
      <c r="K84" s="242">
        <f t="shared" si="66"/>
        <v>0</v>
      </c>
      <c r="L84" s="242">
        <f t="shared" si="66"/>
        <v>0</v>
      </c>
      <c r="M84" s="242">
        <f t="shared" si="66"/>
        <v>0</v>
      </c>
      <c r="N84" s="242">
        <f t="shared" si="66"/>
        <v>0</v>
      </c>
      <c r="O84" s="243">
        <f t="shared" si="66"/>
        <v>0</v>
      </c>
      <c r="P84" s="241">
        <f>IFERROR(P83/P44,0)</f>
        <v>0</v>
      </c>
      <c r="Q84" s="242">
        <f t="shared" ref="Q84:AE84" si="67">IFERROR(Q83/Q43,0)</f>
        <v>0</v>
      </c>
      <c r="R84" s="242">
        <f t="shared" si="67"/>
        <v>0</v>
      </c>
      <c r="S84" s="242">
        <f t="shared" si="67"/>
        <v>0</v>
      </c>
      <c r="T84" s="242">
        <f t="shared" si="67"/>
        <v>0</v>
      </c>
      <c r="U84" s="242">
        <f t="shared" si="67"/>
        <v>0</v>
      </c>
      <c r="V84" s="242">
        <f t="shared" si="67"/>
        <v>0</v>
      </c>
      <c r="W84" s="242">
        <f t="shared" si="67"/>
        <v>0</v>
      </c>
      <c r="X84" s="242">
        <f t="shared" si="67"/>
        <v>0</v>
      </c>
      <c r="Y84" s="242">
        <f t="shared" si="67"/>
        <v>0</v>
      </c>
      <c r="Z84" s="242">
        <f t="shared" si="67"/>
        <v>0</v>
      </c>
      <c r="AA84" s="242">
        <f t="shared" si="67"/>
        <v>0</v>
      </c>
      <c r="AB84" s="243">
        <f t="shared" si="67"/>
        <v>0</v>
      </c>
      <c r="AC84" s="241">
        <f t="shared" si="67"/>
        <v>0</v>
      </c>
      <c r="AD84" s="244">
        <f t="shared" si="67"/>
        <v>0</v>
      </c>
      <c r="AE84" s="244">
        <f t="shared" si="67"/>
        <v>0</v>
      </c>
      <c r="AF84" s="285"/>
      <c r="AG84" s="285"/>
      <c r="AH84" s="285"/>
      <c r="AI84" s="245"/>
      <c r="AJ84" s="245"/>
      <c r="AK84" s="245"/>
      <c r="AL84" s="245"/>
      <c r="AM84" s="245"/>
      <c r="AN84" s="245"/>
      <c r="AO84" s="245"/>
      <c r="AP84" s="245"/>
    </row>
    <row r="85" ht="6.75" customHeight="1">
      <c r="A85" s="187" t="s">
        <v>216</v>
      </c>
      <c r="B85" s="46"/>
      <c r="C85" s="220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0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0"/>
      <c r="AD85" s="220"/>
      <c r="AE85" s="220"/>
      <c r="AF85" s="187"/>
      <c r="AG85" s="187"/>
      <c r="AH85" s="187"/>
      <c r="AI85" s="195"/>
      <c r="AJ85" s="195"/>
      <c r="AK85" s="195"/>
      <c r="AL85" s="195"/>
      <c r="AM85" s="195"/>
      <c r="AN85" s="195"/>
      <c r="AO85" s="195"/>
      <c r="AP85" s="195"/>
    </row>
    <row r="86" ht="21.0" customHeight="1">
      <c r="A86" s="180"/>
      <c r="B86" s="183" t="s">
        <v>134</v>
      </c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0"/>
      <c r="AG86" s="180"/>
      <c r="AH86" s="180"/>
      <c r="AI86" s="180"/>
      <c r="AJ86" s="180"/>
      <c r="AK86" s="180"/>
      <c r="AL86" s="180"/>
      <c r="AM86" s="180"/>
      <c r="AN86" s="180"/>
      <c r="AO86" s="180"/>
      <c r="AP86" s="180"/>
    </row>
    <row r="87" ht="15.0" customHeight="1" outlineLevel="1">
      <c r="A87" s="256"/>
      <c r="B87" s="293" t="s">
        <v>238</v>
      </c>
      <c r="C87" s="257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91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90"/>
      <c r="AC87" s="289"/>
      <c r="AD87" s="292"/>
      <c r="AE87" s="292"/>
      <c r="AF87" s="256"/>
      <c r="AG87" s="256"/>
      <c r="AH87" s="256"/>
      <c r="AI87" s="263"/>
      <c r="AJ87" s="263"/>
      <c r="AK87" s="263"/>
      <c r="AL87" s="263"/>
      <c r="AM87" s="263"/>
      <c r="AN87" s="263"/>
      <c r="AO87" s="263"/>
      <c r="AP87" s="263"/>
    </row>
    <row r="88" ht="15.0" customHeight="1" outlineLevel="1">
      <c r="A88" s="256"/>
      <c r="B88" s="293" t="s">
        <v>239</v>
      </c>
      <c r="C88" s="257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4"/>
      <c r="P88" s="291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94"/>
      <c r="AC88" s="289"/>
      <c r="AD88" s="292"/>
      <c r="AE88" s="292"/>
      <c r="AF88" s="256"/>
      <c r="AG88" s="256"/>
      <c r="AH88" s="256"/>
      <c r="AI88" s="263"/>
      <c r="AJ88" s="263"/>
      <c r="AK88" s="263"/>
      <c r="AL88" s="263"/>
      <c r="AM88" s="263"/>
      <c r="AN88" s="263"/>
      <c r="AO88" s="263"/>
      <c r="AP88" s="263"/>
    </row>
    <row r="89" ht="15.0" customHeight="1" outlineLevel="1">
      <c r="A89" s="256"/>
      <c r="B89" s="222" t="s">
        <v>231</v>
      </c>
      <c r="C89" s="205"/>
      <c r="D89" s="272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4"/>
      <c r="P89" s="275"/>
      <c r="Q89" s="272"/>
      <c r="R89" s="273"/>
      <c r="S89" s="273"/>
      <c r="T89" s="273"/>
      <c r="U89" s="273"/>
      <c r="V89" s="273"/>
      <c r="W89" s="273"/>
      <c r="X89" s="273"/>
      <c r="Y89" s="273"/>
      <c r="Z89" s="273"/>
      <c r="AA89" s="273"/>
      <c r="AB89" s="274"/>
      <c r="AC89" s="273"/>
      <c r="AD89" s="276"/>
      <c r="AE89" s="276"/>
      <c r="AF89" s="256"/>
      <c r="AG89" s="256"/>
      <c r="AH89" s="256"/>
      <c r="AI89" s="263"/>
      <c r="AJ89" s="263"/>
      <c r="AK89" s="263"/>
      <c r="AL89" s="263"/>
      <c r="AM89" s="263"/>
      <c r="AN89" s="263"/>
      <c r="AO89" s="263"/>
      <c r="AP89" s="263"/>
    </row>
    <row r="90" ht="15.0" customHeight="1" outlineLevel="1">
      <c r="A90" s="187"/>
      <c r="B90" s="295" t="s">
        <v>240</v>
      </c>
      <c r="C90" s="189"/>
      <c r="D90" s="221">
        <v>0.0</v>
      </c>
      <c r="E90" s="221">
        <v>0.0</v>
      </c>
      <c r="F90" s="221">
        <v>0.0</v>
      </c>
      <c r="G90" s="221">
        <v>0.0</v>
      </c>
      <c r="H90" s="221">
        <v>0.0</v>
      </c>
      <c r="I90" s="221">
        <v>0.0</v>
      </c>
      <c r="J90" s="221">
        <v>0.0</v>
      </c>
      <c r="K90" s="221">
        <v>0.0</v>
      </c>
      <c r="L90" s="221">
        <v>0.0</v>
      </c>
      <c r="M90" s="221">
        <v>0.0</v>
      </c>
      <c r="N90" s="221">
        <v>0.0</v>
      </c>
      <c r="O90" s="296">
        <v>0.0</v>
      </c>
      <c r="P90" s="189">
        <f t="shared" ref="P90:P91" si="69">SUM(D90:O90)</f>
        <v>0</v>
      </c>
      <c r="Q90" s="221">
        <v>0.0</v>
      </c>
      <c r="R90" s="221">
        <v>0.0</v>
      </c>
      <c r="S90" s="221">
        <v>0.0</v>
      </c>
      <c r="T90" s="221">
        <v>0.0</v>
      </c>
      <c r="U90" s="221">
        <v>0.0</v>
      </c>
      <c r="V90" s="221">
        <v>0.0</v>
      </c>
      <c r="W90" s="221">
        <v>0.0</v>
      </c>
      <c r="X90" s="221">
        <v>0.0</v>
      </c>
      <c r="Y90" s="221">
        <v>0.0</v>
      </c>
      <c r="Z90" s="221">
        <v>0.0</v>
      </c>
      <c r="AA90" s="221">
        <v>0.0</v>
      </c>
      <c r="AB90" s="296">
        <v>0.0</v>
      </c>
      <c r="AC90" s="189">
        <f t="shared" ref="AC90:AC91" si="71">SUM(Q90:AB90)</f>
        <v>0</v>
      </c>
      <c r="AD90" s="297">
        <v>0.0</v>
      </c>
      <c r="AE90" s="297">
        <v>0.0</v>
      </c>
      <c r="AF90" s="187"/>
      <c r="AG90" s="187"/>
      <c r="AH90" s="187"/>
      <c r="AI90" s="195"/>
      <c r="AJ90" s="195"/>
      <c r="AK90" s="195"/>
      <c r="AL90" s="195"/>
      <c r="AM90" s="195"/>
      <c r="AN90" s="195"/>
      <c r="AO90" s="195"/>
      <c r="AP90" s="195"/>
    </row>
    <row r="91" ht="15.0" customHeight="1">
      <c r="A91" s="277"/>
      <c r="B91" s="215" t="str">
        <f>CONCAT("Cout Achats - ",B86)</f>
        <v>Cout Achats - Traiteur</v>
      </c>
      <c r="C91" s="278"/>
      <c r="D91" s="279">
        <f t="shared" ref="D91:O91" si="68">D90</f>
        <v>0</v>
      </c>
      <c r="E91" s="279">
        <f t="shared" si="68"/>
        <v>0</v>
      </c>
      <c r="F91" s="279">
        <f t="shared" si="68"/>
        <v>0</v>
      </c>
      <c r="G91" s="279">
        <f t="shared" si="68"/>
        <v>0</v>
      </c>
      <c r="H91" s="279">
        <f t="shared" si="68"/>
        <v>0</v>
      </c>
      <c r="I91" s="279">
        <f t="shared" si="68"/>
        <v>0</v>
      </c>
      <c r="J91" s="279">
        <f t="shared" si="68"/>
        <v>0</v>
      </c>
      <c r="K91" s="279">
        <f t="shared" si="68"/>
        <v>0</v>
      </c>
      <c r="L91" s="279">
        <f t="shared" si="68"/>
        <v>0</v>
      </c>
      <c r="M91" s="279">
        <f t="shared" si="68"/>
        <v>0</v>
      </c>
      <c r="N91" s="279">
        <f t="shared" si="68"/>
        <v>0</v>
      </c>
      <c r="O91" s="280">
        <f t="shared" si="68"/>
        <v>0</v>
      </c>
      <c r="P91" s="281">
        <f t="shared" si="69"/>
        <v>0</v>
      </c>
      <c r="Q91" s="279">
        <f t="shared" ref="Q91:AB91" si="70">Q90</f>
        <v>0</v>
      </c>
      <c r="R91" s="279">
        <f t="shared" si="70"/>
        <v>0</v>
      </c>
      <c r="S91" s="279">
        <f t="shared" si="70"/>
        <v>0</v>
      </c>
      <c r="T91" s="279">
        <f t="shared" si="70"/>
        <v>0</v>
      </c>
      <c r="U91" s="279">
        <f t="shared" si="70"/>
        <v>0</v>
      </c>
      <c r="V91" s="279">
        <f t="shared" si="70"/>
        <v>0</v>
      </c>
      <c r="W91" s="279">
        <f t="shared" si="70"/>
        <v>0</v>
      </c>
      <c r="X91" s="279">
        <f t="shared" si="70"/>
        <v>0</v>
      </c>
      <c r="Y91" s="279">
        <f t="shared" si="70"/>
        <v>0</v>
      </c>
      <c r="Z91" s="279">
        <f t="shared" si="70"/>
        <v>0</v>
      </c>
      <c r="AA91" s="279">
        <f t="shared" si="70"/>
        <v>0</v>
      </c>
      <c r="AB91" s="280">
        <f t="shared" si="70"/>
        <v>0</v>
      </c>
      <c r="AC91" s="281">
        <f t="shared" si="71"/>
        <v>0</v>
      </c>
      <c r="AD91" s="298">
        <f t="shared" ref="AD91:AE91" si="72">AD90</f>
        <v>0</v>
      </c>
      <c r="AE91" s="298">
        <f t="shared" si="72"/>
        <v>0</v>
      </c>
      <c r="AF91" s="277"/>
      <c r="AG91" s="277"/>
      <c r="AH91" s="277"/>
      <c r="AI91" s="284"/>
      <c r="AJ91" s="284"/>
      <c r="AK91" s="284"/>
      <c r="AL91" s="284"/>
      <c r="AM91" s="284"/>
      <c r="AN91" s="284"/>
      <c r="AO91" s="284"/>
      <c r="AP91" s="284"/>
    </row>
    <row r="92" ht="15.0" customHeight="1">
      <c r="A92" s="285"/>
      <c r="B92" s="286" t="s">
        <v>241</v>
      </c>
      <c r="C92" s="241"/>
      <c r="D92" s="242">
        <f t="shared" ref="D92:AE92" si="73">IFERROR(D91/D47,0)</f>
        <v>0</v>
      </c>
      <c r="E92" s="242">
        <f t="shared" si="73"/>
        <v>0</v>
      </c>
      <c r="F92" s="242">
        <f t="shared" si="73"/>
        <v>0</v>
      </c>
      <c r="G92" s="242">
        <f t="shared" si="73"/>
        <v>0</v>
      </c>
      <c r="H92" s="242">
        <f t="shared" si="73"/>
        <v>0</v>
      </c>
      <c r="I92" s="242">
        <f t="shared" si="73"/>
        <v>0</v>
      </c>
      <c r="J92" s="242">
        <f t="shared" si="73"/>
        <v>0</v>
      </c>
      <c r="K92" s="242">
        <f t="shared" si="73"/>
        <v>0</v>
      </c>
      <c r="L92" s="242">
        <f t="shared" si="73"/>
        <v>0</v>
      </c>
      <c r="M92" s="242">
        <f t="shared" si="73"/>
        <v>0</v>
      </c>
      <c r="N92" s="242">
        <f t="shared" si="73"/>
        <v>0</v>
      </c>
      <c r="O92" s="243">
        <f t="shared" si="73"/>
        <v>0</v>
      </c>
      <c r="P92" s="241">
        <f t="shared" si="73"/>
        <v>0</v>
      </c>
      <c r="Q92" s="242">
        <f t="shared" si="73"/>
        <v>0</v>
      </c>
      <c r="R92" s="242">
        <f t="shared" si="73"/>
        <v>0</v>
      </c>
      <c r="S92" s="242">
        <f t="shared" si="73"/>
        <v>0</v>
      </c>
      <c r="T92" s="242">
        <f t="shared" si="73"/>
        <v>0</v>
      </c>
      <c r="U92" s="242">
        <f t="shared" si="73"/>
        <v>0</v>
      </c>
      <c r="V92" s="242">
        <f t="shared" si="73"/>
        <v>0</v>
      </c>
      <c r="W92" s="242">
        <f t="shared" si="73"/>
        <v>0</v>
      </c>
      <c r="X92" s="242">
        <f t="shared" si="73"/>
        <v>0</v>
      </c>
      <c r="Y92" s="242">
        <f t="shared" si="73"/>
        <v>0</v>
      </c>
      <c r="Z92" s="242">
        <f t="shared" si="73"/>
        <v>0</v>
      </c>
      <c r="AA92" s="242">
        <f t="shared" si="73"/>
        <v>0</v>
      </c>
      <c r="AB92" s="243">
        <f t="shared" si="73"/>
        <v>0</v>
      </c>
      <c r="AC92" s="241">
        <f t="shared" si="73"/>
        <v>0</v>
      </c>
      <c r="AD92" s="244">
        <f t="shared" si="73"/>
        <v>0</v>
      </c>
      <c r="AE92" s="244">
        <f t="shared" si="73"/>
        <v>0</v>
      </c>
      <c r="AF92" s="285"/>
      <c r="AG92" s="285"/>
      <c r="AH92" s="285"/>
      <c r="AI92" s="245"/>
      <c r="AJ92" s="245"/>
      <c r="AK92" s="245"/>
      <c r="AL92" s="245"/>
      <c r="AM92" s="245"/>
      <c r="AN92" s="245"/>
      <c r="AO92" s="245"/>
      <c r="AP92" s="245"/>
    </row>
    <row r="93" ht="6.75" customHeight="1">
      <c r="A93" s="187"/>
      <c r="B93" s="46"/>
      <c r="C93" s="220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0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0"/>
      <c r="AD93" s="220"/>
      <c r="AE93" s="220"/>
      <c r="AF93" s="187"/>
      <c r="AG93" s="187"/>
      <c r="AH93" s="187"/>
      <c r="AI93" s="195"/>
      <c r="AJ93" s="195"/>
      <c r="AK93" s="195"/>
      <c r="AL93" s="195"/>
      <c r="AM93" s="195"/>
      <c r="AN93" s="195"/>
      <c r="AO93" s="195"/>
      <c r="AP93" s="195"/>
    </row>
    <row r="94" ht="24.75" customHeight="1">
      <c r="A94" s="187"/>
      <c r="B94" s="299" t="s">
        <v>242</v>
      </c>
      <c r="C94" s="300"/>
      <c r="D94" s="301">
        <f t="shared" ref="D94:AE94" si="74">D67+D75+D83+D91</f>
        <v>3479.304545</v>
      </c>
      <c r="E94" s="302">
        <f t="shared" si="74"/>
        <v>4169.072727</v>
      </c>
      <c r="F94" s="302">
        <f t="shared" si="74"/>
        <v>4522.377273</v>
      </c>
      <c r="G94" s="302">
        <f t="shared" si="74"/>
        <v>5932.449545</v>
      </c>
      <c r="H94" s="302">
        <f t="shared" si="74"/>
        <v>7517.990455</v>
      </c>
      <c r="I94" s="302">
        <f t="shared" si="74"/>
        <v>8554.885909</v>
      </c>
      <c r="J94" s="302">
        <f t="shared" si="74"/>
        <v>8241.805909</v>
      </c>
      <c r="K94" s="302">
        <f t="shared" si="74"/>
        <v>8241.805909</v>
      </c>
      <c r="L94" s="302">
        <f t="shared" si="74"/>
        <v>7665.749091</v>
      </c>
      <c r="M94" s="302">
        <f t="shared" si="74"/>
        <v>6801.669545</v>
      </c>
      <c r="N94" s="302">
        <f t="shared" si="74"/>
        <v>5965.747273</v>
      </c>
      <c r="O94" s="303">
        <f t="shared" si="74"/>
        <v>3987.290909</v>
      </c>
      <c r="P94" s="304">
        <f t="shared" si="74"/>
        <v>75080.14909</v>
      </c>
      <c r="Q94" s="301">
        <f t="shared" si="74"/>
        <v>4411.164145</v>
      </c>
      <c r="R94" s="302">
        <f t="shared" si="74"/>
        <v>4411.164145</v>
      </c>
      <c r="S94" s="302">
        <f t="shared" si="74"/>
        <v>4741.571759</v>
      </c>
      <c r="T94" s="302">
        <f t="shared" si="74"/>
        <v>5733.707555</v>
      </c>
      <c r="U94" s="302">
        <f t="shared" si="74"/>
        <v>5953.406555</v>
      </c>
      <c r="V94" s="302">
        <f t="shared" si="74"/>
        <v>7936.765191</v>
      </c>
      <c r="W94" s="302">
        <f t="shared" si="74"/>
        <v>8597.580418</v>
      </c>
      <c r="X94" s="302">
        <f t="shared" si="74"/>
        <v>8597.580418</v>
      </c>
      <c r="Y94" s="302">
        <f t="shared" si="74"/>
        <v>8156.464191</v>
      </c>
      <c r="Z94" s="302">
        <f t="shared" si="74"/>
        <v>5733.707555</v>
      </c>
      <c r="AA94" s="302">
        <f t="shared" si="74"/>
        <v>5291.678373</v>
      </c>
      <c r="AB94" s="303">
        <f t="shared" si="74"/>
        <v>4411.164145</v>
      </c>
      <c r="AC94" s="304">
        <f t="shared" si="74"/>
        <v>73975.95445</v>
      </c>
      <c r="AD94" s="300">
        <f t="shared" si="74"/>
        <v>74340.62991</v>
      </c>
      <c r="AE94" s="300">
        <f t="shared" si="74"/>
        <v>84507.95283</v>
      </c>
      <c r="AF94" s="187"/>
      <c r="AG94" s="187"/>
      <c r="AH94" s="187"/>
      <c r="AI94" s="195"/>
      <c r="AJ94" s="195"/>
      <c r="AK94" s="195"/>
      <c r="AL94" s="195"/>
      <c r="AM94" s="195"/>
      <c r="AN94" s="195"/>
      <c r="AO94" s="195"/>
      <c r="AP94" s="195"/>
    </row>
    <row r="95" ht="12.0" customHeight="1">
      <c r="A95" s="285"/>
      <c r="B95" s="286" t="s">
        <v>243</v>
      </c>
      <c r="C95" s="305"/>
      <c r="D95" s="306">
        <f t="shared" ref="D95:AE95" si="75">IFERROR(D94/D50,0)</f>
        <v>0.3</v>
      </c>
      <c r="E95" s="306">
        <f t="shared" si="75"/>
        <v>0.3</v>
      </c>
      <c r="F95" s="306">
        <f t="shared" si="75"/>
        <v>0.3</v>
      </c>
      <c r="G95" s="306">
        <f t="shared" si="75"/>
        <v>0.3</v>
      </c>
      <c r="H95" s="306">
        <f t="shared" si="75"/>
        <v>0.3</v>
      </c>
      <c r="I95" s="306">
        <f t="shared" si="75"/>
        <v>0.2443116275</v>
      </c>
      <c r="J95" s="306">
        <f t="shared" si="75"/>
        <v>0.259832702</v>
      </c>
      <c r="K95" s="306">
        <f t="shared" si="75"/>
        <v>0.259832702</v>
      </c>
      <c r="L95" s="306">
        <f t="shared" si="75"/>
        <v>0.2606029364</v>
      </c>
      <c r="M95" s="306">
        <f t="shared" si="75"/>
        <v>0.2620146608</v>
      </c>
      <c r="N95" s="306">
        <f t="shared" si="75"/>
        <v>0.2253409995</v>
      </c>
      <c r="O95" s="307">
        <f t="shared" si="75"/>
        <v>0.2107518512</v>
      </c>
      <c r="P95" s="305">
        <f t="shared" si="75"/>
        <v>0.2637835907</v>
      </c>
      <c r="Q95" s="306">
        <f t="shared" si="75"/>
        <v>0.2608949825</v>
      </c>
      <c r="R95" s="306">
        <f t="shared" si="75"/>
        <v>0.2201969172</v>
      </c>
      <c r="S95" s="306">
        <f t="shared" si="75"/>
        <v>0.2601050988</v>
      </c>
      <c r="T95" s="306">
        <f t="shared" si="75"/>
        <v>0.2582985153</v>
      </c>
      <c r="U95" s="306">
        <f t="shared" si="75"/>
        <v>0.228491027</v>
      </c>
      <c r="V95" s="306">
        <f t="shared" si="75"/>
        <v>0.2013704485</v>
      </c>
      <c r="W95" s="306">
        <f t="shared" si="75"/>
        <v>0.2565904663</v>
      </c>
      <c r="X95" s="306">
        <f t="shared" si="75"/>
        <v>0.234701274</v>
      </c>
      <c r="Y95" s="306">
        <f t="shared" si="75"/>
        <v>0.2581479513</v>
      </c>
      <c r="Z95" s="306">
        <f t="shared" si="75"/>
        <v>0.2582985153</v>
      </c>
      <c r="AA95" s="306">
        <f t="shared" si="75"/>
        <v>0.2260588932</v>
      </c>
      <c r="AB95" s="307">
        <f t="shared" si="75"/>
        <v>0.2608949825</v>
      </c>
      <c r="AC95" s="306">
        <f t="shared" si="75"/>
        <v>0.2408961785</v>
      </c>
      <c r="AD95" s="305">
        <f t="shared" si="75"/>
        <v>0.2265686564</v>
      </c>
      <c r="AE95" s="305">
        <f t="shared" si="75"/>
        <v>0.2281036285</v>
      </c>
      <c r="AF95" s="285"/>
      <c r="AG95" s="285"/>
      <c r="AH95" s="285"/>
      <c r="AI95" s="245"/>
      <c r="AJ95" s="245"/>
      <c r="AK95" s="245"/>
      <c r="AL95" s="245"/>
      <c r="AM95" s="245"/>
      <c r="AN95" s="245"/>
      <c r="AO95" s="245"/>
      <c r="AP95" s="245"/>
    </row>
    <row r="96" ht="12.75" customHeight="1">
      <c r="A96" s="308"/>
      <c r="B96" s="309"/>
      <c r="C96" s="310"/>
      <c r="D96" s="310"/>
      <c r="E96" s="310"/>
      <c r="F96" s="310"/>
      <c r="G96" s="311"/>
      <c r="H96" s="311"/>
      <c r="I96" s="311"/>
      <c r="J96" s="311"/>
      <c r="K96" s="311"/>
      <c r="L96" s="312"/>
      <c r="M96" s="312"/>
      <c r="N96" s="312"/>
      <c r="O96" s="313" t="s">
        <v>244</v>
      </c>
      <c r="P96" s="314">
        <f>IF(SUM(D94:O94)=P94,0,P94-SUM(D94:O94))</f>
        <v>0</v>
      </c>
      <c r="Q96" s="314"/>
      <c r="R96" s="314"/>
      <c r="S96" s="314"/>
      <c r="T96" s="314"/>
      <c r="U96" s="314"/>
      <c r="V96" s="314"/>
      <c r="W96" s="314"/>
      <c r="X96" s="314"/>
      <c r="Y96" s="314"/>
      <c r="Z96" s="314"/>
      <c r="AA96" s="314"/>
      <c r="AB96" s="313"/>
      <c r="AC96" s="314">
        <f>IF(SUM(Q94:AB94)=AC94,0,AC94-SUM(Q94:AB94))</f>
        <v>0</v>
      </c>
      <c r="AD96" s="315"/>
      <c r="AE96" s="315"/>
      <c r="AF96" s="308"/>
      <c r="AG96" s="308"/>
      <c r="AH96" s="308"/>
      <c r="AI96" s="308"/>
      <c r="AJ96" s="308"/>
      <c r="AK96" s="308"/>
      <c r="AL96" s="308"/>
      <c r="AM96" s="308"/>
      <c r="AN96" s="308"/>
      <c r="AO96" s="308"/>
      <c r="AP96" s="308"/>
    </row>
    <row r="97" ht="24.75" customHeight="1">
      <c r="A97" s="180"/>
      <c r="B97" s="181" t="s">
        <v>245</v>
      </c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0"/>
      <c r="AG97" s="180"/>
      <c r="AH97" s="180"/>
      <c r="AI97" s="180"/>
      <c r="AJ97" s="180"/>
      <c r="AK97" s="180"/>
      <c r="AL97" s="180"/>
      <c r="AM97" s="180"/>
      <c r="AN97" s="180"/>
      <c r="AO97" s="180"/>
      <c r="AP97" s="180"/>
    </row>
    <row r="98" ht="12.75" customHeight="1" outlineLevel="1">
      <c r="A98" s="187"/>
      <c r="B98" s="316" t="s">
        <v>246</v>
      </c>
      <c r="C98" s="317"/>
      <c r="D98" s="318">
        <f>Personnel!D34</f>
        <v>1</v>
      </c>
      <c r="E98" s="318">
        <f>Personnel!E34</f>
        <v>1</v>
      </c>
      <c r="F98" s="318">
        <f>Personnel!F34</f>
        <v>1</v>
      </c>
      <c r="G98" s="318">
        <f>Personnel!G34</f>
        <v>1</v>
      </c>
      <c r="H98" s="318">
        <f>Personnel!H34</f>
        <v>1</v>
      </c>
      <c r="I98" s="318">
        <f>Personnel!I34</f>
        <v>1</v>
      </c>
      <c r="J98" s="318">
        <f>Personnel!J34</f>
        <v>1</v>
      </c>
      <c r="K98" s="318">
        <f>Personnel!K34</f>
        <v>1</v>
      </c>
      <c r="L98" s="318">
        <f>Personnel!L34</f>
        <v>1</v>
      </c>
      <c r="M98" s="318">
        <f>Personnel!M34</f>
        <v>1</v>
      </c>
      <c r="N98" s="318">
        <f>Personnel!N34</f>
        <v>1</v>
      </c>
      <c r="O98" s="318">
        <f>Personnel!O34</f>
        <v>1</v>
      </c>
      <c r="P98" s="317">
        <f>Personnel!P34</f>
        <v>1</v>
      </c>
      <c r="Q98" s="318">
        <f>Personnel!Q34</f>
        <v>1</v>
      </c>
      <c r="R98" s="318">
        <f>Personnel!R34</f>
        <v>1</v>
      </c>
      <c r="S98" s="318">
        <f>Personnel!S34</f>
        <v>1</v>
      </c>
      <c r="T98" s="318">
        <f>Personnel!T34</f>
        <v>1</v>
      </c>
      <c r="U98" s="318">
        <f>Personnel!U34</f>
        <v>1</v>
      </c>
      <c r="V98" s="318">
        <f>Personnel!V34</f>
        <v>1</v>
      </c>
      <c r="W98" s="318">
        <f>Personnel!W34</f>
        <v>1</v>
      </c>
      <c r="X98" s="318">
        <f>Personnel!X34</f>
        <v>1</v>
      </c>
      <c r="Y98" s="318">
        <f>Personnel!Y34</f>
        <v>1</v>
      </c>
      <c r="Z98" s="318">
        <f>Personnel!Z34</f>
        <v>1</v>
      </c>
      <c r="AA98" s="318">
        <f>Personnel!AA34</f>
        <v>1</v>
      </c>
      <c r="AB98" s="318">
        <f>Personnel!AB34</f>
        <v>1</v>
      </c>
      <c r="AC98" s="317">
        <f>Personnel!AC34</f>
        <v>6</v>
      </c>
      <c r="AD98" s="319">
        <f>Personnel!AD34</f>
        <v>1</v>
      </c>
      <c r="AE98" s="319">
        <f>Personnel!AE34</f>
        <v>1</v>
      </c>
      <c r="AF98" s="187"/>
      <c r="AG98" s="187"/>
      <c r="AH98" s="187"/>
      <c r="AI98" s="195"/>
      <c r="AJ98" s="195"/>
      <c r="AK98" s="195"/>
      <c r="AL98" s="195"/>
      <c r="AM98" s="195"/>
      <c r="AN98" s="195"/>
      <c r="AO98" s="195"/>
      <c r="AP98" s="195"/>
    </row>
    <row r="99" ht="15.0" customHeight="1" outlineLevel="1">
      <c r="A99" s="187"/>
      <c r="B99" s="187" t="s">
        <v>247</v>
      </c>
      <c r="C99" s="320"/>
      <c r="D99" s="221">
        <f>Personnel!D35+Personnel!D36</f>
        <v>2200</v>
      </c>
      <c r="E99" s="221">
        <f>Personnel!E35+Personnel!E36</f>
        <v>2200</v>
      </c>
      <c r="F99" s="221">
        <f>Personnel!F35+Personnel!F36</f>
        <v>2200</v>
      </c>
      <c r="G99" s="221">
        <f>Personnel!G35+Personnel!G36</f>
        <v>2200</v>
      </c>
      <c r="H99" s="221">
        <f>Personnel!H35+Personnel!H36</f>
        <v>2700</v>
      </c>
      <c r="I99" s="221">
        <f>Personnel!I35+Personnel!I36</f>
        <v>2700</v>
      </c>
      <c r="J99" s="221">
        <f>Personnel!J35+Personnel!J36</f>
        <v>2700</v>
      </c>
      <c r="K99" s="221">
        <f>Personnel!K35+Personnel!K36</f>
        <v>2700</v>
      </c>
      <c r="L99" s="221">
        <f>Personnel!L35+Personnel!L36</f>
        <v>2700</v>
      </c>
      <c r="M99" s="221">
        <f>Personnel!M35+Personnel!M36</f>
        <v>2700</v>
      </c>
      <c r="N99" s="221">
        <f>Personnel!N35+Personnel!N36</f>
        <v>2200</v>
      </c>
      <c r="O99" s="221">
        <f>Personnel!O35+Personnel!O36</f>
        <v>2200</v>
      </c>
      <c r="P99" s="189">
        <f>Personnel!P36</f>
        <v>3000</v>
      </c>
      <c r="Q99" s="221">
        <f>Personnel!Q35+Personnel!Q36</f>
        <v>2200</v>
      </c>
      <c r="R99" s="221">
        <f>Personnel!R35+Personnel!R36</f>
        <v>2200</v>
      </c>
      <c r="S99" s="221">
        <f>Personnel!S35+Personnel!S36</f>
        <v>2200</v>
      </c>
      <c r="T99" s="221">
        <f>Personnel!T35+Personnel!T36</f>
        <v>2200</v>
      </c>
      <c r="U99" s="221">
        <f>Personnel!U35+Personnel!U36</f>
        <v>2700</v>
      </c>
      <c r="V99" s="221">
        <f>Personnel!V35+Personnel!V36</f>
        <v>2700</v>
      </c>
      <c r="W99" s="221">
        <f>Personnel!W35+Personnel!W36</f>
        <v>2700</v>
      </c>
      <c r="X99" s="221">
        <f>Personnel!X35+Personnel!X36</f>
        <v>2700</v>
      </c>
      <c r="Y99" s="221">
        <f>Personnel!Y35+Personnel!Y36</f>
        <v>2700</v>
      </c>
      <c r="Z99" s="221">
        <f>Personnel!Z35+Personnel!Z36</f>
        <v>2700</v>
      </c>
      <c r="AA99" s="221">
        <f>Personnel!AA35+Personnel!AA36</f>
        <v>2200</v>
      </c>
      <c r="AB99" s="221">
        <f>Personnel!AB35+Personnel!AB36</f>
        <v>2200</v>
      </c>
      <c r="AC99" s="189">
        <f>Personnel!AC35+Personnel!AC36</f>
        <v>29400</v>
      </c>
      <c r="AD99" s="297">
        <f>Personnel!AD35+Personnel!AD36</f>
        <v>30870</v>
      </c>
      <c r="AE99" s="297">
        <f>Personnel!AE35+Personnel!AE36</f>
        <v>32413.5</v>
      </c>
      <c r="AF99" s="187"/>
      <c r="AG99" s="187"/>
      <c r="AH99" s="187"/>
      <c r="AI99" s="195"/>
      <c r="AJ99" s="195"/>
      <c r="AK99" s="195"/>
      <c r="AL99" s="195"/>
      <c r="AM99" s="195"/>
      <c r="AN99" s="195"/>
      <c r="AO99" s="195"/>
      <c r="AP99" s="195"/>
    </row>
    <row r="100" ht="15.0" customHeight="1" outlineLevel="1">
      <c r="A100" s="187"/>
      <c r="B100" s="321" t="s">
        <v>248</v>
      </c>
      <c r="C100" s="320"/>
      <c r="D100" s="221">
        <f>Personnel!D37</f>
        <v>990</v>
      </c>
      <c r="E100" s="221">
        <f>Personnel!E37</f>
        <v>990</v>
      </c>
      <c r="F100" s="221">
        <f>Personnel!F37</f>
        <v>990</v>
      </c>
      <c r="G100" s="221">
        <f>Personnel!G37</f>
        <v>990</v>
      </c>
      <c r="H100" s="221">
        <f>Personnel!H37</f>
        <v>990</v>
      </c>
      <c r="I100" s="221">
        <f>Personnel!I37</f>
        <v>990</v>
      </c>
      <c r="J100" s="221">
        <f>Personnel!J37</f>
        <v>990</v>
      </c>
      <c r="K100" s="221">
        <f>Personnel!K37</f>
        <v>990</v>
      </c>
      <c r="L100" s="221">
        <f>Personnel!L37</f>
        <v>990</v>
      </c>
      <c r="M100" s="221">
        <f>Personnel!M37</f>
        <v>990</v>
      </c>
      <c r="N100" s="221">
        <f>Personnel!N37</f>
        <v>990</v>
      </c>
      <c r="O100" s="296">
        <f>Personnel!O37</f>
        <v>990</v>
      </c>
      <c r="P100" s="189">
        <f>Personnel!P37</f>
        <v>11880</v>
      </c>
      <c r="Q100" s="221">
        <f>Personnel!Q37</f>
        <v>990</v>
      </c>
      <c r="R100" s="221">
        <f>Personnel!R37</f>
        <v>990</v>
      </c>
      <c r="S100" s="221">
        <f>Personnel!S37</f>
        <v>990</v>
      </c>
      <c r="T100" s="221">
        <f>Personnel!T37</f>
        <v>990</v>
      </c>
      <c r="U100" s="221">
        <f>Personnel!U37</f>
        <v>990</v>
      </c>
      <c r="V100" s="221">
        <f>Personnel!V37</f>
        <v>990</v>
      </c>
      <c r="W100" s="221">
        <f>Personnel!W37</f>
        <v>990</v>
      </c>
      <c r="X100" s="221">
        <f>Personnel!X37</f>
        <v>990</v>
      </c>
      <c r="Y100" s="221">
        <f>Personnel!Y37</f>
        <v>990</v>
      </c>
      <c r="Z100" s="221">
        <f>Personnel!Z37</f>
        <v>990</v>
      </c>
      <c r="AA100" s="221">
        <f>Personnel!AA37</f>
        <v>990</v>
      </c>
      <c r="AB100" s="296">
        <f>Personnel!AB37</f>
        <v>990</v>
      </c>
      <c r="AC100" s="189">
        <f>Personnel!AC37</f>
        <v>11880</v>
      </c>
      <c r="AD100" s="297">
        <f>Personnel!AD37</f>
        <v>12474</v>
      </c>
      <c r="AE100" s="297">
        <f>Personnel!AE37</f>
        <v>13097.7</v>
      </c>
      <c r="AF100" s="187"/>
      <c r="AG100" s="187"/>
      <c r="AH100" s="187"/>
      <c r="AI100" s="195"/>
      <c r="AJ100" s="195"/>
      <c r="AK100" s="195"/>
      <c r="AL100" s="195"/>
      <c r="AM100" s="195"/>
      <c r="AN100" s="195"/>
      <c r="AO100" s="195"/>
      <c r="AP100" s="195"/>
    </row>
    <row r="101" ht="15.0" customHeight="1" outlineLevel="1">
      <c r="A101" s="187"/>
      <c r="B101" s="187" t="s">
        <v>249</v>
      </c>
      <c r="C101" s="320"/>
      <c r="D101" s="221">
        <f>Personnel!D38</f>
        <v>0</v>
      </c>
      <c r="E101" s="221">
        <f>Personnel!E38</f>
        <v>0</v>
      </c>
      <c r="F101" s="221">
        <f>Personnel!F38</f>
        <v>0</v>
      </c>
      <c r="G101" s="221">
        <f>Personnel!G38</f>
        <v>0</v>
      </c>
      <c r="H101" s="221">
        <f>Personnel!H38</f>
        <v>0</v>
      </c>
      <c r="I101" s="221">
        <f>Personnel!I38</f>
        <v>0</v>
      </c>
      <c r="J101" s="221">
        <f>Personnel!J38</f>
        <v>0</v>
      </c>
      <c r="K101" s="221">
        <f>Personnel!K38</f>
        <v>0</v>
      </c>
      <c r="L101" s="221">
        <f>Personnel!L38</f>
        <v>0</v>
      </c>
      <c r="M101" s="221">
        <f>Personnel!M38</f>
        <v>0</v>
      </c>
      <c r="N101" s="221">
        <f>Personnel!N38</f>
        <v>0</v>
      </c>
      <c r="O101" s="296">
        <f>Personnel!O38</f>
        <v>0</v>
      </c>
      <c r="P101" s="189">
        <f>Personnel!P38</f>
        <v>0</v>
      </c>
      <c r="Q101" s="322">
        <f>Personnel!Q38</f>
        <v>0</v>
      </c>
      <c r="R101" s="221">
        <f>Personnel!R38</f>
        <v>0</v>
      </c>
      <c r="S101" s="221">
        <f>Personnel!S38</f>
        <v>0</v>
      </c>
      <c r="T101" s="221">
        <f>Personnel!T38</f>
        <v>0</v>
      </c>
      <c r="U101" s="221">
        <f>Personnel!U38</f>
        <v>0</v>
      </c>
      <c r="V101" s="221">
        <f>Personnel!V38</f>
        <v>0</v>
      </c>
      <c r="W101" s="221">
        <f>Personnel!W38</f>
        <v>0</v>
      </c>
      <c r="X101" s="221">
        <f>Personnel!X38</f>
        <v>0</v>
      </c>
      <c r="Y101" s="221">
        <f>Personnel!Y38</f>
        <v>0</v>
      </c>
      <c r="Z101" s="221">
        <f>Personnel!Z38</f>
        <v>0</v>
      </c>
      <c r="AA101" s="221">
        <f>Personnel!AA38</f>
        <v>0</v>
      </c>
      <c r="AB101" s="296">
        <f>Personnel!AB38</f>
        <v>0</v>
      </c>
      <c r="AC101" s="189">
        <f>Personnel!AC38</f>
        <v>0</v>
      </c>
      <c r="AD101" s="297">
        <f>Personnel!AD38</f>
        <v>0</v>
      </c>
      <c r="AE101" s="297">
        <f>Personnel!AE38</f>
        <v>0</v>
      </c>
      <c r="AF101" s="187"/>
      <c r="AG101" s="187"/>
      <c r="AH101" s="187"/>
      <c r="AI101" s="195"/>
      <c r="AJ101" s="195"/>
      <c r="AK101" s="195"/>
      <c r="AL101" s="195"/>
      <c r="AM101" s="195"/>
      <c r="AN101" s="195"/>
      <c r="AO101" s="195"/>
      <c r="AP101" s="195"/>
    </row>
    <row r="102" ht="24.75" customHeight="1">
      <c r="A102" s="187"/>
      <c r="B102" s="299" t="s">
        <v>250</v>
      </c>
      <c r="C102" s="323"/>
      <c r="D102" s="301">
        <f>Personnel!D39</f>
        <v>3190</v>
      </c>
      <c r="E102" s="302">
        <f>Personnel!E39</f>
        <v>3190</v>
      </c>
      <c r="F102" s="302">
        <f>Personnel!F39</f>
        <v>3190</v>
      </c>
      <c r="G102" s="302">
        <f>Personnel!G39</f>
        <v>3190</v>
      </c>
      <c r="H102" s="302">
        <f>Personnel!H39</f>
        <v>3690</v>
      </c>
      <c r="I102" s="302">
        <f>Personnel!I39</f>
        <v>3690</v>
      </c>
      <c r="J102" s="302">
        <f>Personnel!J39</f>
        <v>3690</v>
      </c>
      <c r="K102" s="302">
        <f>Personnel!K39</f>
        <v>3690</v>
      </c>
      <c r="L102" s="302">
        <f>Personnel!L39</f>
        <v>3690</v>
      </c>
      <c r="M102" s="302">
        <f>Personnel!M39</f>
        <v>3690</v>
      </c>
      <c r="N102" s="302">
        <f>Personnel!N39</f>
        <v>3190</v>
      </c>
      <c r="O102" s="303">
        <f>Personnel!O39</f>
        <v>3190</v>
      </c>
      <c r="P102" s="304">
        <f>Personnel!P39</f>
        <v>41280</v>
      </c>
      <c r="Q102" s="301">
        <f>Personnel!Q39</f>
        <v>3190</v>
      </c>
      <c r="R102" s="302">
        <f>Personnel!R39</f>
        <v>3190</v>
      </c>
      <c r="S102" s="302">
        <f>Personnel!S39</f>
        <v>3190</v>
      </c>
      <c r="T102" s="302">
        <f>Personnel!T39</f>
        <v>3190</v>
      </c>
      <c r="U102" s="302">
        <f>Personnel!U39</f>
        <v>3690</v>
      </c>
      <c r="V102" s="302">
        <f>Personnel!V39</f>
        <v>3690</v>
      </c>
      <c r="W102" s="302">
        <f>Personnel!W39</f>
        <v>3690</v>
      </c>
      <c r="X102" s="302">
        <f>Personnel!X39</f>
        <v>3690</v>
      </c>
      <c r="Y102" s="302">
        <f>Personnel!Y39</f>
        <v>3690</v>
      </c>
      <c r="Z102" s="302">
        <f>Personnel!Z39</f>
        <v>3690</v>
      </c>
      <c r="AA102" s="302">
        <f>Personnel!AA39</f>
        <v>3190</v>
      </c>
      <c r="AB102" s="303">
        <f>Personnel!AB39</f>
        <v>3190</v>
      </c>
      <c r="AC102" s="304">
        <f>Personnel!AC39</f>
        <v>41280</v>
      </c>
      <c r="AD102" s="300">
        <f>Personnel!AD39</f>
        <v>43344</v>
      </c>
      <c r="AE102" s="300">
        <f>Personnel!AE39</f>
        <v>45511.2</v>
      </c>
      <c r="AF102" s="187"/>
      <c r="AG102" s="187"/>
      <c r="AH102" s="187"/>
      <c r="AI102" s="195"/>
      <c r="AJ102" s="195"/>
      <c r="AK102" s="195"/>
      <c r="AL102" s="195"/>
      <c r="AM102" s="195"/>
      <c r="AN102" s="195"/>
      <c r="AO102" s="195"/>
      <c r="AP102" s="195"/>
    </row>
    <row r="103" ht="12.75" customHeight="1">
      <c r="A103" s="285"/>
      <c r="B103" s="324" t="s">
        <v>251</v>
      </c>
      <c r="C103" s="325"/>
      <c r="D103" s="326">
        <f t="shared" ref="D103:AE103" si="76">IFERROR(D102/D50,0)</f>
        <v>0.2750549679</v>
      </c>
      <c r="E103" s="326">
        <f t="shared" si="76"/>
        <v>0.2295474468</v>
      </c>
      <c r="F103" s="326">
        <f t="shared" si="76"/>
        <v>0.2116143661</v>
      </c>
      <c r="G103" s="326">
        <f t="shared" si="76"/>
        <v>0.1613161634</v>
      </c>
      <c r="H103" s="326">
        <f t="shared" si="76"/>
        <v>0.1472467951</v>
      </c>
      <c r="I103" s="326">
        <f t="shared" si="76"/>
        <v>0.1053795357</v>
      </c>
      <c r="J103" s="326">
        <f t="shared" si="76"/>
        <v>0.1163316245</v>
      </c>
      <c r="K103" s="326">
        <f t="shared" si="76"/>
        <v>0.1163316245</v>
      </c>
      <c r="L103" s="326">
        <f t="shared" si="76"/>
        <v>0.12544434</v>
      </c>
      <c r="M103" s="326">
        <f t="shared" si="76"/>
        <v>0.142146585</v>
      </c>
      <c r="N103" s="326">
        <f t="shared" si="76"/>
        <v>0.1204941738</v>
      </c>
      <c r="O103" s="327">
        <f t="shared" si="76"/>
        <v>0.1686103223</v>
      </c>
      <c r="P103" s="325">
        <f t="shared" si="76"/>
        <v>0.1450314997</v>
      </c>
      <c r="Q103" s="326">
        <f t="shared" si="76"/>
        <v>0.1886701484</v>
      </c>
      <c r="R103" s="326">
        <f t="shared" si="76"/>
        <v>0.1592387276</v>
      </c>
      <c r="S103" s="326">
        <f t="shared" si="76"/>
        <v>0.1749916077</v>
      </c>
      <c r="T103" s="326">
        <f t="shared" si="76"/>
        <v>0.1437067126</v>
      </c>
      <c r="U103" s="326">
        <f t="shared" si="76"/>
        <v>0.1416217558</v>
      </c>
      <c r="V103" s="326">
        <f t="shared" si="76"/>
        <v>0.09362214164</v>
      </c>
      <c r="W103" s="326">
        <f t="shared" si="76"/>
        <v>0.1101261954</v>
      </c>
      <c r="X103" s="326">
        <f t="shared" si="76"/>
        <v>0.1007315615</v>
      </c>
      <c r="Y103" s="326">
        <f t="shared" si="76"/>
        <v>0.1167866269</v>
      </c>
      <c r="Z103" s="326">
        <f t="shared" si="76"/>
        <v>0.1662312757</v>
      </c>
      <c r="AA103" s="326">
        <f t="shared" si="76"/>
        <v>0.1362758313</v>
      </c>
      <c r="AB103" s="327">
        <f t="shared" si="76"/>
        <v>0.1886701484</v>
      </c>
      <c r="AC103" s="325">
        <f t="shared" si="76"/>
        <v>0.1344246833</v>
      </c>
      <c r="AD103" s="328">
        <f t="shared" si="76"/>
        <v>0.1320999278</v>
      </c>
      <c r="AE103" s="328">
        <f t="shared" si="76"/>
        <v>0.122843703</v>
      </c>
      <c r="AF103" s="285"/>
      <c r="AG103" s="285"/>
      <c r="AH103" s="285"/>
      <c r="AI103" s="245"/>
      <c r="AJ103" s="245"/>
      <c r="AK103" s="245"/>
      <c r="AL103" s="245"/>
      <c r="AM103" s="245"/>
      <c r="AN103" s="245"/>
      <c r="AO103" s="245"/>
      <c r="AP103" s="245"/>
    </row>
    <row r="104" ht="12.75" customHeight="1">
      <c r="A104" s="187"/>
      <c r="B104" s="329"/>
      <c r="C104" s="329"/>
      <c r="D104" s="330"/>
      <c r="E104" s="329"/>
      <c r="F104" s="329"/>
      <c r="G104" s="329"/>
      <c r="H104" s="329"/>
      <c r="I104" s="329"/>
      <c r="J104" s="329"/>
      <c r="K104" s="329"/>
      <c r="L104" s="330"/>
      <c r="M104" s="330"/>
      <c r="N104" s="330"/>
      <c r="O104" s="331" t="s">
        <v>244</v>
      </c>
      <c r="P104" s="221">
        <f>IF(SUM(D102:O102)=P102,0,P102-SUM(D102:O102))</f>
        <v>0</v>
      </c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  <c r="AB104" s="331"/>
      <c r="AC104" s="221">
        <f>IF(SUM(Q102:AB102)=AC102,0,AC102-SUM(Q102:AB102))</f>
        <v>0</v>
      </c>
      <c r="AD104" s="332"/>
      <c r="AE104" s="332"/>
      <c r="AF104" s="187"/>
      <c r="AG104" s="187"/>
      <c r="AH104" s="187"/>
      <c r="AI104" s="195"/>
      <c r="AJ104" s="195"/>
      <c r="AK104" s="195"/>
      <c r="AL104" s="195"/>
      <c r="AM104" s="195"/>
      <c r="AN104" s="195"/>
      <c r="AO104" s="195"/>
      <c r="AP104" s="195"/>
    </row>
    <row r="105" ht="24.75" customHeight="1">
      <c r="A105" s="180"/>
      <c r="B105" s="181" t="s">
        <v>252</v>
      </c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</row>
    <row r="106" ht="15.0" customHeight="1" outlineLevel="1">
      <c r="A106" s="187"/>
      <c r="B106" s="187" t="s">
        <v>253</v>
      </c>
      <c r="C106" s="189"/>
      <c r="D106" s="221">
        <f t="shared" ref="D106:AE106" si="77">D50</f>
        <v>11597.68182</v>
      </c>
      <c r="E106" s="221">
        <f t="shared" si="77"/>
        <v>13896.90909</v>
      </c>
      <c r="F106" s="221">
        <f t="shared" si="77"/>
        <v>15074.59091</v>
      </c>
      <c r="G106" s="221">
        <f t="shared" si="77"/>
        <v>19774.83182</v>
      </c>
      <c r="H106" s="221">
        <f t="shared" si="77"/>
        <v>25059.96818</v>
      </c>
      <c r="I106" s="221">
        <f t="shared" si="77"/>
        <v>35016.28636</v>
      </c>
      <c r="J106" s="221">
        <f t="shared" si="77"/>
        <v>31719.66364</v>
      </c>
      <c r="K106" s="221">
        <f t="shared" si="77"/>
        <v>31719.66364</v>
      </c>
      <c r="L106" s="221">
        <f t="shared" si="77"/>
        <v>29415.43636</v>
      </c>
      <c r="M106" s="221">
        <f t="shared" si="77"/>
        <v>25959.11818</v>
      </c>
      <c r="N106" s="221">
        <f t="shared" si="77"/>
        <v>26474.30909</v>
      </c>
      <c r="O106" s="333">
        <f t="shared" si="77"/>
        <v>18919.36364</v>
      </c>
      <c r="P106" s="189">
        <f t="shared" si="77"/>
        <v>284627.8227</v>
      </c>
      <c r="Q106" s="221">
        <f t="shared" si="77"/>
        <v>16907.81518</v>
      </c>
      <c r="R106" s="221">
        <f t="shared" si="77"/>
        <v>20032.81518</v>
      </c>
      <c r="S106" s="221">
        <f t="shared" si="77"/>
        <v>18229.44564</v>
      </c>
      <c r="T106" s="221">
        <f t="shared" si="77"/>
        <v>22197.98882</v>
      </c>
      <c r="U106" s="221">
        <f t="shared" si="77"/>
        <v>26055.31882</v>
      </c>
      <c r="V106" s="221">
        <f t="shared" si="77"/>
        <v>39413.75336</v>
      </c>
      <c r="W106" s="221">
        <f t="shared" si="77"/>
        <v>33507.01427</v>
      </c>
      <c r="X106" s="221">
        <f t="shared" si="77"/>
        <v>36632.01427</v>
      </c>
      <c r="Y106" s="221">
        <f t="shared" si="77"/>
        <v>31596.08336</v>
      </c>
      <c r="Z106" s="221">
        <f t="shared" si="77"/>
        <v>22197.98882</v>
      </c>
      <c r="AA106" s="221">
        <f t="shared" si="77"/>
        <v>23408.40609</v>
      </c>
      <c r="AB106" s="333">
        <f t="shared" si="77"/>
        <v>16907.81518</v>
      </c>
      <c r="AC106" s="189">
        <f t="shared" si="77"/>
        <v>307086.459</v>
      </c>
      <c r="AD106" s="189">
        <f t="shared" si="77"/>
        <v>328115.2437</v>
      </c>
      <c r="AE106" s="189">
        <f t="shared" si="77"/>
        <v>370480.5285</v>
      </c>
      <c r="AF106" s="187"/>
      <c r="AG106" s="187"/>
      <c r="AH106" s="187"/>
      <c r="AI106" s="195"/>
      <c r="AJ106" s="195"/>
      <c r="AK106" s="195"/>
      <c r="AL106" s="195"/>
      <c r="AM106" s="195"/>
      <c r="AN106" s="195"/>
      <c r="AO106" s="195"/>
      <c r="AP106" s="195"/>
    </row>
    <row r="107" ht="15.0" customHeight="1" outlineLevel="1">
      <c r="A107" s="187"/>
      <c r="B107" s="334" t="s">
        <v>254</v>
      </c>
      <c r="C107" s="335"/>
      <c r="D107" s="336">
        <f t="shared" ref="D107:AE107" si="78">D102+D94</f>
        <v>6669.304545</v>
      </c>
      <c r="E107" s="336">
        <f t="shared" si="78"/>
        <v>7359.072727</v>
      </c>
      <c r="F107" s="336">
        <f t="shared" si="78"/>
        <v>7712.377273</v>
      </c>
      <c r="G107" s="336">
        <f t="shared" si="78"/>
        <v>9122.449545</v>
      </c>
      <c r="H107" s="336">
        <f t="shared" si="78"/>
        <v>11207.99045</v>
      </c>
      <c r="I107" s="336">
        <f t="shared" si="78"/>
        <v>12244.88591</v>
      </c>
      <c r="J107" s="336">
        <f t="shared" si="78"/>
        <v>11931.80591</v>
      </c>
      <c r="K107" s="336">
        <f t="shared" si="78"/>
        <v>11931.80591</v>
      </c>
      <c r="L107" s="336">
        <f t="shared" si="78"/>
        <v>11355.74909</v>
      </c>
      <c r="M107" s="336">
        <f t="shared" si="78"/>
        <v>10491.66955</v>
      </c>
      <c r="N107" s="336">
        <f t="shared" si="78"/>
        <v>9155.747273</v>
      </c>
      <c r="O107" s="337">
        <f t="shared" si="78"/>
        <v>7177.290909</v>
      </c>
      <c r="P107" s="335">
        <f t="shared" si="78"/>
        <v>116360.1491</v>
      </c>
      <c r="Q107" s="336">
        <f t="shared" si="78"/>
        <v>7601.164145</v>
      </c>
      <c r="R107" s="336">
        <f t="shared" si="78"/>
        <v>7601.164145</v>
      </c>
      <c r="S107" s="336">
        <f t="shared" si="78"/>
        <v>7931.571759</v>
      </c>
      <c r="T107" s="336">
        <f t="shared" si="78"/>
        <v>8923.707555</v>
      </c>
      <c r="U107" s="336">
        <f t="shared" si="78"/>
        <v>9643.406555</v>
      </c>
      <c r="V107" s="336">
        <f t="shared" si="78"/>
        <v>11626.76519</v>
      </c>
      <c r="W107" s="336">
        <f t="shared" si="78"/>
        <v>12287.58042</v>
      </c>
      <c r="X107" s="336">
        <f t="shared" si="78"/>
        <v>12287.58042</v>
      </c>
      <c r="Y107" s="336">
        <f t="shared" si="78"/>
        <v>11846.46419</v>
      </c>
      <c r="Z107" s="336">
        <f t="shared" si="78"/>
        <v>9423.707555</v>
      </c>
      <c r="AA107" s="336">
        <f t="shared" si="78"/>
        <v>8481.678373</v>
      </c>
      <c r="AB107" s="337">
        <f t="shared" si="78"/>
        <v>7601.164145</v>
      </c>
      <c r="AC107" s="335">
        <f t="shared" si="78"/>
        <v>115255.9545</v>
      </c>
      <c r="AD107" s="335">
        <f t="shared" si="78"/>
        <v>117684.6299</v>
      </c>
      <c r="AE107" s="335">
        <f t="shared" si="78"/>
        <v>130019.1528</v>
      </c>
      <c r="AF107" s="187"/>
      <c r="AG107" s="187"/>
      <c r="AH107" s="187"/>
      <c r="AI107" s="195"/>
      <c r="AJ107" s="195"/>
      <c r="AK107" s="195"/>
      <c r="AL107" s="195"/>
      <c r="AM107" s="195"/>
      <c r="AN107" s="195"/>
      <c r="AO107" s="195"/>
      <c r="AP107" s="195"/>
    </row>
    <row r="108" ht="24.75" customHeight="1">
      <c r="A108" s="187"/>
      <c r="B108" s="299" t="s">
        <v>252</v>
      </c>
      <c r="C108" s="300"/>
      <c r="D108" s="301">
        <f t="shared" ref="D108:O108" si="79">D50-D107</f>
        <v>4928.377273</v>
      </c>
      <c r="E108" s="302">
        <f t="shared" si="79"/>
        <v>6537.836364</v>
      </c>
      <c r="F108" s="302">
        <f t="shared" si="79"/>
        <v>7362.213636</v>
      </c>
      <c r="G108" s="302">
        <f t="shared" si="79"/>
        <v>10652.38227</v>
      </c>
      <c r="H108" s="302">
        <f t="shared" si="79"/>
        <v>13851.97773</v>
      </c>
      <c r="I108" s="302">
        <f t="shared" si="79"/>
        <v>22771.40045</v>
      </c>
      <c r="J108" s="302">
        <f t="shared" si="79"/>
        <v>19787.85773</v>
      </c>
      <c r="K108" s="302">
        <f t="shared" si="79"/>
        <v>19787.85773</v>
      </c>
      <c r="L108" s="302">
        <f t="shared" si="79"/>
        <v>18059.68727</v>
      </c>
      <c r="M108" s="302">
        <f t="shared" si="79"/>
        <v>15467.44864</v>
      </c>
      <c r="N108" s="302">
        <f t="shared" si="79"/>
        <v>17318.56182</v>
      </c>
      <c r="O108" s="303">
        <f t="shared" si="79"/>
        <v>11742.07273</v>
      </c>
      <c r="P108" s="338">
        <f>P106-P107</f>
        <v>168267.6736</v>
      </c>
      <c r="Q108" s="301">
        <f t="shared" ref="Q108:AB108" si="80">Q50-Q107</f>
        <v>9306.651036</v>
      </c>
      <c r="R108" s="302">
        <f t="shared" si="80"/>
        <v>12431.65104</v>
      </c>
      <c r="S108" s="302">
        <f t="shared" si="80"/>
        <v>10297.87388</v>
      </c>
      <c r="T108" s="302">
        <f t="shared" si="80"/>
        <v>13274.28126</v>
      </c>
      <c r="U108" s="302">
        <f t="shared" si="80"/>
        <v>16411.91226</v>
      </c>
      <c r="V108" s="302">
        <f t="shared" si="80"/>
        <v>27786.98817</v>
      </c>
      <c r="W108" s="302">
        <f t="shared" si="80"/>
        <v>21219.43385</v>
      </c>
      <c r="X108" s="302">
        <f t="shared" si="80"/>
        <v>24344.43385</v>
      </c>
      <c r="Y108" s="302">
        <f t="shared" si="80"/>
        <v>19749.61917</v>
      </c>
      <c r="Z108" s="302">
        <f t="shared" si="80"/>
        <v>12774.28126</v>
      </c>
      <c r="AA108" s="302">
        <f t="shared" si="80"/>
        <v>14926.72772</v>
      </c>
      <c r="AB108" s="303">
        <f t="shared" si="80"/>
        <v>9306.651036</v>
      </c>
      <c r="AC108" s="304">
        <f t="shared" ref="AC108:AE108" si="81">AC106-AC107</f>
        <v>191830.5046</v>
      </c>
      <c r="AD108" s="300">
        <f t="shared" si="81"/>
        <v>210430.6138</v>
      </c>
      <c r="AE108" s="300">
        <f t="shared" si="81"/>
        <v>240461.3757</v>
      </c>
      <c r="AF108" s="187"/>
      <c r="AG108" s="187"/>
      <c r="AH108" s="187"/>
      <c r="AI108" s="195"/>
      <c r="AJ108" s="195"/>
      <c r="AK108" s="195"/>
      <c r="AL108" s="195"/>
      <c r="AM108" s="195"/>
      <c r="AN108" s="195"/>
      <c r="AO108" s="195"/>
      <c r="AP108" s="195"/>
    </row>
    <row r="109" ht="12.75" customHeight="1">
      <c r="A109" s="285"/>
      <c r="B109" s="324" t="s">
        <v>255</v>
      </c>
      <c r="C109" s="325"/>
      <c r="D109" s="326">
        <f t="shared" ref="D109:AE109" si="82">IFERROR(D108/D50,0)</f>
        <v>0.4249450321</v>
      </c>
      <c r="E109" s="326">
        <f t="shared" si="82"/>
        <v>0.4704525532</v>
      </c>
      <c r="F109" s="326">
        <f t="shared" si="82"/>
        <v>0.4883856339</v>
      </c>
      <c r="G109" s="326">
        <f t="shared" si="82"/>
        <v>0.5386838366</v>
      </c>
      <c r="H109" s="326">
        <f t="shared" si="82"/>
        <v>0.5527532049</v>
      </c>
      <c r="I109" s="326">
        <f t="shared" si="82"/>
        <v>0.6503088368</v>
      </c>
      <c r="J109" s="326">
        <f t="shared" si="82"/>
        <v>0.6238356735</v>
      </c>
      <c r="K109" s="326">
        <f t="shared" si="82"/>
        <v>0.6238356735</v>
      </c>
      <c r="L109" s="326">
        <f t="shared" si="82"/>
        <v>0.6139527236</v>
      </c>
      <c r="M109" s="326">
        <f t="shared" si="82"/>
        <v>0.5958387542</v>
      </c>
      <c r="N109" s="326">
        <f t="shared" si="82"/>
        <v>0.6541648267</v>
      </c>
      <c r="O109" s="327">
        <f t="shared" si="82"/>
        <v>0.6206378266</v>
      </c>
      <c r="P109" s="325">
        <f t="shared" si="82"/>
        <v>0.5911849096</v>
      </c>
      <c r="Q109" s="326">
        <f t="shared" si="82"/>
        <v>0.5504348691</v>
      </c>
      <c r="R109" s="326">
        <f t="shared" si="82"/>
        <v>0.6205643552</v>
      </c>
      <c r="S109" s="326">
        <f t="shared" si="82"/>
        <v>0.5649032934</v>
      </c>
      <c r="T109" s="326">
        <f t="shared" si="82"/>
        <v>0.5979947721</v>
      </c>
      <c r="U109" s="326">
        <f t="shared" si="82"/>
        <v>0.6298872172</v>
      </c>
      <c r="V109" s="326">
        <f t="shared" si="82"/>
        <v>0.7050074099</v>
      </c>
      <c r="W109" s="326">
        <f t="shared" si="82"/>
        <v>0.6332833383</v>
      </c>
      <c r="X109" s="326">
        <f t="shared" si="82"/>
        <v>0.6645671645</v>
      </c>
      <c r="Y109" s="326">
        <f t="shared" si="82"/>
        <v>0.6250654217</v>
      </c>
      <c r="Z109" s="326">
        <f t="shared" si="82"/>
        <v>0.575470209</v>
      </c>
      <c r="AA109" s="326">
        <f t="shared" si="82"/>
        <v>0.6376652755</v>
      </c>
      <c r="AB109" s="327">
        <f t="shared" si="82"/>
        <v>0.5504348691</v>
      </c>
      <c r="AC109" s="326">
        <f t="shared" si="82"/>
        <v>0.6246791382</v>
      </c>
      <c r="AD109" s="325">
        <f t="shared" si="82"/>
        <v>0.6413314158</v>
      </c>
      <c r="AE109" s="325">
        <f t="shared" si="82"/>
        <v>0.6490526686</v>
      </c>
      <c r="AF109" s="285"/>
      <c r="AG109" s="285"/>
      <c r="AH109" s="285"/>
      <c r="AI109" s="245"/>
      <c r="AJ109" s="245"/>
      <c r="AK109" s="245"/>
      <c r="AL109" s="245"/>
      <c r="AM109" s="245"/>
      <c r="AN109" s="245"/>
      <c r="AO109" s="245"/>
      <c r="AP109" s="245"/>
    </row>
    <row r="110" ht="15.0" customHeight="1">
      <c r="A110" s="187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40"/>
      <c r="M110" s="340"/>
      <c r="N110" s="340"/>
      <c r="O110" s="331" t="s">
        <v>244</v>
      </c>
      <c r="P110" s="341">
        <f>IF(SUM(D108:O108)=P108,0,P108-SUM(D108:O108))</f>
        <v>0</v>
      </c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>
        <f>IF(SUM(Q108:AB108)=AC108,0,AC108-SUM(Q108:AB108))</f>
        <v>0</v>
      </c>
      <c r="AD110" s="342"/>
      <c r="AE110" s="342"/>
      <c r="AF110" s="187"/>
      <c r="AG110" s="187"/>
      <c r="AH110" s="187"/>
      <c r="AI110" s="195"/>
      <c r="AJ110" s="195"/>
      <c r="AK110" s="195"/>
      <c r="AL110" s="195"/>
      <c r="AM110" s="195"/>
      <c r="AN110" s="195"/>
      <c r="AO110" s="195"/>
      <c r="AP110" s="195"/>
    </row>
    <row r="111" ht="15.0" customHeight="1">
      <c r="A111" s="308"/>
      <c r="B111" s="343"/>
      <c r="C111" s="344"/>
      <c r="D111" s="344"/>
      <c r="E111" s="344"/>
      <c r="F111" s="344"/>
      <c r="G111" s="344"/>
      <c r="H111" s="344"/>
      <c r="I111" s="344"/>
      <c r="J111" s="344"/>
      <c r="K111" s="344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345"/>
      <c r="AB111" s="345"/>
      <c r="AC111" s="345"/>
      <c r="AD111" s="345"/>
      <c r="AE111" s="345"/>
      <c r="AF111" s="308"/>
      <c r="AG111" s="308"/>
      <c r="AH111" s="308"/>
      <c r="AI111" s="308"/>
      <c r="AJ111" s="308"/>
      <c r="AK111" s="308"/>
      <c r="AL111" s="308"/>
      <c r="AM111" s="308"/>
      <c r="AN111" s="308"/>
      <c r="AO111" s="308"/>
      <c r="AP111" s="308"/>
    </row>
    <row r="112" ht="15.0" customHeight="1">
      <c r="A112" s="308"/>
      <c r="B112" s="343"/>
      <c r="C112" s="344"/>
      <c r="D112" s="344"/>
      <c r="E112" s="344"/>
      <c r="F112" s="344"/>
      <c r="G112" s="344"/>
      <c r="H112" s="344"/>
      <c r="I112" s="344"/>
      <c r="J112" s="344"/>
      <c r="K112" s="344"/>
      <c r="L112" s="345"/>
      <c r="M112" s="345"/>
      <c r="N112" s="345"/>
      <c r="O112" s="346" t="s">
        <v>256</v>
      </c>
      <c r="P112" s="347">
        <f>P22+P39+P43+P47-P67-P75-P83-P91-P102-P108</f>
        <v>0</v>
      </c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347"/>
      <c r="AB112" s="347"/>
      <c r="AC112" s="347">
        <f t="shared" ref="AC112:AE112" si="83">AC22+AC39+AC43+AC47-AC67-AC75-AC83-AC91-AC102-AC108</f>
        <v>0</v>
      </c>
      <c r="AD112" s="347">
        <f t="shared" si="83"/>
        <v>0</v>
      </c>
      <c r="AE112" s="347">
        <f t="shared" si="83"/>
        <v>0</v>
      </c>
      <c r="AF112" s="308"/>
      <c r="AG112" s="308"/>
      <c r="AH112" s="308"/>
      <c r="AI112" s="308"/>
      <c r="AJ112" s="308"/>
      <c r="AK112" s="308"/>
      <c r="AL112" s="308"/>
      <c r="AM112" s="308"/>
      <c r="AN112" s="308"/>
      <c r="AO112" s="308"/>
      <c r="AP112" s="308"/>
    </row>
    <row r="113" ht="15.0" customHeight="1">
      <c r="A113" s="308"/>
      <c r="B113" s="343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4"/>
      <c r="AD113" s="344"/>
      <c r="AE113" s="344"/>
      <c r="AF113" s="308"/>
      <c r="AG113" s="308"/>
      <c r="AH113" s="308"/>
      <c r="AI113" s="308"/>
      <c r="AJ113" s="308"/>
      <c r="AK113" s="308"/>
      <c r="AL113" s="308"/>
      <c r="AM113" s="308"/>
      <c r="AN113" s="308"/>
      <c r="AO113" s="308"/>
      <c r="AP113" s="308"/>
    </row>
    <row r="114" ht="15.0" customHeight="1">
      <c r="A114" s="161"/>
      <c r="B114" s="348"/>
      <c r="C114" s="349"/>
      <c r="D114" s="349"/>
      <c r="E114" s="349"/>
      <c r="F114" s="349"/>
      <c r="G114" s="349"/>
      <c r="H114" s="349"/>
      <c r="I114" s="349"/>
      <c r="J114" s="349"/>
      <c r="K114" s="349"/>
      <c r="L114" s="349"/>
      <c r="M114" s="349"/>
      <c r="N114" s="349"/>
      <c r="O114" s="349"/>
      <c r="P114" s="349"/>
      <c r="Q114" s="349"/>
      <c r="R114" s="349"/>
      <c r="S114" s="349"/>
      <c r="T114" s="349"/>
      <c r="U114" s="349"/>
      <c r="V114" s="349"/>
      <c r="W114" s="349"/>
      <c r="X114" s="349"/>
      <c r="Y114" s="349"/>
      <c r="Z114" s="349"/>
      <c r="AA114" s="349"/>
      <c r="AB114" s="349"/>
      <c r="AC114" s="349"/>
      <c r="AD114" s="349"/>
      <c r="AE114" s="349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</row>
    <row r="115" ht="15.0" customHeight="1">
      <c r="A115" s="161"/>
      <c r="B115" s="348"/>
      <c r="C115" s="349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</row>
    <row r="116" ht="15.0" customHeight="1">
      <c r="A116" s="161"/>
      <c r="B116" s="348"/>
      <c r="C116" s="349"/>
      <c r="D116" s="349"/>
      <c r="E116" s="349"/>
      <c r="F116" s="349"/>
      <c r="G116" s="349"/>
      <c r="H116" s="349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49"/>
      <c r="AE116" s="349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</row>
    <row r="117" ht="12.75" customHeight="1">
      <c r="A117" s="161"/>
      <c r="B117" s="348"/>
      <c r="C117" s="349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</row>
    <row r="118" ht="12.75" customHeight="1">
      <c r="A118" s="161"/>
      <c r="B118" s="348"/>
      <c r="C118" s="349"/>
      <c r="D118" s="349"/>
      <c r="E118" s="349"/>
      <c r="F118" s="349"/>
      <c r="G118" s="349"/>
      <c r="H118" s="349"/>
      <c r="I118" s="349"/>
      <c r="J118" s="349"/>
      <c r="K118" s="349"/>
      <c r="L118" s="349"/>
      <c r="M118" s="349"/>
      <c r="N118" s="349"/>
      <c r="O118" s="349"/>
      <c r="P118" s="349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</row>
    <row r="119" ht="12.75" customHeight="1">
      <c r="A119" s="161"/>
      <c r="B119" s="348"/>
      <c r="C119" s="349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</row>
    <row r="120" ht="12.75" customHeight="1">
      <c r="A120" s="161"/>
      <c r="B120" s="348"/>
      <c r="C120" s="349"/>
      <c r="D120" s="349"/>
      <c r="E120" s="349"/>
      <c r="F120" s="349"/>
      <c r="G120" s="349"/>
      <c r="H120" s="349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</row>
    <row r="121" ht="12.75" customHeight="1">
      <c r="A121" s="161"/>
      <c r="B121" s="348"/>
      <c r="C121" s="349"/>
      <c r="D121" s="349"/>
      <c r="E121" s="349"/>
      <c r="F121" s="349"/>
      <c r="G121" s="349"/>
      <c r="H121" s="349"/>
      <c r="I121" s="349"/>
      <c r="J121" s="349"/>
      <c r="K121" s="349"/>
      <c r="L121" s="349"/>
      <c r="M121" s="349"/>
      <c r="N121" s="349"/>
      <c r="O121" s="349"/>
      <c r="P121" s="349"/>
      <c r="Q121" s="34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  <c r="AC121" s="349"/>
      <c r="AD121" s="349"/>
      <c r="AE121" s="349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</row>
    <row r="122" ht="12.75" customHeight="1">
      <c r="A122" s="161"/>
      <c r="B122" s="348"/>
      <c r="C122" s="349"/>
      <c r="D122" s="349"/>
      <c r="E122" s="349"/>
      <c r="F122" s="349"/>
      <c r="G122" s="349"/>
      <c r="H122" s="349"/>
      <c r="I122" s="349"/>
      <c r="J122" s="349"/>
      <c r="K122" s="349"/>
      <c r="L122" s="349"/>
      <c r="M122" s="349"/>
      <c r="N122" s="349"/>
      <c r="O122" s="349"/>
      <c r="P122" s="349"/>
      <c r="Q122" s="34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49"/>
      <c r="AB122" s="349"/>
      <c r="AC122" s="349"/>
      <c r="AD122" s="349"/>
      <c r="AE122" s="349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</row>
    <row r="123" ht="12.75" customHeight="1">
      <c r="A123" s="161"/>
      <c r="B123" s="348"/>
      <c r="C123" s="349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49"/>
      <c r="AB123" s="349"/>
      <c r="AC123" s="349"/>
      <c r="AD123" s="349"/>
      <c r="AE123" s="349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</row>
    <row r="124" ht="12.75" customHeight="1">
      <c r="A124" s="161"/>
      <c r="B124" s="348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49"/>
      <c r="AB124" s="349"/>
      <c r="AC124" s="349"/>
      <c r="AD124" s="349"/>
      <c r="AE124" s="349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</row>
    <row r="125" ht="12.75" customHeight="1">
      <c r="A125" s="161"/>
      <c r="B125" s="348"/>
      <c r="C125" s="349"/>
      <c r="D125" s="349"/>
      <c r="E125" s="349"/>
      <c r="F125" s="349"/>
      <c r="G125" s="349"/>
      <c r="H125" s="349"/>
      <c r="I125" s="349"/>
      <c r="J125" s="349"/>
      <c r="K125" s="349"/>
      <c r="L125" s="349"/>
      <c r="M125" s="349"/>
      <c r="N125" s="349"/>
      <c r="O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</row>
    <row r="126" ht="12.75" customHeight="1">
      <c r="A126" s="161"/>
      <c r="B126" s="348"/>
      <c r="C126" s="349"/>
      <c r="D126" s="349"/>
      <c r="E126" s="349"/>
      <c r="F126" s="349"/>
      <c r="G126" s="349"/>
      <c r="H126" s="349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49"/>
      <c r="AB126" s="349"/>
      <c r="AC126" s="349"/>
      <c r="AD126" s="349"/>
      <c r="AE126" s="349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</row>
    <row r="127" ht="12.75" customHeight="1">
      <c r="A127" s="161"/>
      <c r="B127" s="348"/>
      <c r="C127" s="349"/>
      <c r="D127" s="349"/>
      <c r="E127" s="349"/>
      <c r="F127" s="349"/>
      <c r="G127" s="349"/>
      <c r="H127" s="349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349"/>
      <c r="AB127" s="349"/>
      <c r="AC127" s="349"/>
      <c r="AD127" s="349"/>
      <c r="AE127" s="349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</row>
    <row r="128" ht="12.75" customHeight="1">
      <c r="A128" s="161"/>
      <c r="B128" s="348"/>
      <c r="C128" s="349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349"/>
      <c r="AB128" s="349"/>
      <c r="AC128" s="349"/>
      <c r="AD128" s="349"/>
      <c r="AE128" s="349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</row>
    <row r="129" ht="12.75" customHeight="1">
      <c r="A129" s="161"/>
      <c r="B129" s="348"/>
      <c r="C129" s="349"/>
      <c r="D129" s="349"/>
      <c r="E129" s="349"/>
      <c r="F129" s="349"/>
      <c r="G129" s="349"/>
      <c r="H129" s="349"/>
      <c r="I129" s="349"/>
      <c r="J129" s="349"/>
      <c r="K129" s="349"/>
      <c r="L129" s="349"/>
      <c r="M129" s="349"/>
      <c r="N129" s="349"/>
      <c r="O129" s="349"/>
      <c r="P129" s="349"/>
      <c r="Q129" s="349"/>
      <c r="R129" s="349"/>
      <c r="S129" s="349"/>
      <c r="T129" s="349"/>
      <c r="U129" s="349"/>
      <c r="V129" s="349"/>
      <c r="W129" s="349"/>
      <c r="X129" s="349"/>
      <c r="Y129" s="349"/>
      <c r="Z129" s="349"/>
      <c r="AA129" s="349"/>
      <c r="AB129" s="349"/>
      <c r="AC129" s="349"/>
      <c r="AD129" s="349"/>
      <c r="AE129" s="349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</row>
    <row r="130" ht="12.75" customHeight="1">
      <c r="A130" s="161"/>
      <c r="B130" s="348"/>
      <c r="C130" s="349"/>
      <c r="D130" s="349"/>
      <c r="E130" s="349"/>
      <c r="F130" s="349"/>
      <c r="G130" s="349"/>
      <c r="H130" s="349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49"/>
      <c r="AB130" s="349"/>
      <c r="AC130" s="349"/>
      <c r="AD130" s="349"/>
      <c r="AE130" s="349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</row>
    <row r="131" ht="12.75" customHeight="1">
      <c r="A131" s="161"/>
      <c r="B131" s="348"/>
      <c r="C131" s="349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349"/>
      <c r="AB131" s="349"/>
      <c r="AC131" s="349"/>
      <c r="AD131" s="349"/>
      <c r="AE131" s="349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</row>
    <row r="132" ht="12.75" customHeight="1">
      <c r="A132" s="161"/>
      <c r="B132" s="348"/>
      <c r="C132" s="349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49"/>
      <c r="AB132" s="349"/>
      <c r="AC132" s="349"/>
      <c r="AD132" s="349"/>
      <c r="AE132" s="349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</row>
    <row r="133" ht="12.75" customHeight="1">
      <c r="A133" s="161"/>
      <c r="B133" s="348"/>
      <c r="C133" s="349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349"/>
      <c r="AB133" s="349"/>
      <c r="AC133" s="349"/>
      <c r="AD133" s="349"/>
      <c r="AE133" s="349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</row>
    <row r="134" ht="12.75" customHeight="1">
      <c r="A134" s="161"/>
      <c r="B134" s="348"/>
      <c r="C134" s="349"/>
      <c r="D134" s="349"/>
      <c r="E134" s="349"/>
      <c r="F134" s="349"/>
      <c r="G134" s="349"/>
      <c r="H134" s="349"/>
      <c r="I134" s="349"/>
      <c r="J134" s="349"/>
      <c r="K134" s="349"/>
      <c r="L134" s="349"/>
      <c r="M134" s="349"/>
      <c r="N134" s="349"/>
      <c r="O134" s="349"/>
      <c r="P134" s="349"/>
      <c r="Q134" s="349"/>
      <c r="R134" s="349"/>
      <c r="S134" s="349"/>
      <c r="T134" s="349"/>
      <c r="U134" s="349"/>
      <c r="V134" s="349"/>
      <c r="W134" s="349"/>
      <c r="X134" s="349"/>
      <c r="Y134" s="349"/>
      <c r="Z134" s="349"/>
      <c r="AA134" s="349"/>
      <c r="AB134" s="349"/>
      <c r="AC134" s="349"/>
      <c r="AD134" s="349"/>
      <c r="AE134" s="349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</row>
    <row r="135" ht="12.75" customHeight="1">
      <c r="A135" s="161"/>
      <c r="B135" s="348"/>
      <c r="C135" s="349"/>
      <c r="D135" s="349"/>
      <c r="E135" s="349"/>
      <c r="F135" s="349"/>
      <c r="G135" s="349"/>
      <c r="H135" s="349"/>
      <c r="I135" s="349"/>
      <c r="J135" s="349"/>
      <c r="K135" s="349"/>
      <c r="L135" s="349"/>
      <c r="M135" s="349"/>
      <c r="N135" s="349"/>
      <c r="O135" s="349"/>
      <c r="P135" s="349"/>
      <c r="Q135" s="349"/>
      <c r="R135" s="349"/>
      <c r="S135" s="349"/>
      <c r="T135" s="349"/>
      <c r="U135" s="349"/>
      <c r="V135" s="349"/>
      <c r="W135" s="349"/>
      <c r="X135" s="349"/>
      <c r="Y135" s="349"/>
      <c r="Z135" s="349"/>
      <c r="AA135" s="349"/>
      <c r="AB135" s="349"/>
      <c r="AC135" s="349"/>
      <c r="AD135" s="349"/>
      <c r="AE135" s="349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</row>
    <row r="136" ht="12.75" customHeight="1">
      <c r="A136" s="161"/>
      <c r="B136" s="348"/>
      <c r="C136" s="349"/>
      <c r="D136" s="349"/>
      <c r="E136" s="349"/>
      <c r="F136" s="349"/>
      <c r="G136" s="349"/>
      <c r="H136" s="349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349"/>
      <c r="X136" s="349"/>
      <c r="Y136" s="349"/>
      <c r="Z136" s="349"/>
      <c r="AA136" s="349"/>
      <c r="AB136" s="349"/>
      <c r="AC136" s="349"/>
      <c r="AD136" s="349"/>
      <c r="AE136" s="349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</row>
    <row r="137" ht="12.75" customHeight="1">
      <c r="A137" s="161"/>
      <c r="B137" s="348"/>
      <c r="C137" s="349"/>
      <c r="D137" s="349"/>
      <c r="E137" s="349"/>
      <c r="F137" s="349"/>
      <c r="G137" s="349"/>
      <c r="H137" s="349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349"/>
      <c r="AB137" s="349"/>
      <c r="AC137" s="349"/>
      <c r="AD137" s="349"/>
      <c r="AE137" s="349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</row>
    <row r="138" ht="12.75" customHeight="1">
      <c r="A138" s="161"/>
      <c r="B138" s="348"/>
      <c r="C138" s="349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49"/>
      <c r="AB138" s="349"/>
      <c r="AC138" s="349"/>
      <c r="AD138" s="349"/>
      <c r="AE138" s="349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</row>
    <row r="139" ht="12.75" customHeight="1">
      <c r="A139" s="161"/>
      <c r="B139" s="348"/>
      <c r="C139" s="349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  <c r="AE139" s="349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</row>
    <row r="140" ht="12.75" customHeight="1">
      <c r="A140" s="161"/>
      <c r="B140" s="348"/>
      <c r="C140" s="349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349"/>
      <c r="AB140" s="349"/>
      <c r="AC140" s="349"/>
      <c r="AD140" s="349"/>
      <c r="AE140" s="349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</row>
    <row r="141" ht="12.75" customHeight="1">
      <c r="A141" s="161"/>
      <c r="B141" s="348"/>
      <c r="C141" s="349"/>
      <c r="D141" s="349"/>
      <c r="E141" s="349"/>
      <c r="F141" s="349"/>
      <c r="G141" s="349"/>
      <c r="H141" s="349"/>
      <c r="I141" s="349"/>
      <c r="J141" s="349"/>
      <c r="K141" s="349"/>
      <c r="L141" s="349"/>
      <c r="M141" s="349"/>
      <c r="N141" s="349"/>
      <c r="O141" s="349"/>
      <c r="P141" s="349"/>
      <c r="Q141" s="349"/>
      <c r="R141" s="349"/>
      <c r="S141" s="349"/>
      <c r="T141" s="349"/>
      <c r="U141" s="349"/>
      <c r="V141" s="349"/>
      <c r="W141" s="349"/>
      <c r="X141" s="349"/>
      <c r="Y141" s="349"/>
      <c r="Z141" s="349"/>
      <c r="AA141" s="349"/>
      <c r="AB141" s="349"/>
      <c r="AC141" s="349"/>
      <c r="AD141" s="349"/>
      <c r="AE141" s="349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</row>
    <row r="142" ht="12.75" customHeight="1">
      <c r="A142" s="161"/>
      <c r="B142" s="348"/>
      <c r="C142" s="349"/>
      <c r="D142" s="349"/>
      <c r="E142" s="349"/>
      <c r="F142" s="349"/>
      <c r="G142" s="349"/>
      <c r="H142" s="349"/>
      <c r="I142" s="349"/>
      <c r="J142" s="349"/>
      <c r="K142" s="349"/>
      <c r="L142" s="349"/>
      <c r="M142" s="349"/>
      <c r="N142" s="349"/>
      <c r="O142" s="349"/>
      <c r="P142" s="349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49"/>
      <c r="AB142" s="349"/>
      <c r="AC142" s="349"/>
      <c r="AD142" s="349"/>
      <c r="AE142" s="349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</row>
    <row r="143" ht="12.75" customHeight="1">
      <c r="A143" s="161"/>
      <c r="B143" s="348"/>
      <c r="C143" s="349"/>
      <c r="D143" s="349"/>
      <c r="E143" s="349"/>
      <c r="F143" s="349"/>
      <c r="G143" s="349"/>
      <c r="H143" s="349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49"/>
      <c r="AE143" s="349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</row>
    <row r="144" ht="12.75" customHeight="1">
      <c r="A144" s="161"/>
      <c r="B144" s="348"/>
      <c r="C144" s="349"/>
      <c r="D144" s="349"/>
      <c r="E144" s="349"/>
      <c r="F144" s="349"/>
      <c r="G144" s="349"/>
      <c r="H144" s="349"/>
      <c r="I144" s="349"/>
      <c r="J144" s="349"/>
      <c r="K144" s="349"/>
      <c r="L144" s="349"/>
      <c r="M144" s="349"/>
      <c r="N144" s="349"/>
      <c r="O144" s="349"/>
      <c r="P144" s="349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349"/>
      <c r="AB144" s="349"/>
      <c r="AC144" s="349"/>
      <c r="AD144" s="349"/>
      <c r="AE144" s="349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</row>
    <row r="145" ht="12.75" customHeight="1">
      <c r="A145" s="161"/>
      <c r="B145" s="348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349"/>
      <c r="AB145" s="349"/>
      <c r="AC145" s="349"/>
      <c r="AD145" s="349"/>
      <c r="AE145" s="349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</row>
    <row r="146" ht="12.75" customHeight="1">
      <c r="A146" s="161"/>
      <c r="B146" s="348"/>
      <c r="C146" s="349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349"/>
      <c r="AB146" s="349"/>
      <c r="AC146" s="349"/>
      <c r="AD146" s="349"/>
      <c r="AE146" s="349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</row>
    <row r="147" ht="12.75" customHeight="1">
      <c r="A147" s="161"/>
      <c r="B147" s="348"/>
      <c r="C147" s="349"/>
      <c r="D147" s="349"/>
      <c r="E147" s="349"/>
      <c r="F147" s="349"/>
      <c r="G147" s="349"/>
      <c r="H147" s="349"/>
      <c r="I147" s="349"/>
      <c r="J147" s="349"/>
      <c r="K147" s="349"/>
      <c r="L147" s="349"/>
      <c r="M147" s="349"/>
      <c r="N147" s="349"/>
      <c r="O147" s="349"/>
      <c r="P147" s="349"/>
      <c r="Q147" s="349"/>
      <c r="R147" s="349"/>
      <c r="S147" s="349"/>
      <c r="T147" s="349"/>
      <c r="U147" s="349"/>
      <c r="V147" s="349"/>
      <c r="W147" s="349"/>
      <c r="X147" s="349"/>
      <c r="Y147" s="349"/>
      <c r="Z147" s="349"/>
      <c r="AA147" s="349"/>
      <c r="AB147" s="349"/>
      <c r="AC147" s="349"/>
      <c r="AD147" s="349"/>
      <c r="AE147" s="349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</row>
    <row r="148" ht="12.75" customHeight="1">
      <c r="A148" s="161"/>
      <c r="B148" s="348"/>
      <c r="C148" s="349"/>
      <c r="D148" s="349"/>
      <c r="E148" s="349"/>
      <c r="F148" s="349"/>
      <c r="G148" s="349"/>
      <c r="H148" s="349"/>
      <c r="I148" s="349"/>
      <c r="J148" s="349"/>
      <c r="K148" s="349"/>
      <c r="L148" s="349"/>
      <c r="M148" s="349"/>
      <c r="N148" s="349"/>
      <c r="O148" s="349"/>
      <c r="P148" s="349"/>
      <c r="Q148" s="349"/>
      <c r="R148" s="349"/>
      <c r="S148" s="349"/>
      <c r="T148" s="349"/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49"/>
      <c r="AE148" s="349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</row>
    <row r="149" ht="12.75" customHeight="1">
      <c r="A149" s="161"/>
      <c r="B149" s="348"/>
      <c r="C149" s="349"/>
      <c r="D149" s="349"/>
      <c r="E149" s="349"/>
      <c r="F149" s="349"/>
      <c r="G149" s="349"/>
      <c r="H149" s="349"/>
      <c r="I149" s="349"/>
      <c r="J149" s="349"/>
      <c r="K149" s="349"/>
      <c r="L149" s="349"/>
      <c r="M149" s="349"/>
      <c r="N149" s="349"/>
      <c r="O149" s="349"/>
      <c r="P149" s="349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349"/>
      <c r="AB149" s="349"/>
      <c r="AC149" s="349"/>
      <c r="AD149" s="349"/>
      <c r="AE149" s="349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</row>
    <row r="150" ht="12.75" customHeight="1">
      <c r="A150" s="161"/>
      <c r="B150" s="348"/>
      <c r="C150" s="349"/>
      <c r="D150" s="349"/>
      <c r="E150" s="349"/>
      <c r="F150" s="349"/>
      <c r="G150" s="349"/>
      <c r="H150" s="349"/>
      <c r="I150" s="349"/>
      <c r="J150" s="349"/>
      <c r="K150" s="349"/>
      <c r="L150" s="349"/>
      <c r="M150" s="349"/>
      <c r="N150" s="349"/>
      <c r="O150" s="349"/>
      <c r="P150" s="349"/>
      <c r="Q150" s="349"/>
      <c r="R150" s="349"/>
      <c r="S150" s="349"/>
      <c r="T150" s="349"/>
      <c r="U150" s="349"/>
      <c r="V150" s="349"/>
      <c r="W150" s="349"/>
      <c r="X150" s="349"/>
      <c r="Y150" s="349"/>
      <c r="Z150" s="349"/>
      <c r="AA150" s="349"/>
      <c r="AB150" s="349"/>
      <c r="AC150" s="349"/>
      <c r="AD150" s="349"/>
      <c r="AE150" s="349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</row>
    <row r="151" ht="12.75" customHeight="1">
      <c r="A151" s="161"/>
      <c r="B151" s="348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349"/>
      <c r="AB151" s="349"/>
      <c r="AC151" s="349"/>
      <c r="AD151" s="349"/>
      <c r="AE151" s="349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</row>
    <row r="152" ht="12.75" customHeight="1">
      <c r="A152" s="161"/>
      <c r="B152" s="348"/>
      <c r="C152" s="349"/>
      <c r="D152" s="349"/>
      <c r="E152" s="349"/>
      <c r="F152" s="349"/>
      <c r="G152" s="349"/>
      <c r="H152" s="349"/>
      <c r="I152" s="349"/>
      <c r="J152" s="349"/>
      <c r="K152" s="349"/>
      <c r="L152" s="349"/>
      <c r="M152" s="349"/>
      <c r="N152" s="349"/>
      <c r="O152" s="349"/>
      <c r="P152" s="349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349"/>
      <c r="AB152" s="349"/>
      <c r="AC152" s="349"/>
      <c r="AD152" s="349"/>
      <c r="AE152" s="349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</row>
    <row r="153" ht="12.75" customHeight="1">
      <c r="A153" s="161"/>
      <c r="B153" s="348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49"/>
      <c r="AE153" s="349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</row>
    <row r="154" ht="12.75" customHeight="1">
      <c r="A154" s="161"/>
      <c r="B154" s="348"/>
      <c r="C154" s="349"/>
      <c r="D154" s="349"/>
      <c r="E154" s="349"/>
      <c r="F154" s="349"/>
      <c r="G154" s="349"/>
      <c r="H154" s="349"/>
      <c r="I154" s="349"/>
      <c r="J154" s="349"/>
      <c r="K154" s="349"/>
      <c r="L154" s="349"/>
      <c r="M154" s="349"/>
      <c r="N154" s="349"/>
      <c r="O154" s="349"/>
      <c r="P154" s="349"/>
      <c r="Q154" s="349"/>
      <c r="R154" s="349"/>
      <c r="S154" s="349"/>
      <c r="T154" s="349"/>
      <c r="U154" s="349"/>
      <c r="V154" s="349"/>
      <c r="W154" s="349"/>
      <c r="X154" s="349"/>
      <c r="Y154" s="349"/>
      <c r="Z154" s="349"/>
      <c r="AA154" s="349"/>
      <c r="AB154" s="349"/>
      <c r="AC154" s="349"/>
      <c r="AD154" s="349"/>
      <c r="AE154" s="349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</row>
    <row r="155" ht="12.75" customHeight="1">
      <c r="A155" s="161"/>
      <c r="B155" s="348"/>
      <c r="C155" s="349"/>
      <c r="D155" s="349"/>
      <c r="E155" s="349"/>
      <c r="F155" s="349"/>
      <c r="G155" s="349"/>
      <c r="H155" s="349"/>
      <c r="I155" s="349"/>
      <c r="J155" s="349"/>
      <c r="K155" s="349"/>
      <c r="L155" s="349"/>
      <c r="M155" s="349"/>
      <c r="N155" s="349"/>
      <c r="O155" s="349"/>
      <c r="P155" s="349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349"/>
      <c r="AB155" s="349"/>
      <c r="AC155" s="349"/>
      <c r="AD155" s="349"/>
      <c r="AE155" s="349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</row>
    <row r="156" ht="12.75" customHeight="1">
      <c r="A156" s="161"/>
      <c r="B156" s="348"/>
      <c r="C156" s="349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49"/>
      <c r="AE156" s="349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</row>
    <row r="157" ht="12.75" customHeight="1">
      <c r="A157" s="161"/>
      <c r="B157" s="348"/>
      <c r="C157" s="349"/>
      <c r="D157" s="349"/>
      <c r="E157" s="349"/>
      <c r="F157" s="349"/>
      <c r="G157" s="349"/>
      <c r="H157" s="349"/>
      <c r="I157" s="349"/>
      <c r="J157" s="349"/>
      <c r="K157" s="349"/>
      <c r="L157" s="349"/>
      <c r="M157" s="349"/>
      <c r="N157" s="349"/>
      <c r="O157" s="349"/>
      <c r="P157" s="349"/>
      <c r="Q157" s="349"/>
      <c r="R157" s="349"/>
      <c r="S157" s="349"/>
      <c r="T157" s="349"/>
      <c r="U157" s="349"/>
      <c r="V157" s="349"/>
      <c r="W157" s="349"/>
      <c r="X157" s="349"/>
      <c r="Y157" s="349"/>
      <c r="Z157" s="349"/>
      <c r="AA157" s="349"/>
      <c r="AB157" s="349"/>
      <c r="AC157" s="349"/>
      <c r="AD157" s="349"/>
      <c r="AE157" s="349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</row>
    <row r="158" ht="12.75" customHeight="1">
      <c r="A158" s="161"/>
      <c r="B158" s="348"/>
      <c r="C158" s="349"/>
      <c r="D158" s="349"/>
      <c r="E158" s="349"/>
      <c r="F158" s="349"/>
      <c r="G158" s="349"/>
      <c r="H158" s="349"/>
      <c r="I158" s="349"/>
      <c r="J158" s="349"/>
      <c r="K158" s="349"/>
      <c r="L158" s="349"/>
      <c r="M158" s="349"/>
      <c r="N158" s="349"/>
      <c r="O158" s="349"/>
      <c r="P158" s="349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349"/>
      <c r="AB158" s="349"/>
      <c r="AC158" s="349"/>
      <c r="AD158" s="349"/>
      <c r="AE158" s="349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</row>
    <row r="159" ht="12.75" customHeight="1">
      <c r="A159" s="161"/>
      <c r="B159" s="348"/>
      <c r="C159" s="349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349"/>
      <c r="AB159" s="349"/>
      <c r="AC159" s="349"/>
      <c r="AD159" s="349"/>
      <c r="AE159" s="349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</row>
    <row r="160" ht="12.75" customHeight="1">
      <c r="A160" s="161"/>
      <c r="B160" s="348"/>
      <c r="C160" s="349"/>
      <c r="D160" s="349"/>
      <c r="E160" s="349"/>
      <c r="F160" s="349"/>
      <c r="G160" s="349"/>
      <c r="H160" s="349"/>
      <c r="I160" s="349"/>
      <c r="J160" s="349"/>
      <c r="K160" s="349"/>
      <c r="L160" s="349"/>
      <c r="M160" s="349"/>
      <c r="N160" s="349"/>
      <c r="O160" s="349"/>
      <c r="P160" s="349"/>
      <c r="Q160" s="349"/>
      <c r="R160" s="349"/>
      <c r="S160" s="349"/>
      <c r="T160" s="349"/>
      <c r="U160" s="349"/>
      <c r="V160" s="349"/>
      <c r="W160" s="349"/>
      <c r="X160" s="349"/>
      <c r="Y160" s="349"/>
      <c r="Z160" s="349"/>
      <c r="AA160" s="349"/>
      <c r="AB160" s="349"/>
      <c r="AC160" s="349"/>
      <c r="AD160" s="349"/>
      <c r="AE160" s="349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</row>
    <row r="161" ht="12.75" customHeight="1">
      <c r="A161" s="161"/>
      <c r="B161" s="348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349"/>
      <c r="AB161" s="349"/>
      <c r="AC161" s="349"/>
      <c r="AD161" s="349"/>
      <c r="AE161" s="349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</row>
    <row r="162" ht="12.75" customHeight="1">
      <c r="A162" s="161"/>
      <c r="B162" s="348"/>
      <c r="C162" s="349"/>
      <c r="D162" s="349"/>
      <c r="E162" s="349"/>
      <c r="F162" s="349"/>
      <c r="G162" s="349"/>
      <c r="H162" s="349"/>
      <c r="I162" s="349"/>
      <c r="J162" s="349"/>
      <c r="K162" s="349"/>
      <c r="L162" s="349"/>
      <c r="M162" s="349"/>
      <c r="N162" s="349"/>
      <c r="O162" s="349"/>
      <c r="P162" s="349"/>
      <c r="Q162" s="349"/>
      <c r="R162" s="349"/>
      <c r="S162" s="349"/>
      <c r="T162" s="349"/>
      <c r="U162" s="349"/>
      <c r="V162" s="349"/>
      <c r="W162" s="349"/>
      <c r="X162" s="349"/>
      <c r="Y162" s="349"/>
      <c r="Z162" s="349"/>
      <c r="AA162" s="349"/>
      <c r="AB162" s="349"/>
      <c r="AC162" s="349"/>
      <c r="AD162" s="349"/>
      <c r="AE162" s="349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</row>
    <row r="163" ht="12.75" customHeight="1">
      <c r="A163" s="161"/>
      <c r="B163" s="348"/>
      <c r="C163" s="349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349"/>
      <c r="AB163" s="349"/>
      <c r="AC163" s="349"/>
      <c r="AD163" s="349"/>
      <c r="AE163" s="349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</row>
    <row r="164" ht="12.75" customHeight="1">
      <c r="A164" s="161"/>
      <c r="B164" s="348"/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349"/>
      <c r="AB164" s="349"/>
      <c r="AC164" s="349"/>
      <c r="AD164" s="349"/>
      <c r="AE164" s="349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</row>
    <row r="165" ht="12.75" customHeight="1">
      <c r="A165" s="161"/>
      <c r="B165" s="348"/>
      <c r="C165" s="349"/>
      <c r="D165" s="349"/>
      <c r="E165" s="349"/>
      <c r="F165" s="349"/>
      <c r="G165" s="349"/>
      <c r="H165" s="349"/>
      <c r="I165" s="349"/>
      <c r="J165" s="349"/>
      <c r="K165" s="349"/>
      <c r="L165" s="349"/>
      <c r="M165" s="349"/>
      <c r="N165" s="349"/>
      <c r="O165" s="349"/>
      <c r="P165" s="349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349"/>
      <c r="AB165" s="349"/>
      <c r="AC165" s="349"/>
      <c r="AD165" s="349"/>
      <c r="AE165" s="349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</row>
    <row r="166" ht="12.75" customHeight="1">
      <c r="A166" s="161"/>
      <c r="B166" s="348"/>
      <c r="C166" s="349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349"/>
      <c r="AB166" s="349"/>
      <c r="AC166" s="349"/>
      <c r="AD166" s="349"/>
      <c r="AE166" s="349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</row>
    <row r="167" ht="12.75" customHeight="1">
      <c r="A167" s="161"/>
      <c r="B167" s="348"/>
      <c r="C167" s="349"/>
      <c r="D167" s="349"/>
      <c r="E167" s="349"/>
      <c r="F167" s="349"/>
      <c r="G167" s="349"/>
      <c r="H167" s="349"/>
      <c r="I167" s="349"/>
      <c r="J167" s="349"/>
      <c r="K167" s="349"/>
      <c r="L167" s="349"/>
      <c r="M167" s="349"/>
      <c r="N167" s="349"/>
      <c r="O167" s="349"/>
      <c r="P167" s="349"/>
      <c r="Q167" s="349"/>
      <c r="R167" s="349"/>
      <c r="S167" s="349"/>
      <c r="T167" s="349"/>
      <c r="U167" s="349"/>
      <c r="V167" s="349"/>
      <c r="W167" s="349"/>
      <c r="X167" s="349"/>
      <c r="Y167" s="349"/>
      <c r="Z167" s="349"/>
      <c r="AA167" s="349"/>
      <c r="AB167" s="349"/>
      <c r="AC167" s="349"/>
      <c r="AD167" s="349"/>
      <c r="AE167" s="349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</row>
    <row r="168" ht="12.75" customHeight="1">
      <c r="A168" s="161"/>
      <c r="B168" s="348"/>
      <c r="C168" s="349"/>
      <c r="D168" s="349"/>
      <c r="E168" s="349"/>
      <c r="F168" s="349"/>
      <c r="G168" s="349"/>
      <c r="H168" s="349"/>
      <c r="I168" s="349"/>
      <c r="J168" s="349"/>
      <c r="K168" s="349"/>
      <c r="L168" s="349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349"/>
      <c r="AB168" s="349"/>
      <c r="AC168" s="349"/>
      <c r="AD168" s="349"/>
      <c r="AE168" s="349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</row>
    <row r="169" ht="12.75" customHeight="1">
      <c r="A169" s="161"/>
      <c r="B169" s="348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349"/>
      <c r="AB169" s="349"/>
      <c r="AC169" s="349"/>
      <c r="AD169" s="349"/>
      <c r="AE169" s="349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</row>
    <row r="170" ht="12.75" customHeight="1">
      <c r="A170" s="161"/>
      <c r="B170" s="348"/>
      <c r="C170" s="349"/>
      <c r="D170" s="349"/>
      <c r="E170" s="349"/>
      <c r="F170" s="349"/>
      <c r="G170" s="349"/>
      <c r="H170" s="349"/>
      <c r="I170" s="349"/>
      <c r="J170" s="349"/>
      <c r="K170" s="349"/>
      <c r="L170" s="349"/>
      <c r="M170" s="349"/>
      <c r="N170" s="349"/>
      <c r="O170" s="349"/>
      <c r="P170" s="349"/>
      <c r="Q170" s="349"/>
      <c r="R170" s="349"/>
      <c r="S170" s="349"/>
      <c r="T170" s="349"/>
      <c r="U170" s="349"/>
      <c r="V170" s="349"/>
      <c r="W170" s="349"/>
      <c r="X170" s="349"/>
      <c r="Y170" s="349"/>
      <c r="Z170" s="349"/>
      <c r="AA170" s="349"/>
      <c r="AB170" s="349"/>
      <c r="AC170" s="349"/>
      <c r="AD170" s="349"/>
      <c r="AE170" s="349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</row>
    <row r="171" ht="12.75" customHeight="1">
      <c r="A171" s="161"/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348"/>
      <c r="AB171" s="348"/>
      <c r="AC171" s="348"/>
      <c r="AD171" s="348"/>
      <c r="AE171" s="348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</row>
    <row r="172" ht="12.75" customHeight="1">
      <c r="A172" s="161"/>
      <c r="B172" s="348"/>
      <c r="C172" s="348"/>
      <c r="D172" s="348"/>
      <c r="E172" s="348"/>
      <c r="F172" s="348"/>
      <c r="G172" s="348"/>
      <c r="H172" s="348"/>
      <c r="I172" s="348"/>
      <c r="J172" s="348"/>
      <c r="K172" s="348"/>
      <c r="L172" s="348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  <c r="AA172" s="348"/>
      <c r="AB172" s="348"/>
      <c r="AC172" s="348"/>
      <c r="AD172" s="348"/>
      <c r="AE172" s="348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</row>
    <row r="173" ht="12.75" customHeight="1">
      <c r="A173" s="161"/>
      <c r="B173" s="348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  <c r="AA173" s="348"/>
      <c r="AB173" s="348"/>
      <c r="AC173" s="348"/>
      <c r="AD173" s="348"/>
      <c r="AE173" s="348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</row>
    <row r="174" ht="12.75" customHeight="1">
      <c r="A174" s="161"/>
      <c r="B174" s="348"/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48"/>
      <c r="Y174" s="348"/>
      <c r="Z174" s="348"/>
      <c r="AA174" s="348"/>
      <c r="AB174" s="348"/>
      <c r="AC174" s="348"/>
      <c r="AD174" s="348"/>
      <c r="AE174" s="348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</row>
    <row r="175" ht="12.75" customHeight="1">
      <c r="A175" s="161"/>
      <c r="B175" s="348"/>
      <c r="C175" s="348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  <c r="AA175" s="348"/>
      <c r="AB175" s="348"/>
      <c r="AC175" s="348"/>
      <c r="AD175" s="348"/>
      <c r="AE175" s="348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</row>
    <row r="176" ht="12.75" customHeight="1">
      <c r="A176" s="161"/>
      <c r="B176" s="348"/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8"/>
      <c r="N176" s="348"/>
      <c r="O176" s="348"/>
      <c r="P176" s="348"/>
      <c r="Q176" s="348"/>
      <c r="R176" s="348"/>
      <c r="S176" s="348"/>
      <c r="T176" s="348"/>
      <c r="U176" s="348"/>
      <c r="V176" s="348"/>
      <c r="W176" s="348"/>
      <c r="X176" s="348"/>
      <c r="Y176" s="348"/>
      <c r="Z176" s="348"/>
      <c r="AA176" s="348"/>
      <c r="AB176" s="348"/>
      <c r="AC176" s="348"/>
      <c r="AD176" s="348"/>
      <c r="AE176" s="348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</row>
    <row r="177" ht="12.75" customHeight="1">
      <c r="A177" s="161"/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48"/>
      <c r="P177" s="348"/>
      <c r="Q177" s="348"/>
      <c r="R177" s="348"/>
      <c r="S177" s="348"/>
      <c r="T177" s="348"/>
      <c r="U177" s="348"/>
      <c r="V177" s="348"/>
      <c r="W177" s="348"/>
      <c r="X177" s="348"/>
      <c r="Y177" s="348"/>
      <c r="Z177" s="348"/>
      <c r="AA177" s="348"/>
      <c r="AB177" s="348"/>
      <c r="AC177" s="348"/>
      <c r="AD177" s="348"/>
      <c r="AE177" s="348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</row>
    <row r="178" ht="12.75" customHeight="1">
      <c r="A178" s="161"/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348"/>
      <c r="AB178" s="348"/>
      <c r="AC178" s="348"/>
      <c r="AD178" s="348"/>
      <c r="AE178" s="348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</row>
    <row r="179" ht="12.75" customHeight="1">
      <c r="A179" s="161"/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348"/>
      <c r="AB179" s="348"/>
      <c r="AC179" s="348"/>
      <c r="AD179" s="348"/>
      <c r="AE179" s="348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</row>
    <row r="180" ht="12.75" customHeight="1">
      <c r="A180" s="161"/>
      <c r="B180" s="348"/>
      <c r="C180" s="348"/>
      <c r="D180" s="348"/>
      <c r="E180" s="348"/>
      <c r="F180" s="348"/>
      <c r="G180" s="348"/>
      <c r="H180" s="348"/>
      <c r="I180" s="348"/>
      <c r="J180" s="348"/>
      <c r="K180" s="348"/>
      <c r="L180" s="348"/>
      <c r="M180" s="348"/>
      <c r="N180" s="348"/>
      <c r="O180" s="348"/>
      <c r="P180" s="348"/>
      <c r="Q180" s="348"/>
      <c r="R180" s="348"/>
      <c r="S180" s="348"/>
      <c r="T180" s="348"/>
      <c r="U180" s="348"/>
      <c r="V180" s="348"/>
      <c r="W180" s="348"/>
      <c r="X180" s="348"/>
      <c r="Y180" s="348"/>
      <c r="Z180" s="348"/>
      <c r="AA180" s="348"/>
      <c r="AB180" s="348"/>
      <c r="AC180" s="348"/>
      <c r="AD180" s="348"/>
      <c r="AE180" s="348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</row>
    <row r="181" ht="12.75" customHeight="1">
      <c r="A181" s="161"/>
      <c r="B181" s="348"/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8"/>
      <c r="N181" s="348"/>
      <c r="O181" s="348"/>
      <c r="P181" s="348"/>
      <c r="Q181" s="348"/>
      <c r="R181" s="348"/>
      <c r="S181" s="348"/>
      <c r="T181" s="348"/>
      <c r="U181" s="348"/>
      <c r="V181" s="348"/>
      <c r="W181" s="348"/>
      <c r="X181" s="348"/>
      <c r="Y181" s="348"/>
      <c r="Z181" s="348"/>
      <c r="AA181" s="348"/>
      <c r="AB181" s="348"/>
      <c r="AC181" s="348"/>
      <c r="AD181" s="348"/>
      <c r="AE181" s="348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</row>
    <row r="182" ht="12.75" customHeight="1">
      <c r="A182" s="161"/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48"/>
      <c r="P182" s="348"/>
      <c r="Q182" s="348"/>
      <c r="R182" s="348"/>
      <c r="S182" s="348"/>
      <c r="T182" s="348"/>
      <c r="U182" s="348"/>
      <c r="V182" s="348"/>
      <c r="W182" s="348"/>
      <c r="X182" s="348"/>
      <c r="Y182" s="348"/>
      <c r="Z182" s="348"/>
      <c r="AA182" s="348"/>
      <c r="AB182" s="348"/>
      <c r="AC182" s="348"/>
      <c r="AD182" s="348"/>
      <c r="AE182" s="348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</row>
    <row r="183" ht="12.75" customHeight="1">
      <c r="A183" s="161"/>
      <c r="B183" s="348"/>
      <c r="C183" s="348"/>
      <c r="D183" s="348"/>
      <c r="E183" s="348"/>
      <c r="F183" s="348"/>
      <c r="G183" s="348"/>
      <c r="H183" s="348"/>
      <c r="I183" s="348"/>
      <c r="J183" s="348"/>
      <c r="K183" s="348"/>
      <c r="L183" s="348"/>
      <c r="M183" s="348"/>
      <c r="N183" s="348"/>
      <c r="O183" s="348"/>
      <c r="P183" s="348"/>
      <c r="Q183" s="348"/>
      <c r="R183" s="348"/>
      <c r="S183" s="348"/>
      <c r="T183" s="348"/>
      <c r="U183" s="348"/>
      <c r="V183" s="348"/>
      <c r="W183" s="348"/>
      <c r="X183" s="348"/>
      <c r="Y183" s="348"/>
      <c r="Z183" s="348"/>
      <c r="AA183" s="348"/>
      <c r="AB183" s="348"/>
      <c r="AC183" s="348"/>
      <c r="AD183" s="348"/>
      <c r="AE183" s="348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</row>
    <row r="184" ht="12.75" customHeight="1">
      <c r="A184" s="161"/>
      <c r="B184" s="348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/>
      <c r="O184" s="348"/>
      <c r="P184" s="348"/>
      <c r="Q184" s="348"/>
      <c r="R184" s="348"/>
      <c r="S184" s="348"/>
      <c r="T184" s="348"/>
      <c r="U184" s="348"/>
      <c r="V184" s="348"/>
      <c r="W184" s="348"/>
      <c r="X184" s="348"/>
      <c r="Y184" s="348"/>
      <c r="Z184" s="348"/>
      <c r="AA184" s="348"/>
      <c r="AB184" s="348"/>
      <c r="AC184" s="348"/>
      <c r="AD184" s="348"/>
      <c r="AE184" s="348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</row>
    <row r="185" ht="12.75" customHeight="1">
      <c r="A185" s="161"/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348"/>
      <c r="AB185" s="348"/>
      <c r="AC185" s="348"/>
      <c r="AD185" s="348"/>
      <c r="AE185" s="348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</row>
    <row r="186" ht="12.75" customHeight="1">
      <c r="A186" s="161"/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348"/>
      <c r="AB186" s="348"/>
      <c r="AC186" s="348"/>
      <c r="AD186" s="348"/>
      <c r="AE186" s="348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</row>
    <row r="187" ht="12.75" customHeight="1">
      <c r="A187" s="161"/>
      <c r="B187" s="348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  <c r="AA187" s="348"/>
      <c r="AB187" s="348"/>
      <c r="AC187" s="348"/>
      <c r="AD187" s="348"/>
      <c r="AE187" s="348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</row>
    <row r="188" ht="12.75" customHeight="1">
      <c r="A188" s="161"/>
      <c r="B188" s="348"/>
      <c r="C188" s="348"/>
      <c r="D188" s="348"/>
      <c r="E188" s="348"/>
      <c r="F188" s="348"/>
      <c r="G188" s="348"/>
      <c r="H188" s="348"/>
      <c r="I188" s="348"/>
      <c r="J188" s="348"/>
      <c r="K188" s="348"/>
      <c r="L188" s="348"/>
      <c r="M188" s="348"/>
      <c r="N188" s="348"/>
      <c r="O188" s="348"/>
      <c r="P188" s="348"/>
      <c r="Q188" s="348"/>
      <c r="R188" s="348"/>
      <c r="S188" s="348"/>
      <c r="T188" s="348"/>
      <c r="U188" s="348"/>
      <c r="V188" s="348"/>
      <c r="W188" s="348"/>
      <c r="X188" s="348"/>
      <c r="Y188" s="348"/>
      <c r="Z188" s="348"/>
      <c r="AA188" s="348"/>
      <c r="AB188" s="348"/>
      <c r="AC188" s="348"/>
      <c r="AD188" s="348"/>
      <c r="AE188" s="348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</row>
    <row r="189" ht="12.75" customHeight="1">
      <c r="A189" s="161"/>
      <c r="B189" s="348"/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8"/>
      <c r="O189" s="348"/>
      <c r="P189" s="348"/>
      <c r="Q189" s="348"/>
      <c r="R189" s="348"/>
      <c r="S189" s="348"/>
      <c r="T189" s="348"/>
      <c r="U189" s="348"/>
      <c r="V189" s="348"/>
      <c r="W189" s="348"/>
      <c r="X189" s="348"/>
      <c r="Y189" s="348"/>
      <c r="Z189" s="348"/>
      <c r="AA189" s="348"/>
      <c r="AB189" s="348"/>
      <c r="AC189" s="348"/>
      <c r="AD189" s="348"/>
      <c r="AE189" s="348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</row>
    <row r="190" ht="12.75" customHeight="1">
      <c r="A190" s="161"/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348"/>
      <c r="AB190" s="348"/>
      <c r="AC190" s="348"/>
      <c r="AD190" s="348"/>
      <c r="AE190" s="348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</row>
    <row r="191" ht="12.75" customHeight="1">
      <c r="A191" s="161"/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348"/>
      <c r="AB191" s="348"/>
      <c r="AC191" s="348"/>
      <c r="AD191" s="348"/>
      <c r="AE191" s="348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</row>
    <row r="192" ht="12.75" customHeight="1">
      <c r="A192" s="161"/>
      <c r="B192" s="348"/>
      <c r="C192" s="348"/>
      <c r="D192" s="348"/>
      <c r="E192" s="348"/>
      <c r="F192" s="348"/>
      <c r="G192" s="348"/>
      <c r="H192" s="348"/>
      <c r="I192" s="348"/>
      <c r="J192" s="348"/>
      <c r="K192" s="348"/>
      <c r="L192" s="348"/>
      <c r="M192" s="348"/>
      <c r="N192" s="348"/>
      <c r="O192" s="348"/>
      <c r="P192" s="348"/>
      <c r="Q192" s="348"/>
      <c r="R192" s="348"/>
      <c r="S192" s="348"/>
      <c r="T192" s="348"/>
      <c r="U192" s="348"/>
      <c r="V192" s="348"/>
      <c r="W192" s="348"/>
      <c r="X192" s="348"/>
      <c r="Y192" s="348"/>
      <c r="Z192" s="348"/>
      <c r="AA192" s="348"/>
      <c r="AB192" s="348"/>
      <c r="AC192" s="348"/>
      <c r="AD192" s="348"/>
      <c r="AE192" s="348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</row>
    <row r="193" ht="12.75" customHeight="1">
      <c r="A193" s="161"/>
      <c r="B193" s="348"/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8"/>
      <c r="N193" s="348"/>
      <c r="O193" s="348"/>
      <c r="P193" s="348"/>
      <c r="Q193" s="348"/>
      <c r="R193" s="348"/>
      <c r="S193" s="348"/>
      <c r="T193" s="348"/>
      <c r="U193" s="348"/>
      <c r="V193" s="348"/>
      <c r="W193" s="348"/>
      <c r="X193" s="348"/>
      <c r="Y193" s="348"/>
      <c r="Z193" s="348"/>
      <c r="AA193" s="348"/>
      <c r="AB193" s="348"/>
      <c r="AC193" s="348"/>
      <c r="AD193" s="348"/>
      <c r="AE193" s="348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</row>
    <row r="194" ht="12.75" customHeight="1">
      <c r="A194" s="161"/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48"/>
      <c r="P194" s="348"/>
      <c r="Q194" s="348"/>
      <c r="R194" s="348"/>
      <c r="S194" s="348"/>
      <c r="T194" s="348"/>
      <c r="U194" s="348"/>
      <c r="V194" s="348"/>
      <c r="W194" s="348"/>
      <c r="X194" s="348"/>
      <c r="Y194" s="348"/>
      <c r="Z194" s="348"/>
      <c r="AA194" s="348"/>
      <c r="AB194" s="348"/>
      <c r="AC194" s="348"/>
      <c r="AD194" s="348"/>
      <c r="AE194" s="348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</row>
    <row r="195" ht="12.75" customHeight="1">
      <c r="A195" s="161"/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348"/>
      <c r="AB195" s="348"/>
      <c r="AC195" s="348"/>
      <c r="AD195" s="348"/>
      <c r="AE195" s="348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</row>
    <row r="196" ht="12.75" customHeight="1">
      <c r="A196" s="161"/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348"/>
      <c r="AB196" s="348"/>
      <c r="AC196" s="348"/>
      <c r="AD196" s="348"/>
      <c r="AE196" s="348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</row>
    <row r="197" ht="12.75" customHeight="1">
      <c r="A197" s="161"/>
      <c r="B197" s="348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348"/>
      <c r="AB197" s="348"/>
      <c r="AC197" s="348"/>
      <c r="AD197" s="348"/>
      <c r="AE197" s="348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</row>
    <row r="198" ht="12.75" customHeight="1">
      <c r="A198" s="161"/>
      <c r="B198" s="348"/>
      <c r="C198" s="348"/>
      <c r="D198" s="348"/>
      <c r="E198" s="348"/>
      <c r="F198" s="348"/>
      <c r="G198" s="348"/>
      <c r="H198" s="348"/>
      <c r="I198" s="348"/>
      <c r="J198" s="348"/>
      <c r="K198" s="348"/>
      <c r="L198" s="348"/>
      <c r="M198" s="348"/>
      <c r="N198" s="348"/>
      <c r="O198" s="348"/>
      <c r="P198" s="348"/>
      <c r="Q198" s="348"/>
      <c r="R198" s="348"/>
      <c r="S198" s="348"/>
      <c r="T198" s="348"/>
      <c r="U198" s="348"/>
      <c r="V198" s="348"/>
      <c r="W198" s="348"/>
      <c r="X198" s="348"/>
      <c r="Y198" s="348"/>
      <c r="Z198" s="348"/>
      <c r="AA198" s="348"/>
      <c r="AB198" s="348"/>
      <c r="AC198" s="348"/>
      <c r="AD198" s="348"/>
      <c r="AE198" s="348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</row>
    <row r="199" ht="12.75" customHeight="1">
      <c r="A199" s="161"/>
      <c r="B199" s="348"/>
      <c r="C199" s="348"/>
      <c r="D199" s="348"/>
      <c r="E199" s="348"/>
      <c r="F199" s="348"/>
      <c r="G199" s="348"/>
      <c r="H199" s="348"/>
      <c r="I199" s="348"/>
      <c r="J199" s="348"/>
      <c r="K199" s="348"/>
      <c r="L199" s="348"/>
      <c r="M199" s="348"/>
      <c r="N199" s="348"/>
      <c r="O199" s="348"/>
      <c r="P199" s="348"/>
      <c r="Q199" s="348"/>
      <c r="R199" s="348"/>
      <c r="S199" s="348"/>
      <c r="T199" s="348"/>
      <c r="U199" s="348"/>
      <c r="V199" s="348"/>
      <c r="W199" s="348"/>
      <c r="X199" s="348"/>
      <c r="Y199" s="348"/>
      <c r="Z199" s="348"/>
      <c r="AA199" s="348"/>
      <c r="AB199" s="348"/>
      <c r="AC199" s="348"/>
      <c r="AD199" s="348"/>
      <c r="AE199" s="348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</row>
    <row r="200" ht="12.75" customHeight="1">
      <c r="A200" s="161"/>
      <c r="B200" s="348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348"/>
      <c r="AB200" s="348"/>
      <c r="AC200" s="348"/>
      <c r="AD200" s="348"/>
      <c r="AE200" s="348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</row>
    <row r="201" ht="12.75" customHeight="1">
      <c r="A201" s="161"/>
      <c r="B201" s="348"/>
      <c r="C201" s="348"/>
      <c r="D201" s="348"/>
      <c r="E201" s="348"/>
      <c r="F201" s="348"/>
      <c r="G201" s="348"/>
      <c r="H201" s="348"/>
      <c r="I201" s="348"/>
      <c r="J201" s="348"/>
      <c r="K201" s="348"/>
      <c r="L201" s="348"/>
      <c r="M201" s="348"/>
      <c r="N201" s="348"/>
      <c r="O201" s="348"/>
      <c r="P201" s="348"/>
      <c r="Q201" s="348"/>
      <c r="R201" s="348"/>
      <c r="S201" s="348"/>
      <c r="T201" s="348"/>
      <c r="U201" s="348"/>
      <c r="V201" s="348"/>
      <c r="W201" s="348"/>
      <c r="X201" s="348"/>
      <c r="Y201" s="348"/>
      <c r="Z201" s="348"/>
      <c r="AA201" s="348"/>
      <c r="AB201" s="348"/>
      <c r="AC201" s="348"/>
      <c r="AD201" s="348"/>
      <c r="AE201" s="348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</row>
    <row r="202" ht="12.75" customHeight="1">
      <c r="A202" s="161"/>
      <c r="B202" s="348"/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48"/>
      <c r="P202" s="348"/>
      <c r="Q202" s="348"/>
      <c r="R202" s="348"/>
      <c r="S202" s="348"/>
      <c r="T202" s="348"/>
      <c r="U202" s="348"/>
      <c r="V202" s="348"/>
      <c r="W202" s="348"/>
      <c r="X202" s="348"/>
      <c r="Y202" s="348"/>
      <c r="Z202" s="348"/>
      <c r="AA202" s="348"/>
      <c r="AB202" s="348"/>
      <c r="AC202" s="348"/>
      <c r="AD202" s="348"/>
      <c r="AE202" s="348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</row>
    <row r="203" ht="12.75" customHeight="1">
      <c r="A203" s="161"/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  <c r="AA203" s="348"/>
      <c r="AB203" s="348"/>
      <c r="AC203" s="348"/>
      <c r="AD203" s="348"/>
      <c r="AE203" s="348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</row>
    <row r="204" ht="12.75" customHeight="1">
      <c r="A204" s="161"/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348"/>
      <c r="AB204" s="348"/>
      <c r="AC204" s="348"/>
      <c r="AD204" s="348"/>
      <c r="AE204" s="348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</row>
    <row r="205" ht="12.75" customHeight="1">
      <c r="A205" s="161"/>
      <c r="B205" s="348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  <c r="AA205" s="348"/>
      <c r="AB205" s="348"/>
      <c r="AC205" s="348"/>
      <c r="AD205" s="348"/>
      <c r="AE205" s="348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</row>
    <row r="206" ht="12.75" customHeight="1">
      <c r="A206" s="161"/>
      <c r="B206" s="348"/>
      <c r="C206" s="348"/>
      <c r="D206" s="348"/>
      <c r="E206" s="348"/>
      <c r="F206" s="348"/>
      <c r="G206" s="348"/>
      <c r="H206" s="348"/>
      <c r="I206" s="348"/>
      <c r="J206" s="348"/>
      <c r="K206" s="348"/>
      <c r="L206" s="348"/>
      <c r="M206" s="348"/>
      <c r="N206" s="348"/>
      <c r="O206" s="348"/>
      <c r="P206" s="348"/>
      <c r="Q206" s="348"/>
      <c r="R206" s="348"/>
      <c r="S206" s="348"/>
      <c r="T206" s="348"/>
      <c r="U206" s="348"/>
      <c r="V206" s="348"/>
      <c r="W206" s="348"/>
      <c r="X206" s="348"/>
      <c r="Y206" s="348"/>
      <c r="Z206" s="348"/>
      <c r="AA206" s="348"/>
      <c r="AB206" s="348"/>
      <c r="AC206" s="348"/>
      <c r="AD206" s="348"/>
      <c r="AE206" s="348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</row>
    <row r="207" ht="12.75" customHeight="1">
      <c r="A207" s="161"/>
      <c r="B207" s="348"/>
      <c r="C207" s="348"/>
      <c r="D207" s="348"/>
      <c r="E207" s="348"/>
      <c r="F207" s="348"/>
      <c r="G207" s="348"/>
      <c r="H207" s="348"/>
      <c r="I207" s="348"/>
      <c r="J207" s="348"/>
      <c r="K207" s="348"/>
      <c r="L207" s="348"/>
      <c r="M207" s="348"/>
      <c r="N207" s="348"/>
      <c r="O207" s="348"/>
      <c r="P207" s="348"/>
      <c r="Q207" s="348"/>
      <c r="R207" s="348"/>
      <c r="S207" s="348"/>
      <c r="T207" s="348"/>
      <c r="U207" s="348"/>
      <c r="V207" s="348"/>
      <c r="W207" s="348"/>
      <c r="X207" s="348"/>
      <c r="Y207" s="348"/>
      <c r="Z207" s="348"/>
      <c r="AA207" s="348"/>
      <c r="AB207" s="348"/>
      <c r="AC207" s="348"/>
      <c r="AD207" s="348"/>
      <c r="AE207" s="348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</row>
    <row r="208" ht="12.75" customHeight="1">
      <c r="A208" s="161"/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348"/>
      <c r="AB208" s="348"/>
      <c r="AC208" s="348"/>
      <c r="AD208" s="348"/>
      <c r="AE208" s="348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</row>
    <row r="209" ht="12.75" customHeight="1">
      <c r="A209" s="161"/>
      <c r="B209" s="348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8"/>
      <c r="O209" s="348"/>
      <c r="P209" s="348"/>
      <c r="Q209" s="348"/>
      <c r="R209" s="348"/>
      <c r="S209" s="348"/>
      <c r="T209" s="348"/>
      <c r="U209" s="348"/>
      <c r="V209" s="348"/>
      <c r="W209" s="348"/>
      <c r="X209" s="348"/>
      <c r="Y209" s="348"/>
      <c r="Z209" s="348"/>
      <c r="AA209" s="348"/>
      <c r="AB209" s="348"/>
      <c r="AC209" s="348"/>
      <c r="AD209" s="348"/>
      <c r="AE209" s="348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</row>
    <row r="210" ht="12.75" customHeight="1">
      <c r="A210" s="161"/>
      <c r="B210" s="348"/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48"/>
      <c r="P210" s="348"/>
      <c r="Q210" s="348"/>
      <c r="R210" s="348"/>
      <c r="S210" s="348"/>
      <c r="T210" s="348"/>
      <c r="U210" s="348"/>
      <c r="V210" s="348"/>
      <c r="W210" s="348"/>
      <c r="X210" s="348"/>
      <c r="Y210" s="348"/>
      <c r="Z210" s="348"/>
      <c r="AA210" s="348"/>
      <c r="AB210" s="348"/>
      <c r="AC210" s="348"/>
      <c r="AD210" s="348"/>
      <c r="AE210" s="348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</row>
    <row r="211" ht="12.75" customHeight="1">
      <c r="A211" s="161"/>
      <c r="B211" s="348"/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8"/>
      <c r="P211" s="348"/>
      <c r="Q211" s="348"/>
      <c r="R211" s="348"/>
      <c r="S211" s="348"/>
      <c r="T211" s="348"/>
      <c r="U211" s="348"/>
      <c r="V211" s="348"/>
      <c r="W211" s="348"/>
      <c r="X211" s="348"/>
      <c r="Y211" s="348"/>
      <c r="Z211" s="348"/>
      <c r="AA211" s="348"/>
      <c r="AB211" s="348"/>
      <c r="AC211" s="348"/>
      <c r="AD211" s="348"/>
      <c r="AE211" s="348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</row>
    <row r="212" ht="12.75" customHeight="1">
      <c r="A212" s="161"/>
      <c r="B212" s="348"/>
      <c r="C212" s="348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  <c r="AA212" s="348"/>
      <c r="AB212" s="348"/>
      <c r="AC212" s="348"/>
      <c r="AD212" s="348"/>
      <c r="AE212" s="348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</row>
    <row r="213" ht="12.75" customHeight="1">
      <c r="A213" s="161"/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348"/>
      <c r="AB213" s="348"/>
      <c r="AC213" s="348"/>
      <c r="AD213" s="348"/>
      <c r="AE213" s="348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</row>
    <row r="214" ht="12.75" customHeight="1">
      <c r="A214" s="161"/>
      <c r="B214" s="348"/>
      <c r="C214" s="348"/>
      <c r="D214" s="348"/>
      <c r="E214" s="348"/>
      <c r="F214" s="348"/>
      <c r="G214" s="348"/>
      <c r="H214" s="348"/>
      <c r="I214" s="348"/>
      <c r="J214" s="348"/>
      <c r="K214" s="348"/>
      <c r="L214" s="348"/>
      <c r="M214" s="348"/>
      <c r="N214" s="348"/>
      <c r="O214" s="348"/>
      <c r="P214" s="348"/>
      <c r="Q214" s="348"/>
      <c r="R214" s="348"/>
      <c r="S214" s="348"/>
      <c r="T214" s="348"/>
      <c r="U214" s="348"/>
      <c r="V214" s="348"/>
      <c r="W214" s="348"/>
      <c r="X214" s="348"/>
      <c r="Y214" s="348"/>
      <c r="Z214" s="348"/>
      <c r="AA214" s="348"/>
      <c r="AB214" s="348"/>
      <c r="AC214" s="348"/>
      <c r="AD214" s="348"/>
      <c r="AE214" s="348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</row>
    <row r="215" ht="12.75" customHeight="1">
      <c r="A215" s="161"/>
      <c r="B215" s="348"/>
      <c r="C215" s="348"/>
      <c r="D215" s="348"/>
      <c r="E215" s="348"/>
      <c r="F215" s="348"/>
      <c r="G215" s="348"/>
      <c r="H215" s="348"/>
      <c r="I215" s="348"/>
      <c r="J215" s="348"/>
      <c r="K215" s="348"/>
      <c r="L215" s="348"/>
      <c r="M215" s="348"/>
      <c r="N215" s="348"/>
      <c r="O215" s="348"/>
      <c r="P215" s="348"/>
      <c r="Q215" s="348"/>
      <c r="R215" s="348"/>
      <c r="S215" s="348"/>
      <c r="T215" s="348"/>
      <c r="U215" s="348"/>
      <c r="V215" s="348"/>
      <c r="W215" s="348"/>
      <c r="X215" s="348"/>
      <c r="Y215" s="348"/>
      <c r="Z215" s="348"/>
      <c r="AA215" s="348"/>
      <c r="AB215" s="348"/>
      <c r="AC215" s="348"/>
      <c r="AD215" s="348"/>
      <c r="AE215" s="348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</row>
    <row r="216" ht="12.75" customHeight="1">
      <c r="A216" s="161"/>
      <c r="B216" s="348"/>
      <c r="C216" s="348"/>
      <c r="D216" s="348"/>
      <c r="E216" s="348"/>
      <c r="F216" s="348"/>
      <c r="G216" s="348"/>
      <c r="H216" s="348"/>
      <c r="I216" s="348"/>
      <c r="J216" s="348"/>
      <c r="K216" s="348"/>
      <c r="L216" s="348"/>
      <c r="M216" s="348"/>
      <c r="N216" s="348"/>
      <c r="O216" s="348"/>
      <c r="P216" s="348"/>
      <c r="Q216" s="348"/>
      <c r="R216" s="348"/>
      <c r="S216" s="348"/>
      <c r="T216" s="348"/>
      <c r="U216" s="348"/>
      <c r="V216" s="348"/>
      <c r="W216" s="348"/>
      <c r="X216" s="348"/>
      <c r="Y216" s="348"/>
      <c r="Z216" s="348"/>
      <c r="AA216" s="348"/>
      <c r="AB216" s="348"/>
      <c r="AC216" s="348"/>
      <c r="AD216" s="348"/>
      <c r="AE216" s="348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</row>
    <row r="217" ht="12.75" customHeight="1">
      <c r="A217" s="161"/>
      <c r="B217" s="348"/>
      <c r="C217" s="348"/>
      <c r="D217" s="348"/>
      <c r="E217" s="348"/>
      <c r="F217" s="348"/>
      <c r="G217" s="348"/>
      <c r="H217" s="348"/>
      <c r="I217" s="348"/>
      <c r="J217" s="348"/>
      <c r="K217" s="348"/>
      <c r="L217" s="348"/>
      <c r="M217" s="348"/>
      <c r="N217" s="348"/>
      <c r="O217" s="348"/>
      <c r="P217" s="348"/>
      <c r="Q217" s="348"/>
      <c r="R217" s="348"/>
      <c r="S217" s="348"/>
      <c r="T217" s="348"/>
      <c r="U217" s="348"/>
      <c r="V217" s="348"/>
      <c r="W217" s="348"/>
      <c r="X217" s="348"/>
      <c r="Y217" s="348"/>
      <c r="Z217" s="348"/>
      <c r="AA217" s="348"/>
      <c r="AB217" s="348"/>
      <c r="AC217" s="348"/>
      <c r="AD217" s="348"/>
      <c r="AE217" s="348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</row>
    <row r="218" ht="12.75" customHeight="1">
      <c r="A218" s="161"/>
      <c r="B218" s="348"/>
      <c r="C218" s="348"/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48"/>
      <c r="P218" s="348"/>
      <c r="Q218" s="348"/>
      <c r="R218" s="348"/>
      <c r="S218" s="348"/>
      <c r="T218" s="348"/>
      <c r="U218" s="348"/>
      <c r="V218" s="348"/>
      <c r="W218" s="348"/>
      <c r="X218" s="348"/>
      <c r="Y218" s="348"/>
      <c r="Z218" s="348"/>
      <c r="AA218" s="348"/>
      <c r="AB218" s="348"/>
      <c r="AC218" s="348"/>
      <c r="AD218" s="348"/>
      <c r="AE218" s="348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</row>
    <row r="219" ht="12.75" customHeight="1">
      <c r="A219" s="161"/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348"/>
      <c r="AB219" s="348"/>
      <c r="AC219" s="348"/>
      <c r="AD219" s="348"/>
      <c r="AE219" s="348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</row>
    <row r="220" ht="12.75" customHeight="1">
      <c r="A220" s="161"/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348"/>
      <c r="AB220" s="348"/>
      <c r="AC220" s="348"/>
      <c r="AD220" s="348"/>
      <c r="AE220" s="348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</row>
    <row r="221" ht="12.75" customHeight="1">
      <c r="A221" s="161"/>
      <c r="B221" s="348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48"/>
      <c r="P221" s="348"/>
      <c r="Q221" s="348"/>
      <c r="R221" s="348"/>
      <c r="S221" s="348"/>
      <c r="T221" s="348"/>
      <c r="U221" s="348"/>
      <c r="V221" s="348"/>
      <c r="W221" s="348"/>
      <c r="X221" s="348"/>
      <c r="Y221" s="348"/>
      <c r="Z221" s="348"/>
      <c r="AA221" s="348"/>
      <c r="AB221" s="348"/>
      <c r="AC221" s="348"/>
      <c r="AD221" s="348"/>
      <c r="AE221" s="348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</row>
    <row r="222" ht="12.75" customHeight="1">
      <c r="A222" s="161"/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348"/>
      <c r="AB222" s="348"/>
      <c r="AC222" s="348"/>
      <c r="AD222" s="348"/>
      <c r="AE222" s="348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</row>
    <row r="223" ht="12.75" customHeight="1">
      <c r="A223" s="161"/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348"/>
      <c r="AB223" s="348"/>
      <c r="AC223" s="348"/>
      <c r="AD223" s="348"/>
      <c r="AE223" s="348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</row>
    <row r="224" ht="12.75" customHeight="1">
      <c r="A224" s="161"/>
      <c r="B224" s="348"/>
      <c r="C224" s="348"/>
      <c r="D224" s="348"/>
      <c r="E224" s="348"/>
      <c r="F224" s="348"/>
      <c r="G224" s="348"/>
      <c r="H224" s="348"/>
      <c r="I224" s="348"/>
      <c r="J224" s="348"/>
      <c r="K224" s="348"/>
      <c r="L224" s="348"/>
      <c r="M224" s="348"/>
      <c r="N224" s="348"/>
      <c r="O224" s="348"/>
      <c r="P224" s="348"/>
      <c r="Q224" s="348"/>
      <c r="R224" s="348"/>
      <c r="S224" s="348"/>
      <c r="T224" s="348"/>
      <c r="U224" s="348"/>
      <c r="V224" s="348"/>
      <c r="W224" s="348"/>
      <c r="X224" s="348"/>
      <c r="Y224" s="348"/>
      <c r="Z224" s="348"/>
      <c r="AA224" s="348"/>
      <c r="AB224" s="348"/>
      <c r="AC224" s="348"/>
      <c r="AD224" s="348"/>
      <c r="AE224" s="348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</row>
    <row r="225" ht="12.75" customHeight="1">
      <c r="A225" s="161"/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348"/>
      <c r="AB225" s="348"/>
      <c r="AC225" s="348"/>
      <c r="AD225" s="348"/>
      <c r="AE225" s="348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</row>
    <row r="226" ht="12.75" customHeight="1">
      <c r="A226" s="161"/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348"/>
      <c r="AB226" s="348"/>
      <c r="AC226" s="348"/>
      <c r="AD226" s="348"/>
      <c r="AE226" s="348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</row>
    <row r="227" ht="12.75" customHeight="1">
      <c r="A227" s="161"/>
      <c r="B227" s="348"/>
      <c r="C227" s="348"/>
      <c r="D227" s="348"/>
      <c r="E227" s="348"/>
      <c r="F227" s="348"/>
      <c r="G227" s="348"/>
      <c r="H227" s="348"/>
      <c r="I227" s="348"/>
      <c r="J227" s="348"/>
      <c r="K227" s="348"/>
      <c r="L227" s="348"/>
      <c r="M227" s="348"/>
      <c r="N227" s="348"/>
      <c r="O227" s="348"/>
      <c r="P227" s="348"/>
      <c r="Q227" s="348"/>
      <c r="R227" s="348"/>
      <c r="S227" s="348"/>
      <c r="T227" s="348"/>
      <c r="U227" s="348"/>
      <c r="V227" s="348"/>
      <c r="W227" s="348"/>
      <c r="X227" s="348"/>
      <c r="Y227" s="348"/>
      <c r="Z227" s="348"/>
      <c r="AA227" s="348"/>
      <c r="AB227" s="348"/>
      <c r="AC227" s="348"/>
      <c r="AD227" s="348"/>
      <c r="AE227" s="348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</row>
    <row r="228" ht="12.75" customHeight="1">
      <c r="A228" s="161"/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48"/>
      <c r="P228" s="348"/>
      <c r="Q228" s="348"/>
      <c r="R228" s="348"/>
      <c r="S228" s="348"/>
      <c r="T228" s="348"/>
      <c r="U228" s="348"/>
      <c r="V228" s="348"/>
      <c r="W228" s="348"/>
      <c r="X228" s="348"/>
      <c r="Y228" s="348"/>
      <c r="Z228" s="348"/>
      <c r="AA228" s="348"/>
      <c r="AB228" s="348"/>
      <c r="AC228" s="348"/>
      <c r="AD228" s="348"/>
      <c r="AE228" s="348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</row>
    <row r="229" ht="12.75" customHeight="1">
      <c r="A229" s="161"/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348"/>
      <c r="AB229" s="348"/>
      <c r="AC229" s="348"/>
      <c r="AD229" s="348"/>
      <c r="AE229" s="348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</row>
    <row r="230" ht="12.75" customHeight="1">
      <c r="A230" s="161"/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348"/>
      <c r="AB230" s="348"/>
      <c r="AC230" s="348"/>
      <c r="AD230" s="348"/>
      <c r="AE230" s="348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</row>
    <row r="231" ht="12.75" customHeight="1">
      <c r="A231" s="161"/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348"/>
      <c r="AB231" s="348"/>
      <c r="AC231" s="348"/>
      <c r="AD231" s="348"/>
      <c r="AE231" s="348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</row>
    <row r="232" ht="12.75" customHeight="1">
      <c r="A232" s="161"/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348"/>
      <c r="AB232" s="348"/>
      <c r="AC232" s="348"/>
      <c r="AD232" s="348"/>
      <c r="AE232" s="348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</row>
    <row r="233" ht="12.75" customHeight="1">
      <c r="A233" s="161"/>
      <c r="B233" s="348"/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48"/>
      <c r="P233" s="348"/>
      <c r="Q233" s="348"/>
      <c r="R233" s="348"/>
      <c r="S233" s="348"/>
      <c r="T233" s="348"/>
      <c r="U233" s="348"/>
      <c r="V233" s="348"/>
      <c r="W233" s="348"/>
      <c r="X233" s="348"/>
      <c r="Y233" s="348"/>
      <c r="Z233" s="348"/>
      <c r="AA233" s="348"/>
      <c r="AB233" s="348"/>
      <c r="AC233" s="348"/>
      <c r="AD233" s="348"/>
      <c r="AE233" s="348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</row>
    <row r="234" ht="12.75" customHeight="1">
      <c r="A234" s="161"/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348"/>
      <c r="AB234" s="348"/>
      <c r="AC234" s="348"/>
      <c r="AD234" s="348"/>
      <c r="AE234" s="348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</row>
    <row r="235" ht="12.75" customHeight="1">
      <c r="A235" s="161"/>
      <c r="B235" s="348"/>
      <c r="C235" s="348"/>
      <c r="D235" s="348"/>
      <c r="E235" s="348"/>
      <c r="F235" s="348"/>
      <c r="G235" s="348"/>
      <c r="H235" s="348"/>
      <c r="I235" s="348"/>
      <c r="J235" s="348"/>
      <c r="K235" s="348"/>
      <c r="L235" s="348"/>
      <c r="M235" s="348"/>
      <c r="N235" s="348"/>
      <c r="O235" s="348"/>
      <c r="P235" s="348"/>
      <c r="Q235" s="348"/>
      <c r="R235" s="348"/>
      <c r="S235" s="348"/>
      <c r="T235" s="348"/>
      <c r="U235" s="348"/>
      <c r="V235" s="348"/>
      <c r="W235" s="348"/>
      <c r="X235" s="348"/>
      <c r="Y235" s="348"/>
      <c r="Z235" s="348"/>
      <c r="AA235" s="348"/>
      <c r="AB235" s="348"/>
      <c r="AC235" s="348"/>
      <c r="AD235" s="348"/>
      <c r="AE235" s="348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</row>
    <row r="236" ht="12.75" customHeight="1">
      <c r="A236" s="161"/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348"/>
      <c r="AB236" s="348"/>
      <c r="AC236" s="348"/>
      <c r="AD236" s="348"/>
      <c r="AE236" s="348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</row>
    <row r="237" ht="12.75" customHeight="1">
      <c r="A237" s="161"/>
      <c r="B237" s="348"/>
      <c r="C237" s="348"/>
      <c r="D237" s="348"/>
      <c r="E237" s="348"/>
      <c r="F237" s="348"/>
      <c r="G237" s="348"/>
      <c r="H237" s="348"/>
      <c r="I237" s="348"/>
      <c r="J237" s="348"/>
      <c r="K237" s="348"/>
      <c r="L237" s="348"/>
      <c r="M237" s="348"/>
      <c r="N237" s="348"/>
      <c r="O237" s="348"/>
      <c r="P237" s="348"/>
      <c r="Q237" s="348"/>
      <c r="R237" s="348"/>
      <c r="S237" s="348"/>
      <c r="T237" s="348"/>
      <c r="U237" s="348"/>
      <c r="V237" s="348"/>
      <c r="W237" s="348"/>
      <c r="X237" s="348"/>
      <c r="Y237" s="348"/>
      <c r="Z237" s="348"/>
      <c r="AA237" s="348"/>
      <c r="AB237" s="348"/>
      <c r="AC237" s="348"/>
      <c r="AD237" s="348"/>
      <c r="AE237" s="348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</row>
    <row r="238" ht="12.75" customHeight="1">
      <c r="A238" s="161"/>
      <c r="B238" s="348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48"/>
      <c r="P238" s="348"/>
      <c r="Q238" s="348"/>
      <c r="R238" s="348"/>
      <c r="S238" s="348"/>
      <c r="T238" s="348"/>
      <c r="U238" s="348"/>
      <c r="V238" s="348"/>
      <c r="W238" s="348"/>
      <c r="X238" s="348"/>
      <c r="Y238" s="348"/>
      <c r="Z238" s="348"/>
      <c r="AA238" s="348"/>
      <c r="AB238" s="348"/>
      <c r="AC238" s="348"/>
      <c r="AD238" s="348"/>
      <c r="AE238" s="348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</row>
    <row r="239" ht="12.75" customHeight="1">
      <c r="A239" s="161"/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348"/>
      <c r="AA239" s="348"/>
      <c r="AB239" s="348"/>
      <c r="AC239" s="348"/>
      <c r="AD239" s="348"/>
      <c r="AE239" s="348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</row>
    <row r="240" ht="12.75" customHeight="1">
      <c r="A240" s="161"/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348"/>
      <c r="AB240" s="348"/>
      <c r="AC240" s="348"/>
      <c r="AD240" s="348"/>
      <c r="AE240" s="348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</row>
    <row r="241" ht="12.75" customHeight="1">
      <c r="A241" s="161"/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348"/>
      <c r="AB241" s="348"/>
      <c r="AC241" s="348"/>
      <c r="AD241" s="348"/>
      <c r="AE241" s="348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</row>
    <row r="242" ht="12.75" customHeight="1">
      <c r="A242" s="161"/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348"/>
      <c r="AB242" s="348"/>
      <c r="AC242" s="348"/>
      <c r="AD242" s="348"/>
      <c r="AE242" s="348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</row>
    <row r="243" ht="12.75" customHeight="1">
      <c r="A243" s="161"/>
      <c r="B243" s="348"/>
      <c r="C243" s="348"/>
      <c r="D243" s="348"/>
      <c r="E243" s="348"/>
      <c r="F243" s="348"/>
      <c r="G243" s="348"/>
      <c r="H243" s="348"/>
      <c r="I243" s="348"/>
      <c r="J243" s="348"/>
      <c r="K243" s="348"/>
      <c r="L243" s="348"/>
      <c r="M243" s="348"/>
      <c r="N243" s="348"/>
      <c r="O243" s="348"/>
      <c r="P243" s="348"/>
      <c r="Q243" s="348"/>
      <c r="R243" s="348"/>
      <c r="S243" s="348"/>
      <c r="T243" s="348"/>
      <c r="U243" s="348"/>
      <c r="V243" s="348"/>
      <c r="W243" s="348"/>
      <c r="X243" s="348"/>
      <c r="Y243" s="348"/>
      <c r="Z243" s="348"/>
      <c r="AA243" s="348"/>
      <c r="AB243" s="348"/>
      <c r="AC243" s="348"/>
      <c r="AD243" s="348"/>
      <c r="AE243" s="348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</row>
    <row r="244" ht="12.75" customHeight="1">
      <c r="A244" s="161"/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8"/>
      <c r="Z244" s="348"/>
      <c r="AA244" s="348"/>
      <c r="AB244" s="348"/>
      <c r="AC244" s="348"/>
      <c r="AD244" s="348"/>
      <c r="AE244" s="348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</row>
    <row r="245" ht="12.75" customHeight="1">
      <c r="A245" s="161"/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48"/>
      <c r="P245" s="348"/>
      <c r="Q245" s="348"/>
      <c r="R245" s="348"/>
      <c r="S245" s="348"/>
      <c r="T245" s="348"/>
      <c r="U245" s="348"/>
      <c r="V245" s="348"/>
      <c r="W245" s="348"/>
      <c r="X245" s="348"/>
      <c r="Y245" s="348"/>
      <c r="Z245" s="348"/>
      <c r="AA245" s="348"/>
      <c r="AB245" s="348"/>
      <c r="AC245" s="348"/>
      <c r="AD245" s="348"/>
      <c r="AE245" s="348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</row>
    <row r="246" ht="12.75" customHeight="1">
      <c r="A246" s="161"/>
      <c r="B246" s="348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  <c r="AA246" s="348"/>
      <c r="AB246" s="348"/>
      <c r="AC246" s="348"/>
      <c r="AD246" s="348"/>
      <c r="AE246" s="348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</row>
    <row r="247" ht="12.75" customHeight="1">
      <c r="A247" s="161"/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348"/>
      <c r="AB247" s="348"/>
      <c r="AC247" s="348"/>
      <c r="AD247" s="348"/>
      <c r="AE247" s="348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</row>
    <row r="248" ht="12.75" customHeight="1">
      <c r="A248" s="161"/>
      <c r="B248" s="348"/>
      <c r="C248" s="348"/>
      <c r="D248" s="348"/>
      <c r="E248" s="348"/>
      <c r="F248" s="348"/>
      <c r="G248" s="348"/>
      <c r="H248" s="348"/>
      <c r="I248" s="348"/>
      <c r="J248" s="348"/>
      <c r="K248" s="348"/>
      <c r="L248" s="348"/>
      <c r="M248" s="348"/>
      <c r="N248" s="348"/>
      <c r="O248" s="348"/>
      <c r="P248" s="348"/>
      <c r="Q248" s="348"/>
      <c r="R248" s="348"/>
      <c r="S248" s="348"/>
      <c r="T248" s="348"/>
      <c r="U248" s="348"/>
      <c r="V248" s="348"/>
      <c r="W248" s="348"/>
      <c r="X248" s="348"/>
      <c r="Y248" s="348"/>
      <c r="Z248" s="348"/>
      <c r="AA248" s="348"/>
      <c r="AB248" s="348"/>
      <c r="AC248" s="348"/>
      <c r="AD248" s="348"/>
      <c r="AE248" s="348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</row>
    <row r="249" ht="12.75" customHeight="1">
      <c r="A249" s="161"/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48"/>
      <c r="P249" s="348"/>
      <c r="Q249" s="348"/>
      <c r="R249" s="348"/>
      <c r="S249" s="348"/>
      <c r="T249" s="348"/>
      <c r="U249" s="348"/>
      <c r="V249" s="348"/>
      <c r="W249" s="348"/>
      <c r="X249" s="348"/>
      <c r="Y249" s="348"/>
      <c r="Z249" s="348"/>
      <c r="AA249" s="348"/>
      <c r="AB249" s="348"/>
      <c r="AC249" s="348"/>
      <c r="AD249" s="348"/>
      <c r="AE249" s="348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</row>
    <row r="250" ht="12.75" customHeight="1">
      <c r="A250" s="161"/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48"/>
      <c r="P250" s="348"/>
      <c r="Q250" s="348"/>
      <c r="R250" s="348"/>
      <c r="S250" s="348"/>
      <c r="T250" s="348"/>
      <c r="U250" s="348"/>
      <c r="V250" s="348"/>
      <c r="W250" s="348"/>
      <c r="X250" s="348"/>
      <c r="Y250" s="348"/>
      <c r="Z250" s="348"/>
      <c r="AA250" s="348"/>
      <c r="AB250" s="348"/>
      <c r="AC250" s="348"/>
      <c r="AD250" s="348"/>
      <c r="AE250" s="348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</row>
    <row r="251" ht="12.75" customHeight="1">
      <c r="A251" s="161"/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348"/>
      <c r="AB251" s="348"/>
      <c r="AC251" s="348"/>
      <c r="AD251" s="348"/>
      <c r="AE251" s="348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</row>
    <row r="252" ht="12.75" customHeight="1">
      <c r="A252" s="161"/>
      <c r="B252" s="348"/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8"/>
      <c r="O252" s="348"/>
      <c r="P252" s="348"/>
      <c r="Q252" s="348"/>
      <c r="R252" s="348"/>
      <c r="S252" s="348"/>
      <c r="T252" s="348"/>
      <c r="U252" s="348"/>
      <c r="V252" s="348"/>
      <c r="W252" s="348"/>
      <c r="X252" s="348"/>
      <c r="Y252" s="348"/>
      <c r="Z252" s="348"/>
      <c r="AA252" s="348"/>
      <c r="AB252" s="348"/>
      <c r="AC252" s="348"/>
      <c r="AD252" s="348"/>
      <c r="AE252" s="348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</row>
    <row r="253" ht="12.75" customHeight="1">
      <c r="A253" s="161"/>
      <c r="B253" s="348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  <c r="AA253" s="348"/>
      <c r="AB253" s="348"/>
      <c r="AC253" s="348"/>
      <c r="AD253" s="348"/>
      <c r="AE253" s="348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</row>
    <row r="254" ht="12.75" customHeight="1">
      <c r="A254" s="161"/>
      <c r="B254" s="348"/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348"/>
      <c r="O254" s="348"/>
      <c r="P254" s="348"/>
      <c r="Q254" s="348"/>
      <c r="R254" s="348"/>
      <c r="S254" s="348"/>
      <c r="T254" s="348"/>
      <c r="U254" s="348"/>
      <c r="V254" s="348"/>
      <c r="W254" s="348"/>
      <c r="X254" s="348"/>
      <c r="Y254" s="348"/>
      <c r="Z254" s="348"/>
      <c r="AA254" s="348"/>
      <c r="AB254" s="348"/>
      <c r="AC254" s="348"/>
      <c r="AD254" s="348"/>
      <c r="AE254" s="348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</row>
    <row r="255" ht="12.75" customHeight="1">
      <c r="A255" s="161"/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48"/>
      <c r="P255" s="348"/>
      <c r="Q255" s="348"/>
      <c r="R255" s="348"/>
      <c r="S255" s="348"/>
      <c r="T255" s="348"/>
      <c r="U255" s="348"/>
      <c r="V255" s="348"/>
      <c r="W255" s="348"/>
      <c r="X255" s="348"/>
      <c r="Y255" s="348"/>
      <c r="Z255" s="348"/>
      <c r="AA255" s="348"/>
      <c r="AB255" s="348"/>
      <c r="AC255" s="348"/>
      <c r="AD255" s="348"/>
      <c r="AE255" s="348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</row>
    <row r="256" ht="12.75" customHeight="1">
      <c r="A256" s="161"/>
      <c r="B256" s="348"/>
      <c r="C256" s="348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/>
      <c r="O256" s="348"/>
      <c r="P256" s="348"/>
      <c r="Q256" s="348"/>
      <c r="R256" s="348"/>
      <c r="S256" s="348"/>
      <c r="T256" s="348"/>
      <c r="U256" s="348"/>
      <c r="V256" s="348"/>
      <c r="W256" s="348"/>
      <c r="X256" s="348"/>
      <c r="Y256" s="348"/>
      <c r="Z256" s="348"/>
      <c r="AA256" s="348"/>
      <c r="AB256" s="348"/>
      <c r="AC256" s="348"/>
      <c r="AD256" s="348"/>
      <c r="AE256" s="348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</row>
    <row r="257" ht="12.75" customHeight="1">
      <c r="A257" s="161"/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348"/>
      <c r="AB257" s="348"/>
      <c r="AC257" s="348"/>
      <c r="AD257" s="348"/>
      <c r="AE257" s="348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</row>
    <row r="258" ht="12.75" customHeight="1">
      <c r="A258" s="161"/>
      <c r="B258" s="348"/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348"/>
      <c r="AB258" s="348"/>
      <c r="AC258" s="348"/>
      <c r="AD258" s="348"/>
      <c r="AE258" s="348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</row>
    <row r="259" ht="12.75" customHeight="1">
      <c r="A259" s="161"/>
      <c r="B259" s="348"/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48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  <c r="AA259" s="348"/>
      <c r="AB259" s="348"/>
      <c r="AC259" s="348"/>
      <c r="AD259" s="348"/>
      <c r="AE259" s="348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</row>
    <row r="260" ht="12.75" customHeight="1">
      <c r="A260" s="161"/>
      <c r="B260" s="348"/>
      <c r="C260" s="348"/>
      <c r="D260" s="348"/>
      <c r="E260" s="348"/>
      <c r="F260" s="348"/>
      <c r="G260" s="348"/>
      <c r="H260" s="348"/>
      <c r="I260" s="348"/>
      <c r="J260" s="348"/>
      <c r="K260" s="348"/>
      <c r="L260" s="348"/>
      <c r="M260" s="348"/>
      <c r="N260" s="348"/>
      <c r="O260" s="348"/>
      <c r="P260" s="348"/>
      <c r="Q260" s="348"/>
      <c r="R260" s="348"/>
      <c r="S260" s="348"/>
      <c r="T260" s="348"/>
      <c r="U260" s="348"/>
      <c r="V260" s="348"/>
      <c r="W260" s="348"/>
      <c r="X260" s="348"/>
      <c r="Y260" s="348"/>
      <c r="Z260" s="348"/>
      <c r="AA260" s="348"/>
      <c r="AB260" s="348"/>
      <c r="AC260" s="348"/>
      <c r="AD260" s="348"/>
      <c r="AE260" s="348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</row>
    <row r="261" ht="12.75" customHeight="1">
      <c r="A261" s="161"/>
      <c r="B261" s="348"/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8"/>
      <c r="O261" s="348"/>
      <c r="P261" s="348"/>
      <c r="Q261" s="348"/>
      <c r="R261" s="348"/>
      <c r="S261" s="348"/>
      <c r="T261" s="348"/>
      <c r="U261" s="348"/>
      <c r="V261" s="348"/>
      <c r="W261" s="348"/>
      <c r="X261" s="348"/>
      <c r="Y261" s="348"/>
      <c r="Z261" s="348"/>
      <c r="AA261" s="348"/>
      <c r="AB261" s="348"/>
      <c r="AC261" s="348"/>
      <c r="AD261" s="348"/>
      <c r="AE261" s="348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</row>
    <row r="262" ht="12.75" customHeight="1">
      <c r="A262" s="161"/>
      <c r="B262" s="348"/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8"/>
      <c r="O262" s="348"/>
      <c r="P262" s="348"/>
      <c r="Q262" s="348"/>
      <c r="R262" s="348"/>
      <c r="S262" s="348"/>
      <c r="T262" s="348"/>
      <c r="U262" s="348"/>
      <c r="V262" s="348"/>
      <c r="W262" s="348"/>
      <c r="X262" s="348"/>
      <c r="Y262" s="348"/>
      <c r="Z262" s="348"/>
      <c r="AA262" s="348"/>
      <c r="AB262" s="348"/>
      <c r="AC262" s="348"/>
      <c r="AD262" s="348"/>
      <c r="AE262" s="348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</row>
    <row r="263" ht="12.75" customHeight="1">
      <c r="A263" s="161"/>
      <c r="B263" s="348"/>
      <c r="C263" s="348"/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8"/>
      <c r="O263" s="348"/>
      <c r="P263" s="348"/>
      <c r="Q263" s="348"/>
      <c r="R263" s="348"/>
      <c r="S263" s="348"/>
      <c r="T263" s="348"/>
      <c r="U263" s="348"/>
      <c r="V263" s="348"/>
      <c r="W263" s="348"/>
      <c r="X263" s="348"/>
      <c r="Y263" s="348"/>
      <c r="Z263" s="348"/>
      <c r="AA263" s="348"/>
      <c r="AB263" s="348"/>
      <c r="AC263" s="348"/>
      <c r="AD263" s="348"/>
      <c r="AE263" s="348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</row>
    <row r="264" ht="12.75" customHeight="1">
      <c r="A264" s="161"/>
      <c r="B264" s="348"/>
      <c r="C264" s="348"/>
      <c r="D264" s="348"/>
      <c r="E264" s="348"/>
      <c r="F264" s="348"/>
      <c r="G264" s="348"/>
      <c r="H264" s="348"/>
      <c r="I264" s="348"/>
      <c r="J264" s="348"/>
      <c r="K264" s="348"/>
      <c r="L264" s="348"/>
      <c r="M264" s="348"/>
      <c r="N264" s="348"/>
      <c r="O264" s="348"/>
      <c r="P264" s="348"/>
      <c r="Q264" s="348"/>
      <c r="R264" s="348"/>
      <c r="S264" s="348"/>
      <c r="T264" s="348"/>
      <c r="U264" s="348"/>
      <c r="V264" s="348"/>
      <c r="W264" s="348"/>
      <c r="X264" s="348"/>
      <c r="Y264" s="348"/>
      <c r="Z264" s="348"/>
      <c r="AA264" s="348"/>
      <c r="AB264" s="348"/>
      <c r="AC264" s="348"/>
      <c r="AD264" s="348"/>
      <c r="AE264" s="348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</row>
    <row r="265" ht="12.75" customHeight="1">
      <c r="A265" s="161"/>
      <c r="B265" s="348"/>
      <c r="C265" s="348"/>
      <c r="D265" s="348"/>
      <c r="E265" s="348"/>
      <c r="F265" s="348"/>
      <c r="G265" s="348"/>
      <c r="H265" s="348"/>
      <c r="I265" s="348"/>
      <c r="J265" s="348"/>
      <c r="K265" s="348"/>
      <c r="L265" s="348"/>
      <c r="M265" s="348"/>
      <c r="N265" s="348"/>
      <c r="O265" s="348"/>
      <c r="P265" s="348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  <c r="AA265" s="348"/>
      <c r="AB265" s="348"/>
      <c r="AC265" s="348"/>
      <c r="AD265" s="348"/>
      <c r="AE265" s="348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</row>
    <row r="266" ht="12.75" customHeight="1">
      <c r="A266" s="161"/>
      <c r="B266" s="348"/>
      <c r="C266" s="348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348"/>
      <c r="O266" s="348"/>
      <c r="P266" s="348"/>
      <c r="Q266" s="348"/>
      <c r="R266" s="348"/>
      <c r="S266" s="348"/>
      <c r="T266" s="348"/>
      <c r="U266" s="348"/>
      <c r="V266" s="348"/>
      <c r="W266" s="348"/>
      <c r="X266" s="348"/>
      <c r="Y266" s="348"/>
      <c r="Z266" s="348"/>
      <c r="AA266" s="348"/>
      <c r="AB266" s="348"/>
      <c r="AC266" s="348"/>
      <c r="AD266" s="348"/>
      <c r="AE266" s="348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</row>
    <row r="267" ht="12.75" customHeight="1">
      <c r="A267" s="161"/>
      <c r="B267" s="348"/>
      <c r="C267" s="348"/>
      <c r="D267" s="348"/>
      <c r="E267" s="348"/>
      <c r="F267" s="348"/>
      <c r="G267" s="348"/>
      <c r="H267" s="348"/>
      <c r="I267" s="348"/>
      <c r="J267" s="348"/>
      <c r="K267" s="348"/>
      <c r="L267" s="348"/>
      <c r="M267" s="348"/>
      <c r="N267" s="348"/>
      <c r="O267" s="348"/>
      <c r="P267" s="348"/>
      <c r="Q267" s="348"/>
      <c r="R267" s="348"/>
      <c r="S267" s="348"/>
      <c r="T267" s="348"/>
      <c r="U267" s="348"/>
      <c r="V267" s="348"/>
      <c r="W267" s="348"/>
      <c r="X267" s="348"/>
      <c r="Y267" s="348"/>
      <c r="Z267" s="348"/>
      <c r="AA267" s="348"/>
      <c r="AB267" s="348"/>
      <c r="AC267" s="348"/>
      <c r="AD267" s="348"/>
      <c r="AE267" s="348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</row>
    <row r="268" ht="12.75" customHeight="1">
      <c r="A268" s="161"/>
      <c r="B268" s="348"/>
      <c r="C268" s="348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/>
      <c r="O268" s="348"/>
      <c r="P268" s="348"/>
      <c r="Q268" s="348"/>
      <c r="R268" s="348"/>
      <c r="S268" s="348"/>
      <c r="T268" s="348"/>
      <c r="U268" s="348"/>
      <c r="V268" s="348"/>
      <c r="W268" s="348"/>
      <c r="X268" s="348"/>
      <c r="Y268" s="348"/>
      <c r="Z268" s="348"/>
      <c r="AA268" s="348"/>
      <c r="AB268" s="348"/>
      <c r="AC268" s="348"/>
      <c r="AD268" s="348"/>
      <c r="AE268" s="348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</row>
    <row r="269" ht="12.75" customHeight="1">
      <c r="A269" s="161"/>
      <c r="B269" s="348"/>
      <c r="C269" s="348"/>
      <c r="D269" s="348"/>
      <c r="E269" s="348"/>
      <c r="F269" s="348"/>
      <c r="G269" s="348"/>
      <c r="H269" s="348"/>
      <c r="I269" s="348"/>
      <c r="J269" s="348"/>
      <c r="K269" s="348"/>
      <c r="L269" s="348"/>
      <c r="M269" s="348"/>
      <c r="N269" s="348"/>
      <c r="O269" s="348"/>
      <c r="P269" s="348"/>
      <c r="Q269" s="348"/>
      <c r="R269" s="348"/>
      <c r="S269" s="348"/>
      <c r="T269" s="348"/>
      <c r="U269" s="348"/>
      <c r="V269" s="348"/>
      <c r="W269" s="348"/>
      <c r="X269" s="348"/>
      <c r="Y269" s="348"/>
      <c r="Z269" s="348"/>
      <c r="AA269" s="348"/>
      <c r="AB269" s="348"/>
      <c r="AC269" s="348"/>
      <c r="AD269" s="348"/>
      <c r="AE269" s="348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</row>
    <row r="270" ht="12.75" customHeight="1">
      <c r="A270" s="161"/>
      <c r="B270" s="348"/>
      <c r="C270" s="348"/>
      <c r="D270" s="348"/>
      <c r="E270" s="348"/>
      <c r="F270" s="348"/>
      <c r="G270" s="348"/>
      <c r="H270" s="348"/>
      <c r="I270" s="348"/>
      <c r="J270" s="348"/>
      <c r="K270" s="348"/>
      <c r="L270" s="348"/>
      <c r="M270" s="348"/>
      <c r="N270" s="348"/>
      <c r="O270" s="348"/>
      <c r="P270" s="348"/>
      <c r="Q270" s="348"/>
      <c r="R270" s="348"/>
      <c r="S270" s="348"/>
      <c r="T270" s="348"/>
      <c r="U270" s="348"/>
      <c r="V270" s="348"/>
      <c r="W270" s="348"/>
      <c r="X270" s="348"/>
      <c r="Y270" s="348"/>
      <c r="Z270" s="348"/>
      <c r="AA270" s="348"/>
      <c r="AB270" s="348"/>
      <c r="AC270" s="348"/>
      <c r="AD270" s="348"/>
      <c r="AE270" s="348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</row>
    <row r="271" ht="12.75" customHeight="1">
      <c r="A271" s="161"/>
      <c r="B271" s="348"/>
      <c r="C271" s="348"/>
      <c r="D271" s="348"/>
      <c r="E271" s="348"/>
      <c r="F271" s="348"/>
      <c r="G271" s="348"/>
      <c r="H271" s="348"/>
      <c r="I271" s="348"/>
      <c r="J271" s="348"/>
      <c r="K271" s="348"/>
      <c r="L271" s="348"/>
      <c r="M271" s="348"/>
      <c r="N271" s="348"/>
      <c r="O271" s="348"/>
      <c r="P271" s="348"/>
      <c r="Q271" s="348"/>
      <c r="R271" s="348"/>
      <c r="S271" s="348"/>
      <c r="T271" s="348"/>
      <c r="U271" s="348"/>
      <c r="V271" s="348"/>
      <c r="W271" s="348"/>
      <c r="X271" s="348"/>
      <c r="Y271" s="348"/>
      <c r="Z271" s="348"/>
      <c r="AA271" s="348"/>
      <c r="AB271" s="348"/>
      <c r="AC271" s="348"/>
      <c r="AD271" s="348"/>
      <c r="AE271" s="348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</row>
    <row r="272" ht="12.75" customHeight="1">
      <c r="A272" s="161"/>
      <c r="B272" s="348"/>
      <c r="C272" s="348"/>
      <c r="D272" s="348"/>
      <c r="E272" s="348"/>
      <c r="F272" s="348"/>
      <c r="G272" s="348"/>
      <c r="H272" s="348"/>
      <c r="I272" s="348"/>
      <c r="J272" s="348"/>
      <c r="K272" s="348"/>
      <c r="L272" s="348"/>
      <c r="M272" s="348"/>
      <c r="N272" s="348"/>
      <c r="O272" s="348"/>
      <c r="P272" s="348"/>
      <c r="Q272" s="348"/>
      <c r="R272" s="348"/>
      <c r="S272" s="348"/>
      <c r="T272" s="348"/>
      <c r="U272" s="348"/>
      <c r="V272" s="348"/>
      <c r="W272" s="348"/>
      <c r="X272" s="348"/>
      <c r="Y272" s="348"/>
      <c r="Z272" s="348"/>
      <c r="AA272" s="348"/>
      <c r="AB272" s="348"/>
      <c r="AC272" s="348"/>
      <c r="AD272" s="348"/>
      <c r="AE272" s="348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</row>
    <row r="273" ht="12.75" customHeight="1">
      <c r="A273" s="161"/>
      <c r="B273" s="348"/>
      <c r="C273" s="348"/>
      <c r="D273" s="348"/>
      <c r="E273" s="348"/>
      <c r="F273" s="348"/>
      <c r="G273" s="348"/>
      <c r="H273" s="348"/>
      <c r="I273" s="348"/>
      <c r="J273" s="348"/>
      <c r="K273" s="348"/>
      <c r="L273" s="348"/>
      <c r="M273" s="348"/>
      <c r="N273" s="348"/>
      <c r="O273" s="348"/>
      <c r="P273" s="348"/>
      <c r="Q273" s="348"/>
      <c r="R273" s="348"/>
      <c r="S273" s="348"/>
      <c r="T273" s="348"/>
      <c r="U273" s="348"/>
      <c r="V273" s="348"/>
      <c r="W273" s="348"/>
      <c r="X273" s="348"/>
      <c r="Y273" s="348"/>
      <c r="Z273" s="348"/>
      <c r="AA273" s="348"/>
      <c r="AB273" s="348"/>
      <c r="AC273" s="348"/>
      <c r="AD273" s="348"/>
      <c r="AE273" s="348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</row>
    <row r="274" ht="12.75" customHeight="1">
      <c r="A274" s="161"/>
      <c r="B274" s="348"/>
      <c r="C274" s="348"/>
      <c r="D274" s="348"/>
      <c r="E274" s="348"/>
      <c r="F274" s="348"/>
      <c r="G274" s="348"/>
      <c r="H274" s="348"/>
      <c r="I274" s="348"/>
      <c r="J274" s="348"/>
      <c r="K274" s="348"/>
      <c r="L274" s="348"/>
      <c r="M274" s="348"/>
      <c r="N274" s="348"/>
      <c r="O274" s="348"/>
      <c r="P274" s="348"/>
      <c r="Q274" s="348"/>
      <c r="R274" s="348"/>
      <c r="S274" s="348"/>
      <c r="T274" s="348"/>
      <c r="U274" s="348"/>
      <c r="V274" s="348"/>
      <c r="W274" s="348"/>
      <c r="X274" s="348"/>
      <c r="Y274" s="348"/>
      <c r="Z274" s="348"/>
      <c r="AA274" s="348"/>
      <c r="AB274" s="348"/>
      <c r="AC274" s="348"/>
      <c r="AD274" s="348"/>
      <c r="AE274" s="348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</row>
    <row r="275" ht="12.75" customHeight="1">
      <c r="A275" s="161"/>
      <c r="B275" s="348"/>
      <c r="C275" s="348"/>
      <c r="D275" s="348"/>
      <c r="E275" s="348"/>
      <c r="F275" s="348"/>
      <c r="G275" s="348"/>
      <c r="H275" s="348"/>
      <c r="I275" s="348"/>
      <c r="J275" s="348"/>
      <c r="K275" s="348"/>
      <c r="L275" s="348"/>
      <c r="M275" s="348"/>
      <c r="N275" s="348"/>
      <c r="O275" s="348"/>
      <c r="P275" s="348"/>
      <c r="Q275" s="348"/>
      <c r="R275" s="348"/>
      <c r="S275" s="348"/>
      <c r="T275" s="348"/>
      <c r="U275" s="348"/>
      <c r="V275" s="348"/>
      <c r="W275" s="348"/>
      <c r="X275" s="348"/>
      <c r="Y275" s="348"/>
      <c r="Z275" s="348"/>
      <c r="AA275" s="348"/>
      <c r="AB275" s="348"/>
      <c r="AC275" s="348"/>
      <c r="AD275" s="348"/>
      <c r="AE275" s="348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</row>
    <row r="276" ht="12.75" customHeight="1">
      <c r="A276" s="161"/>
      <c r="B276" s="348"/>
      <c r="C276" s="348"/>
      <c r="D276" s="348"/>
      <c r="E276" s="348"/>
      <c r="F276" s="348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48"/>
      <c r="AB276" s="348"/>
      <c r="AC276" s="348"/>
      <c r="AD276" s="348"/>
      <c r="AE276" s="348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</row>
    <row r="277" ht="12.75" customHeight="1">
      <c r="A277" s="161"/>
      <c r="B277" s="348"/>
      <c r="C277" s="348"/>
      <c r="D277" s="348"/>
      <c r="E277" s="348"/>
      <c r="F277" s="348"/>
      <c r="G277" s="348"/>
      <c r="H277" s="348"/>
      <c r="I277" s="348"/>
      <c r="J277" s="348"/>
      <c r="K277" s="348"/>
      <c r="L277" s="348"/>
      <c r="M277" s="348"/>
      <c r="N277" s="348"/>
      <c r="O277" s="348"/>
      <c r="P277" s="348"/>
      <c r="Q277" s="348"/>
      <c r="R277" s="348"/>
      <c r="S277" s="348"/>
      <c r="T277" s="348"/>
      <c r="U277" s="348"/>
      <c r="V277" s="348"/>
      <c r="W277" s="348"/>
      <c r="X277" s="348"/>
      <c r="Y277" s="348"/>
      <c r="Z277" s="348"/>
      <c r="AA277" s="348"/>
      <c r="AB277" s="348"/>
      <c r="AC277" s="348"/>
      <c r="AD277" s="348"/>
      <c r="AE277" s="348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</row>
    <row r="278" ht="12.75" customHeight="1">
      <c r="A278" s="161"/>
      <c r="B278" s="348"/>
      <c r="C278" s="348"/>
      <c r="D278" s="348"/>
      <c r="E278" s="348"/>
      <c r="F278" s="348"/>
      <c r="G278" s="348"/>
      <c r="H278" s="348"/>
      <c r="I278" s="348"/>
      <c r="J278" s="348"/>
      <c r="K278" s="348"/>
      <c r="L278" s="348"/>
      <c r="M278" s="348"/>
      <c r="N278" s="348"/>
      <c r="O278" s="348"/>
      <c r="P278" s="348"/>
      <c r="Q278" s="348"/>
      <c r="R278" s="348"/>
      <c r="S278" s="348"/>
      <c r="T278" s="348"/>
      <c r="U278" s="348"/>
      <c r="V278" s="348"/>
      <c r="W278" s="348"/>
      <c r="X278" s="348"/>
      <c r="Y278" s="348"/>
      <c r="Z278" s="348"/>
      <c r="AA278" s="348"/>
      <c r="AB278" s="348"/>
      <c r="AC278" s="348"/>
      <c r="AD278" s="348"/>
      <c r="AE278" s="348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</row>
    <row r="279" ht="12.75" customHeight="1">
      <c r="A279" s="161"/>
      <c r="B279" s="348"/>
      <c r="C279" s="348"/>
      <c r="D279" s="348"/>
      <c r="E279" s="348"/>
      <c r="F279" s="348"/>
      <c r="G279" s="348"/>
      <c r="H279" s="348"/>
      <c r="I279" s="348"/>
      <c r="J279" s="348"/>
      <c r="K279" s="348"/>
      <c r="L279" s="348"/>
      <c r="M279" s="348"/>
      <c r="N279" s="348"/>
      <c r="O279" s="348"/>
      <c r="P279" s="348"/>
      <c r="Q279" s="348"/>
      <c r="R279" s="348"/>
      <c r="S279" s="348"/>
      <c r="T279" s="348"/>
      <c r="U279" s="348"/>
      <c r="V279" s="348"/>
      <c r="W279" s="348"/>
      <c r="X279" s="348"/>
      <c r="Y279" s="348"/>
      <c r="Z279" s="348"/>
      <c r="AA279" s="348"/>
      <c r="AB279" s="348"/>
      <c r="AC279" s="348"/>
      <c r="AD279" s="348"/>
      <c r="AE279" s="348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</row>
    <row r="280" ht="12.75" customHeight="1">
      <c r="A280" s="161"/>
      <c r="B280" s="348"/>
      <c r="C280" s="348"/>
      <c r="D280" s="348"/>
      <c r="E280" s="348"/>
      <c r="F280" s="348"/>
      <c r="G280" s="348"/>
      <c r="H280" s="348"/>
      <c r="I280" s="348"/>
      <c r="J280" s="348"/>
      <c r="K280" s="348"/>
      <c r="L280" s="348"/>
      <c r="M280" s="348"/>
      <c r="N280" s="348"/>
      <c r="O280" s="348"/>
      <c r="P280" s="348"/>
      <c r="Q280" s="348"/>
      <c r="R280" s="348"/>
      <c r="S280" s="348"/>
      <c r="T280" s="348"/>
      <c r="U280" s="348"/>
      <c r="V280" s="348"/>
      <c r="W280" s="348"/>
      <c r="X280" s="348"/>
      <c r="Y280" s="348"/>
      <c r="Z280" s="348"/>
      <c r="AA280" s="348"/>
      <c r="AB280" s="348"/>
      <c r="AC280" s="348"/>
      <c r="AD280" s="348"/>
      <c r="AE280" s="348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</row>
    <row r="281" ht="12.75" customHeight="1">
      <c r="A281" s="161"/>
      <c r="B281" s="348"/>
      <c r="C281" s="348"/>
      <c r="D281" s="348"/>
      <c r="E281" s="348"/>
      <c r="F281" s="348"/>
      <c r="G281" s="348"/>
      <c r="H281" s="348"/>
      <c r="I281" s="348"/>
      <c r="J281" s="348"/>
      <c r="K281" s="348"/>
      <c r="L281" s="348"/>
      <c r="M281" s="348"/>
      <c r="N281" s="348"/>
      <c r="O281" s="348"/>
      <c r="P281" s="348"/>
      <c r="Q281" s="348"/>
      <c r="R281" s="348"/>
      <c r="S281" s="348"/>
      <c r="T281" s="348"/>
      <c r="U281" s="348"/>
      <c r="V281" s="348"/>
      <c r="W281" s="348"/>
      <c r="X281" s="348"/>
      <c r="Y281" s="348"/>
      <c r="Z281" s="348"/>
      <c r="AA281" s="348"/>
      <c r="AB281" s="348"/>
      <c r="AC281" s="348"/>
      <c r="AD281" s="348"/>
      <c r="AE281" s="348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</row>
    <row r="282" ht="12.75" customHeight="1">
      <c r="A282" s="161"/>
      <c r="B282" s="348"/>
      <c r="C282" s="348"/>
      <c r="D282" s="348"/>
      <c r="E282" s="348"/>
      <c r="F282" s="348"/>
      <c r="G282" s="348"/>
      <c r="H282" s="348"/>
      <c r="I282" s="348"/>
      <c r="J282" s="348"/>
      <c r="K282" s="348"/>
      <c r="L282" s="348"/>
      <c r="M282" s="348"/>
      <c r="N282" s="348"/>
      <c r="O282" s="348"/>
      <c r="P282" s="348"/>
      <c r="Q282" s="348"/>
      <c r="R282" s="348"/>
      <c r="S282" s="348"/>
      <c r="T282" s="348"/>
      <c r="U282" s="348"/>
      <c r="V282" s="348"/>
      <c r="W282" s="348"/>
      <c r="X282" s="348"/>
      <c r="Y282" s="348"/>
      <c r="Z282" s="348"/>
      <c r="AA282" s="348"/>
      <c r="AB282" s="348"/>
      <c r="AC282" s="348"/>
      <c r="AD282" s="348"/>
      <c r="AE282" s="348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</row>
    <row r="283" ht="12.75" customHeight="1">
      <c r="A283" s="161"/>
      <c r="B283" s="348"/>
      <c r="C283" s="348"/>
      <c r="D283" s="348"/>
      <c r="E283" s="348"/>
      <c r="F283" s="348"/>
      <c r="G283" s="348"/>
      <c r="H283" s="348"/>
      <c r="I283" s="348"/>
      <c r="J283" s="348"/>
      <c r="K283" s="348"/>
      <c r="L283" s="348"/>
      <c r="M283" s="348"/>
      <c r="N283" s="348"/>
      <c r="O283" s="348"/>
      <c r="P283" s="348"/>
      <c r="Q283" s="348"/>
      <c r="R283" s="348"/>
      <c r="S283" s="348"/>
      <c r="T283" s="348"/>
      <c r="U283" s="348"/>
      <c r="V283" s="348"/>
      <c r="W283" s="348"/>
      <c r="X283" s="348"/>
      <c r="Y283" s="348"/>
      <c r="Z283" s="348"/>
      <c r="AA283" s="348"/>
      <c r="AB283" s="348"/>
      <c r="AC283" s="348"/>
      <c r="AD283" s="348"/>
      <c r="AE283" s="348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</row>
    <row r="284" ht="12.75" customHeight="1">
      <c r="A284" s="161"/>
      <c r="B284" s="348"/>
      <c r="C284" s="348"/>
      <c r="D284" s="348"/>
      <c r="E284" s="348"/>
      <c r="F284" s="348"/>
      <c r="G284" s="348"/>
      <c r="H284" s="348"/>
      <c r="I284" s="348"/>
      <c r="J284" s="348"/>
      <c r="K284" s="348"/>
      <c r="L284" s="348"/>
      <c r="M284" s="348"/>
      <c r="N284" s="348"/>
      <c r="O284" s="348"/>
      <c r="P284" s="348"/>
      <c r="Q284" s="348"/>
      <c r="R284" s="348"/>
      <c r="S284" s="348"/>
      <c r="T284" s="348"/>
      <c r="U284" s="348"/>
      <c r="V284" s="348"/>
      <c r="W284" s="348"/>
      <c r="X284" s="348"/>
      <c r="Y284" s="348"/>
      <c r="Z284" s="348"/>
      <c r="AA284" s="348"/>
      <c r="AB284" s="348"/>
      <c r="AC284" s="348"/>
      <c r="AD284" s="348"/>
      <c r="AE284" s="348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</row>
    <row r="285" ht="12.75" customHeight="1">
      <c r="A285" s="161"/>
      <c r="B285" s="348"/>
      <c r="C285" s="348"/>
      <c r="D285" s="348"/>
      <c r="E285" s="348"/>
      <c r="F285" s="348"/>
      <c r="G285" s="348"/>
      <c r="H285" s="348"/>
      <c r="I285" s="348"/>
      <c r="J285" s="348"/>
      <c r="K285" s="348"/>
      <c r="L285" s="348"/>
      <c r="M285" s="348"/>
      <c r="N285" s="348"/>
      <c r="O285" s="348"/>
      <c r="P285" s="348"/>
      <c r="Q285" s="348"/>
      <c r="R285" s="348"/>
      <c r="S285" s="348"/>
      <c r="T285" s="348"/>
      <c r="U285" s="348"/>
      <c r="V285" s="348"/>
      <c r="W285" s="348"/>
      <c r="X285" s="348"/>
      <c r="Y285" s="348"/>
      <c r="Z285" s="348"/>
      <c r="AA285" s="348"/>
      <c r="AB285" s="348"/>
      <c r="AC285" s="348"/>
      <c r="AD285" s="348"/>
      <c r="AE285" s="348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</row>
    <row r="286" ht="12.75" customHeight="1">
      <c r="A286" s="161"/>
      <c r="B286" s="348"/>
      <c r="C286" s="348"/>
      <c r="D286" s="348"/>
      <c r="E286" s="348"/>
      <c r="F286" s="348"/>
      <c r="G286" s="348"/>
      <c r="H286" s="348"/>
      <c r="I286" s="348"/>
      <c r="J286" s="348"/>
      <c r="K286" s="348"/>
      <c r="L286" s="348"/>
      <c r="M286" s="348"/>
      <c r="N286" s="348"/>
      <c r="O286" s="348"/>
      <c r="P286" s="348"/>
      <c r="Q286" s="348"/>
      <c r="R286" s="348"/>
      <c r="S286" s="348"/>
      <c r="T286" s="348"/>
      <c r="U286" s="348"/>
      <c r="V286" s="348"/>
      <c r="W286" s="348"/>
      <c r="X286" s="348"/>
      <c r="Y286" s="348"/>
      <c r="Z286" s="348"/>
      <c r="AA286" s="348"/>
      <c r="AB286" s="348"/>
      <c r="AC286" s="348"/>
      <c r="AD286" s="348"/>
      <c r="AE286" s="348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</row>
    <row r="287" ht="12.75" customHeight="1">
      <c r="A287" s="161"/>
      <c r="B287" s="348"/>
      <c r="C287" s="348"/>
      <c r="D287" s="348"/>
      <c r="E287" s="348"/>
      <c r="F287" s="348"/>
      <c r="G287" s="348"/>
      <c r="H287" s="348"/>
      <c r="I287" s="348"/>
      <c r="J287" s="348"/>
      <c r="K287" s="348"/>
      <c r="L287" s="348"/>
      <c r="M287" s="348"/>
      <c r="N287" s="348"/>
      <c r="O287" s="348"/>
      <c r="P287" s="348"/>
      <c r="Q287" s="348"/>
      <c r="R287" s="348"/>
      <c r="S287" s="348"/>
      <c r="T287" s="348"/>
      <c r="U287" s="348"/>
      <c r="V287" s="348"/>
      <c r="W287" s="348"/>
      <c r="X287" s="348"/>
      <c r="Y287" s="348"/>
      <c r="Z287" s="348"/>
      <c r="AA287" s="348"/>
      <c r="AB287" s="348"/>
      <c r="AC287" s="348"/>
      <c r="AD287" s="348"/>
      <c r="AE287" s="348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</row>
    <row r="288" ht="12.75" customHeight="1">
      <c r="A288" s="161"/>
      <c r="B288" s="348"/>
      <c r="C288" s="348"/>
      <c r="D288" s="348"/>
      <c r="E288" s="348"/>
      <c r="F288" s="348"/>
      <c r="G288" s="348"/>
      <c r="H288" s="348"/>
      <c r="I288" s="348"/>
      <c r="J288" s="348"/>
      <c r="K288" s="348"/>
      <c r="L288" s="348"/>
      <c r="M288" s="348"/>
      <c r="N288" s="348"/>
      <c r="O288" s="348"/>
      <c r="P288" s="348"/>
      <c r="Q288" s="348"/>
      <c r="R288" s="348"/>
      <c r="S288" s="348"/>
      <c r="T288" s="348"/>
      <c r="U288" s="348"/>
      <c r="V288" s="348"/>
      <c r="W288" s="348"/>
      <c r="X288" s="348"/>
      <c r="Y288" s="348"/>
      <c r="Z288" s="348"/>
      <c r="AA288" s="348"/>
      <c r="AB288" s="348"/>
      <c r="AC288" s="348"/>
      <c r="AD288" s="348"/>
      <c r="AE288" s="348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</row>
    <row r="289" ht="12.75" customHeight="1">
      <c r="A289" s="161"/>
      <c r="B289" s="348"/>
      <c r="C289" s="348"/>
      <c r="D289" s="348"/>
      <c r="E289" s="348"/>
      <c r="F289" s="348"/>
      <c r="G289" s="348"/>
      <c r="H289" s="348"/>
      <c r="I289" s="348"/>
      <c r="J289" s="348"/>
      <c r="K289" s="348"/>
      <c r="L289" s="348"/>
      <c r="M289" s="348"/>
      <c r="N289" s="348"/>
      <c r="O289" s="348"/>
      <c r="P289" s="348"/>
      <c r="Q289" s="348"/>
      <c r="R289" s="348"/>
      <c r="S289" s="348"/>
      <c r="T289" s="348"/>
      <c r="U289" s="348"/>
      <c r="V289" s="348"/>
      <c r="W289" s="348"/>
      <c r="X289" s="348"/>
      <c r="Y289" s="348"/>
      <c r="Z289" s="348"/>
      <c r="AA289" s="348"/>
      <c r="AB289" s="348"/>
      <c r="AC289" s="348"/>
      <c r="AD289" s="348"/>
      <c r="AE289" s="348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</row>
    <row r="290" ht="12.75" customHeight="1">
      <c r="A290" s="161"/>
      <c r="B290" s="348"/>
      <c r="C290" s="348"/>
      <c r="D290" s="348"/>
      <c r="E290" s="348"/>
      <c r="F290" s="348"/>
      <c r="G290" s="348"/>
      <c r="H290" s="348"/>
      <c r="I290" s="348"/>
      <c r="J290" s="348"/>
      <c r="K290" s="348"/>
      <c r="L290" s="348"/>
      <c r="M290" s="348"/>
      <c r="N290" s="348"/>
      <c r="O290" s="348"/>
      <c r="P290" s="348"/>
      <c r="Q290" s="348"/>
      <c r="R290" s="348"/>
      <c r="S290" s="348"/>
      <c r="T290" s="348"/>
      <c r="U290" s="348"/>
      <c r="V290" s="348"/>
      <c r="W290" s="348"/>
      <c r="X290" s="348"/>
      <c r="Y290" s="348"/>
      <c r="Z290" s="348"/>
      <c r="AA290" s="348"/>
      <c r="AB290" s="348"/>
      <c r="AC290" s="348"/>
      <c r="AD290" s="348"/>
      <c r="AE290" s="348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</row>
    <row r="291" ht="12.75" customHeight="1">
      <c r="A291" s="161"/>
      <c r="B291" s="348"/>
      <c r="C291" s="348"/>
      <c r="D291" s="348"/>
      <c r="E291" s="348"/>
      <c r="F291" s="348"/>
      <c r="G291" s="348"/>
      <c r="H291" s="348"/>
      <c r="I291" s="348"/>
      <c r="J291" s="348"/>
      <c r="K291" s="348"/>
      <c r="L291" s="348"/>
      <c r="M291" s="348"/>
      <c r="N291" s="348"/>
      <c r="O291" s="348"/>
      <c r="P291" s="348"/>
      <c r="Q291" s="348"/>
      <c r="R291" s="348"/>
      <c r="S291" s="348"/>
      <c r="T291" s="348"/>
      <c r="U291" s="348"/>
      <c r="V291" s="348"/>
      <c r="W291" s="348"/>
      <c r="X291" s="348"/>
      <c r="Y291" s="348"/>
      <c r="Z291" s="348"/>
      <c r="AA291" s="348"/>
      <c r="AB291" s="348"/>
      <c r="AC291" s="348"/>
      <c r="AD291" s="348"/>
      <c r="AE291" s="348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</row>
    <row r="292" ht="12.75" customHeight="1">
      <c r="A292" s="161"/>
      <c r="B292" s="348"/>
      <c r="C292" s="348"/>
      <c r="D292" s="348"/>
      <c r="E292" s="348"/>
      <c r="F292" s="348"/>
      <c r="G292" s="348"/>
      <c r="H292" s="348"/>
      <c r="I292" s="348"/>
      <c r="J292" s="348"/>
      <c r="K292" s="348"/>
      <c r="L292" s="348"/>
      <c r="M292" s="348"/>
      <c r="N292" s="348"/>
      <c r="O292" s="348"/>
      <c r="P292" s="348"/>
      <c r="Q292" s="348"/>
      <c r="R292" s="348"/>
      <c r="S292" s="348"/>
      <c r="T292" s="348"/>
      <c r="U292" s="348"/>
      <c r="V292" s="348"/>
      <c r="W292" s="348"/>
      <c r="X292" s="348"/>
      <c r="Y292" s="348"/>
      <c r="Z292" s="348"/>
      <c r="AA292" s="348"/>
      <c r="AB292" s="348"/>
      <c r="AC292" s="348"/>
      <c r="AD292" s="348"/>
      <c r="AE292" s="348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</row>
    <row r="293" ht="12.75" customHeight="1">
      <c r="A293" s="161"/>
      <c r="B293" s="348"/>
      <c r="C293" s="348"/>
      <c r="D293" s="348"/>
      <c r="E293" s="348"/>
      <c r="F293" s="348"/>
      <c r="G293" s="348"/>
      <c r="H293" s="348"/>
      <c r="I293" s="348"/>
      <c r="J293" s="348"/>
      <c r="K293" s="348"/>
      <c r="L293" s="348"/>
      <c r="M293" s="348"/>
      <c r="N293" s="348"/>
      <c r="O293" s="348"/>
      <c r="P293" s="348"/>
      <c r="Q293" s="348"/>
      <c r="R293" s="348"/>
      <c r="S293" s="348"/>
      <c r="T293" s="348"/>
      <c r="U293" s="348"/>
      <c r="V293" s="348"/>
      <c r="W293" s="348"/>
      <c r="X293" s="348"/>
      <c r="Y293" s="348"/>
      <c r="Z293" s="348"/>
      <c r="AA293" s="348"/>
      <c r="AB293" s="348"/>
      <c r="AC293" s="348"/>
      <c r="AD293" s="348"/>
      <c r="AE293" s="348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</row>
    <row r="294" ht="12.75" customHeight="1">
      <c r="A294" s="161"/>
      <c r="B294" s="348"/>
      <c r="C294" s="348"/>
      <c r="D294" s="348"/>
      <c r="E294" s="348"/>
      <c r="F294" s="348"/>
      <c r="G294" s="348"/>
      <c r="H294" s="348"/>
      <c r="I294" s="348"/>
      <c r="J294" s="348"/>
      <c r="K294" s="348"/>
      <c r="L294" s="348"/>
      <c r="M294" s="348"/>
      <c r="N294" s="348"/>
      <c r="O294" s="348"/>
      <c r="P294" s="348"/>
      <c r="Q294" s="348"/>
      <c r="R294" s="348"/>
      <c r="S294" s="348"/>
      <c r="T294" s="348"/>
      <c r="U294" s="348"/>
      <c r="V294" s="348"/>
      <c r="W294" s="348"/>
      <c r="X294" s="348"/>
      <c r="Y294" s="348"/>
      <c r="Z294" s="348"/>
      <c r="AA294" s="348"/>
      <c r="AB294" s="348"/>
      <c r="AC294" s="348"/>
      <c r="AD294" s="348"/>
      <c r="AE294" s="348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</row>
    <row r="295" ht="12.75" customHeight="1">
      <c r="A295" s="161"/>
      <c r="B295" s="348"/>
      <c r="C295" s="348"/>
      <c r="D295" s="348"/>
      <c r="E295" s="348"/>
      <c r="F295" s="348"/>
      <c r="G295" s="348"/>
      <c r="H295" s="348"/>
      <c r="I295" s="348"/>
      <c r="J295" s="348"/>
      <c r="K295" s="348"/>
      <c r="L295" s="348"/>
      <c r="M295" s="348"/>
      <c r="N295" s="348"/>
      <c r="O295" s="348"/>
      <c r="P295" s="348"/>
      <c r="Q295" s="348"/>
      <c r="R295" s="348"/>
      <c r="S295" s="348"/>
      <c r="T295" s="348"/>
      <c r="U295" s="348"/>
      <c r="V295" s="348"/>
      <c r="W295" s="348"/>
      <c r="X295" s="348"/>
      <c r="Y295" s="348"/>
      <c r="Z295" s="348"/>
      <c r="AA295" s="348"/>
      <c r="AB295" s="348"/>
      <c r="AC295" s="348"/>
      <c r="AD295" s="348"/>
      <c r="AE295" s="348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</row>
    <row r="296" ht="12.75" customHeight="1">
      <c r="A296" s="161"/>
      <c r="B296" s="348"/>
      <c r="C296" s="348"/>
      <c r="D296" s="348"/>
      <c r="E296" s="348"/>
      <c r="F296" s="348"/>
      <c r="G296" s="348"/>
      <c r="H296" s="348"/>
      <c r="I296" s="348"/>
      <c r="J296" s="348"/>
      <c r="K296" s="348"/>
      <c r="L296" s="348"/>
      <c r="M296" s="348"/>
      <c r="N296" s="348"/>
      <c r="O296" s="348"/>
      <c r="P296" s="348"/>
      <c r="Q296" s="348"/>
      <c r="R296" s="348"/>
      <c r="S296" s="348"/>
      <c r="T296" s="348"/>
      <c r="U296" s="348"/>
      <c r="V296" s="348"/>
      <c r="W296" s="348"/>
      <c r="X296" s="348"/>
      <c r="Y296" s="348"/>
      <c r="Z296" s="348"/>
      <c r="AA296" s="348"/>
      <c r="AB296" s="348"/>
      <c r="AC296" s="348"/>
      <c r="AD296" s="348"/>
      <c r="AE296" s="348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</row>
    <row r="297" ht="12.75" customHeight="1">
      <c r="A297" s="161"/>
      <c r="B297" s="348"/>
      <c r="C297" s="348"/>
      <c r="D297" s="348"/>
      <c r="E297" s="348"/>
      <c r="F297" s="348"/>
      <c r="G297" s="348"/>
      <c r="H297" s="348"/>
      <c r="I297" s="348"/>
      <c r="J297" s="348"/>
      <c r="K297" s="348"/>
      <c r="L297" s="348"/>
      <c r="M297" s="348"/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  <c r="AA297" s="348"/>
      <c r="AB297" s="348"/>
      <c r="AC297" s="348"/>
      <c r="AD297" s="348"/>
      <c r="AE297" s="348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</row>
    <row r="298" ht="12.75" customHeight="1">
      <c r="A298" s="161"/>
      <c r="B298" s="348"/>
      <c r="C298" s="348"/>
      <c r="D298" s="348"/>
      <c r="E298" s="348"/>
      <c r="F298" s="348"/>
      <c r="G298" s="348"/>
      <c r="H298" s="348"/>
      <c r="I298" s="348"/>
      <c r="J298" s="348"/>
      <c r="K298" s="348"/>
      <c r="L298" s="348"/>
      <c r="M298" s="348"/>
      <c r="N298" s="348"/>
      <c r="O298" s="348"/>
      <c r="P298" s="348"/>
      <c r="Q298" s="348"/>
      <c r="R298" s="348"/>
      <c r="S298" s="348"/>
      <c r="T298" s="348"/>
      <c r="U298" s="348"/>
      <c r="V298" s="348"/>
      <c r="W298" s="348"/>
      <c r="X298" s="348"/>
      <c r="Y298" s="348"/>
      <c r="Z298" s="348"/>
      <c r="AA298" s="348"/>
      <c r="AB298" s="348"/>
      <c r="AC298" s="348"/>
      <c r="AD298" s="348"/>
      <c r="AE298" s="348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</row>
    <row r="299" ht="12.75" customHeight="1">
      <c r="A299" s="161"/>
      <c r="B299" s="348"/>
      <c r="C299" s="348"/>
      <c r="D299" s="348"/>
      <c r="E299" s="348"/>
      <c r="F299" s="348"/>
      <c r="G299" s="348"/>
      <c r="H299" s="348"/>
      <c r="I299" s="348"/>
      <c r="J299" s="348"/>
      <c r="K299" s="348"/>
      <c r="L299" s="348"/>
      <c r="M299" s="348"/>
      <c r="N299" s="348"/>
      <c r="O299" s="348"/>
      <c r="P299" s="348"/>
      <c r="Q299" s="348"/>
      <c r="R299" s="348"/>
      <c r="S299" s="348"/>
      <c r="T299" s="348"/>
      <c r="U299" s="348"/>
      <c r="V299" s="348"/>
      <c r="W299" s="348"/>
      <c r="X299" s="348"/>
      <c r="Y299" s="348"/>
      <c r="Z299" s="348"/>
      <c r="AA299" s="348"/>
      <c r="AB299" s="348"/>
      <c r="AC299" s="348"/>
      <c r="AD299" s="348"/>
      <c r="AE299" s="348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</row>
    <row r="300" ht="12.75" customHeight="1">
      <c r="A300" s="161"/>
      <c r="B300" s="348"/>
      <c r="C300" s="348"/>
      <c r="D300" s="348"/>
      <c r="E300" s="348"/>
      <c r="F300" s="348"/>
      <c r="G300" s="348"/>
      <c r="H300" s="348"/>
      <c r="I300" s="348"/>
      <c r="J300" s="348"/>
      <c r="K300" s="348"/>
      <c r="L300" s="348"/>
      <c r="M300" s="348"/>
      <c r="N300" s="348"/>
      <c r="O300" s="348"/>
      <c r="P300" s="348"/>
      <c r="Q300" s="348"/>
      <c r="R300" s="348"/>
      <c r="S300" s="348"/>
      <c r="T300" s="348"/>
      <c r="U300" s="348"/>
      <c r="V300" s="348"/>
      <c r="W300" s="348"/>
      <c r="X300" s="348"/>
      <c r="Y300" s="348"/>
      <c r="Z300" s="348"/>
      <c r="AA300" s="348"/>
      <c r="AB300" s="348"/>
      <c r="AC300" s="348"/>
      <c r="AD300" s="348"/>
      <c r="AE300" s="348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</row>
    <row r="301" ht="12.75" customHeight="1">
      <c r="A301" s="161"/>
      <c r="B301" s="348"/>
      <c r="C301" s="348"/>
      <c r="D301" s="348"/>
      <c r="E301" s="348"/>
      <c r="F301" s="348"/>
      <c r="G301" s="348"/>
      <c r="H301" s="348"/>
      <c r="I301" s="348"/>
      <c r="J301" s="348"/>
      <c r="K301" s="348"/>
      <c r="L301" s="348"/>
      <c r="M301" s="348"/>
      <c r="N301" s="348"/>
      <c r="O301" s="348"/>
      <c r="P301" s="348"/>
      <c r="Q301" s="348"/>
      <c r="R301" s="348"/>
      <c r="S301" s="348"/>
      <c r="T301" s="348"/>
      <c r="U301" s="348"/>
      <c r="V301" s="348"/>
      <c r="W301" s="348"/>
      <c r="X301" s="348"/>
      <c r="Y301" s="348"/>
      <c r="Z301" s="348"/>
      <c r="AA301" s="348"/>
      <c r="AB301" s="348"/>
      <c r="AC301" s="348"/>
      <c r="AD301" s="348"/>
      <c r="AE301" s="348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</row>
    <row r="302" ht="12.75" customHeight="1">
      <c r="A302" s="161"/>
      <c r="B302" s="348"/>
      <c r="C302" s="348"/>
      <c r="D302" s="348"/>
      <c r="E302" s="348"/>
      <c r="F302" s="348"/>
      <c r="G302" s="348"/>
      <c r="H302" s="348"/>
      <c r="I302" s="348"/>
      <c r="J302" s="348"/>
      <c r="K302" s="348"/>
      <c r="L302" s="348"/>
      <c r="M302" s="348"/>
      <c r="N302" s="348"/>
      <c r="O302" s="348"/>
      <c r="P302" s="348"/>
      <c r="Q302" s="348"/>
      <c r="R302" s="348"/>
      <c r="S302" s="348"/>
      <c r="T302" s="348"/>
      <c r="U302" s="348"/>
      <c r="V302" s="348"/>
      <c r="W302" s="348"/>
      <c r="X302" s="348"/>
      <c r="Y302" s="348"/>
      <c r="Z302" s="348"/>
      <c r="AA302" s="348"/>
      <c r="AB302" s="348"/>
      <c r="AC302" s="348"/>
      <c r="AD302" s="348"/>
      <c r="AE302" s="348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</row>
    <row r="303" ht="12.75" customHeight="1">
      <c r="A303" s="161"/>
      <c r="B303" s="348"/>
      <c r="C303" s="348"/>
      <c r="D303" s="348"/>
      <c r="E303" s="348"/>
      <c r="F303" s="348"/>
      <c r="G303" s="348"/>
      <c r="H303" s="348"/>
      <c r="I303" s="348"/>
      <c r="J303" s="348"/>
      <c r="K303" s="348"/>
      <c r="L303" s="348"/>
      <c r="M303" s="348"/>
      <c r="N303" s="348"/>
      <c r="O303" s="348"/>
      <c r="P303" s="348"/>
      <c r="Q303" s="348"/>
      <c r="R303" s="348"/>
      <c r="S303" s="348"/>
      <c r="T303" s="348"/>
      <c r="U303" s="348"/>
      <c r="V303" s="348"/>
      <c r="W303" s="348"/>
      <c r="X303" s="348"/>
      <c r="Y303" s="348"/>
      <c r="Z303" s="348"/>
      <c r="AA303" s="348"/>
      <c r="AB303" s="348"/>
      <c r="AC303" s="348"/>
      <c r="AD303" s="348"/>
      <c r="AE303" s="348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</row>
    <row r="304" ht="12.75" customHeight="1">
      <c r="A304" s="161"/>
      <c r="B304" s="348"/>
      <c r="C304" s="348"/>
      <c r="D304" s="348"/>
      <c r="E304" s="348"/>
      <c r="F304" s="348"/>
      <c r="G304" s="348"/>
      <c r="H304" s="348"/>
      <c r="I304" s="348"/>
      <c r="J304" s="348"/>
      <c r="K304" s="348"/>
      <c r="L304" s="348"/>
      <c r="M304" s="348"/>
      <c r="N304" s="348"/>
      <c r="O304" s="348"/>
      <c r="P304" s="348"/>
      <c r="Q304" s="348"/>
      <c r="R304" s="348"/>
      <c r="S304" s="348"/>
      <c r="T304" s="348"/>
      <c r="U304" s="348"/>
      <c r="V304" s="348"/>
      <c r="W304" s="348"/>
      <c r="X304" s="348"/>
      <c r="Y304" s="348"/>
      <c r="Z304" s="348"/>
      <c r="AA304" s="348"/>
      <c r="AB304" s="348"/>
      <c r="AC304" s="348"/>
      <c r="AD304" s="348"/>
      <c r="AE304" s="348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</row>
    <row r="305" ht="12.75" customHeight="1">
      <c r="A305" s="161"/>
      <c r="B305" s="348"/>
      <c r="C305" s="348"/>
      <c r="D305" s="348"/>
      <c r="E305" s="348"/>
      <c r="F305" s="348"/>
      <c r="G305" s="348"/>
      <c r="H305" s="348"/>
      <c r="I305" s="348"/>
      <c r="J305" s="348"/>
      <c r="K305" s="348"/>
      <c r="L305" s="348"/>
      <c r="M305" s="348"/>
      <c r="N305" s="348"/>
      <c r="O305" s="348"/>
      <c r="P305" s="348"/>
      <c r="Q305" s="348"/>
      <c r="R305" s="348"/>
      <c r="S305" s="348"/>
      <c r="T305" s="348"/>
      <c r="U305" s="348"/>
      <c r="V305" s="348"/>
      <c r="W305" s="348"/>
      <c r="X305" s="348"/>
      <c r="Y305" s="348"/>
      <c r="Z305" s="348"/>
      <c r="AA305" s="348"/>
      <c r="AB305" s="348"/>
      <c r="AC305" s="348"/>
      <c r="AD305" s="348"/>
      <c r="AE305" s="348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</row>
    <row r="306" ht="12.75" customHeight="1">
      <c r="A306" s="161"/>
      <c r="B306" s="348"/>
      <c r="C306" s="348"/>
      <c r="D306" s="348"/>
      <c r="E306" s="348"/>
      <c r="F306" s="348"/>
      <c r="G306" s="348"/>
      <c r="H306" s="348"/>
      <c r="I306" s="348"/>
      <c r="J306" s="348"/>
      <c r="K306" s="348"/>
      <c r="L306" s="348"/>
      <c r="M306" s="348"/>
      <c r="N306" s="348"/>
      <c r="O306" s="348"/>
      <c r="P306" s="348"/>
      <c r="Q306" s="348"/>
      <c r="R306" s="348"/>
      <c r="S306" s="348"/>
      <c r="T306" s="348"/>
      <c r="U306" s="348"/>
      <c r="V306" s="348"/>
      <c r="W306" s="348"/>
      <c r="X306" s="348"/>
      <c r="Y306" s="348"/>
      <c r="Z306" s="348"/>
      <c r="AA306" s="348"/>
      <c r="AB306" s="348"/>
      <c r="AC306" s="348"/>
      <c r="AD306" s="348"/>
      <c r="AE306" s="348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</row>
    <row r="307" ht="12.75" customHeight="1">
      <c r="A307" s="161"/>
      <c r="B307" s="348"/>
      <c r="C307" s="348"/>
      <c r="D307" s="348"/>
      <c r="E307" s="348"/>
      <c r="F307" s="348"/>
      <c r="G307" s="348"/>
      <c r="H307" s="348"/>
      <c r="I307" s="348"/>
      <c r="J307" s="348"/>
      <c r="K307" s="348"/>
      <c r="L307" s="348"/>
      <c r="M307" s="348"/>
      <c r="N307" s="348"/>
      <c r="O307" s="348"/>
      <c r="P307" s="348"/>
      <c r="Q307" s="348"/>
      <c r="R307" s="348"/>
      <c r="S307" s="348"/>
      <c r="T307" s="348"/>
      <c r="U307" s="348"/>
      <c r="V307" s="348"/>
      <c r="W307" s="348"/>
      <c r="X307" s="348"/>
      <c r="Y307" s="348"/>
      <c r="Z307" s="348"/>
      <c r="AA307" s="348"/>
      <c r="AB307" s="348"/>
      <c r="AC307" s="348"/>
      <c r="AD307" s="348"/>
      <c r="AE307" s="348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</row>
    <row r="308" ht="12.75" customHeight="1">
      <c r="A308" s="161"/>
      <c r="B308" s="348"/>
      <c r="C308" s="348"/>
      <c r="D308" s="348"/>
      <c r="E308" s="348"/>
      <c r="F308" s="348"/>
      <c r="G308" s="348"/>
      <c r="H308" s="348"/>
      <c r="I308" s="348"/>
      <c r="J308" s="348"/>
      <c r="K308" s="348"/>
      <c r="L308" s="348"/>
      <c r="M308" s="348"/>
      <c r="N308" s="348"/>
      <c r="O308" s="348"/>
      <c r="P308" s="348"/>
      <c r="Q308" s="348"/>
      <c r="R308" s="348"/>
      <c r="S308" s="348"/>
      <c r="T308" s="348"/>
      <c r="U308" s="348"/>
      <c r="V308" s="348"/>
      <c r="W308" s="348"/>
      <c r="X308" s="348"/>
      <c r="Y308" s="348"/>
      <c r="Z308" s="348"/>
      <c r="AA308" s="348"/>
      <c r="AB308" s="348"/>
      <c r="AC308" s="348"/>
      <c r="AD308" s="348"/>
      <c r="AE308" s="348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</row>
    <row r="309" ht="12.75" customHeight="1">
      <c r="A309" s="161"/>
      <c r="B309" s="348"/>
      <c r="C309" s="348"/>
      <c r="D309" s="348"/>
      <c r="E309" s="348"/>
      <c r="F309" s="348"/>
      <c r="G309" s="348"/>
      <c r="H309" s="348"/>
      <c r="I309" s="348"/>
      <c r="J309" s="348"/>
      <c r="K309" s="348"/>
      <c r="L309" s="348"/>
      <c r="M309" s="348"/>
      <c r="N309" s="348"/>
      <c r="O309" s="348"/>
      <c r="P309" s="348"/>
      <c r="Q309" s="348"/>
      <c r="R309" s="348"/>
      <c r="S309" s="348"/>
      <c r="T309" s="348"/>
      <c r="U309" s="348"/>
      <c r="V309" s="348"/>
      <c r="W309" s="348"/>
      <c r="X309" s="348"/>
      <c r="Y309" s="348"/>
      <c r="Z309" s="348"/>
      <c r="AA309" s="348"/>
      <c r="AB309" s="348"/>
      <c r="AC309" s="348"/>
      <c r="AD309" s="348"/>
      <c r="AE309" s="348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</row>
    <row r="310" ht="12.75" customHeight="1">
      <c r="A310" s="161"/>
      <c r="B310" s="348"/>
      <c r="C310" s="348"/>
      <c r="D310" s="348"/>
      <c r="E310" s="348"/>
      <c r="F310" s="348"/>
      <c r="G310" s="348"/>
      <c r="H310" s="348"/>
      <c r="I310" s="348"/>
      <c r="J310" s="348"/>
      <c r="K310" s="348"/>
      <c r="L310" s="348"/>
      <c r="M310" s="348"/>
      <c r="N310" s="348"/>
      <c r="O310" s="348"/>
      <c r="P310" s="348"/>
      <c r="Q310" s="348"/>
      <c r="R310" s="348"/>
      <c r="S310" s="348"/>
      <c r="T310" s="348"/>
      <c r="U310" s="348"/>
      <c r="V310" s="348"/>
      <c r="W310" s="348"/>
      <c r="X310" s="348"/>
      <c r="Y310" s="348"/>
      <c r="Z310" s="348"/>
      <c r="AA310" s="348"/>
      <c r="AB310" s="348"/>
      <c r="AC310" s="348"/>
      <c r="AD310" s="348"/>
      <c r="AE310" s="348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</row>
    <row r="311" ht="12.75" customHeight="1">
      <c r="A311" s="161"/>
      <c r="B311" s="348"/>
      <c r="C311" s="348"/>
      <c r="D311" s="348"/>
      <c r="E311" s="348"/>
      <c r="F311" s="348"/>
      <c r="G311" s="348"/>
      <c r="H311" s="348"/>
      <c r="I311" s="348"/>
      <c r="J311" s="348"/>
      <c r="K311" s="348"/>
      <c r="L311" s="348"/>
      <c r="M311" s="348"/>
      <c r="N311" s="348"/>
      <c r="O311" s="348"/>
      <c r="P311" s="348"/>
      <c r="Q311" s="348"/>
      <c r="R311" s="348"/>
      <c r="S311" s="348"/>
      <c r="T311" s="348"/>
      <c r="U311" s="348"/>
      <c r="V311" s="348"/>
      <c r="W311" s="348"/>
      <c r="X311" s="348"/>
      <c r="Y311" s="348"/>
      <c r="Z311" s="348"/>
      <c r="AA311" s="348"/>
      <c r="AB311" s="348"/>
      <c r="AC311" s="348"/>
      <c r="AD311" s="348"/>
      <c r="AE311" s="348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</row>
    <row r="312" ht="12.75" customHeight="1">
      <c r="A312" s="161"/>
      <c r="B312" s="348"/>
      <c r="C312" s="348"/>
      <c r="D312" s="348"/>
      <c r="E312" s="348"/>
      <c r="F312" s="348"/>
      <c r="G312" s="348"/>
      <c r="H312" s="348"/>
      <c r="I312" s="348"/>
      <c r="J312" s="348"/>
      <c r="K312" s="348"/>
      <c r="L312" s="348"/>
      <c r="M312" s="348"/>
      <c r="N312" s="348"/>
      <c r="O312" s="348"/>
      <c r="P312" s="348"/>
      <c r="Q312" s="348"/>
      <c r="R312" s="348"/>
      <c r="S312" s="348"/>
      <c r="T312" s="348"/>
      <c r="U312" s="348"/>
      <c r="V312" s="348"/>
      <c r="W312" s="348"/>
      <c r="X312" s="348"/>
      <c r="Y312" s="348"/>
      <c r="Z312" s="348"/>
      <c r="AA312" s="348"/>
      <c r="AB312" s="348"/>
      <c r="AC312" s="348"/>
      <c r="AD312" s="348"/>
      <c r="AE312" s="348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2">
    <mergeCell ref="D4:P4"/>
    <mergeCell ref="Q4:AC4"/>
  </mergeCells>
  <conditionalFormatting sqref="P51:AA51 AC51">
    <cfRule type="cellIs" dxfId="0" priority="1" operator="notBetween">
      <formula>-0.001</formula>
      <formula>0.001</formula>
    </cfRule>
  </conditionalFormatting>
  <conditionalFormatting sqref="P96:AA96 AC96">
    <cfRule type="cellIs" dxfId="0" priority="2" operator="notBetween">
      <formula>-0.001</formula>
      <formula>0.001</formula>
    </cfRule>
  </conditionalFormatting>
  <conditionalFormatting sqref="P110:AC110">
    <cfRule type="cellIs" dxfId="0" priority="3" operator="notBetween">
      <formula>-0.001</formula>
      <formula>0.001</formula>
    </cfRule>
  </conditionalFormatting>
  <conditionalFormatting sqref="P112:AE112">
    <cfRule type="cellIs" dxfId="0" priority="4" operator="notEqual">
      <formula>0</formula>
    </cfRule>
  </conditionalFormatting>
  <printOptions/>
  <pageMargins bottom="0.984251969" footer="0.0" header="0.0" left="0.787401575" right="0.787401575" top="0.984251969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 outlineLevelRow="1"/>
  <cols>
    <col customWidth="1" min="1" max="1" width="3.88"/>
    <col customWidth="1" min="2" max="2" width="55.38"/>
    <col customWidth="1" min="3" max="3" width="13.88"/>
    <col customWidth="1" min="4" max="15" width="9.75" outlineLevel="1"/>
    <col customWidth="1" min="16" max="16" width="12.88"/>
    <col customWidth="1" min="17" max="28" width="8.88" outlineLevel="1"/>
    <col customWidth="1" min="29" max="31" width="12.88"/>
    <col customWidth="1" min="32" max="32" width="12.13"/>
    <col customWidth="1" min="33" max="47" width="10.88"/>
  </cols>
  <sheetData>
    <row r="1" ht="6.75" customHeight="1">
      <c r="A1" s="161"/>
      <c r="B1" s="162"/>
      <c r="C1" s="350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2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351"/>
      <c r="AD1" s="351"/>
      <c r="AE1" s="351"/>
      <c r="AF1" s="352"/>
      <c r="AG1" s="161"/>
      <c r="AH1" s="161"/>
      <c r="AI1" s="353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</row>
    <row r="2" ht="24.75" customHeight="1">
      <c r="A2" s="164"/>
      <c r="B2" s="354" t="s">
        <v>257</v>
      </c>
      <c r="C2" s="355"/>
      <c r="D2" s="166"/>
      <c r="E2" s="166"/>
      <c r="F2" s="165"/>
      <c r="G2" s="356"/>
      <c r="H2" s="356"/>
      <c r="I2" s="356"/>
      <c r="J2" s="356"/>
      <c r="K2" s="356"/>
      <c r="L2" s="356"/>
      <c r="M2" s="356"/>
      <c r="N2" s="356"/>
      <c r="O2" s="356"/>
      <c r="P2" s="357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357"/>
      <c r="AD2" s="357"/>
      <c r="AE2" s="357"/>
      <c r="AF2" s="358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</row>
    <row r="3" ht="6.75" customHeight="1">
      <c r="A3" s="168"/>
      <c r="B3" s="169"/>
      <c r="C3" s="359"/>
      <c r="D3" s="169"/>
      <c r="E3" s="169"/>
      <c r="F3" s="169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360"/>
      <c r="AF3" s="169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</row>
    <row r="4" ht="24.75" customHeight="1">
      <c r="A4" s="171"/>
      <c r="B4" s="172"/>
      <c r="C4" s="173"/>
      <c r="D4" s="174">
        <f>YEAR(date_début)</f>
        <v>2025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74">
        <f>YEAR(EDATE(date_début,12))</f>
        <v>2026</v>
      </c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1"/>
      <c r="AD4" s="175">
        <f>YEAR(EDATE(date_début,24))</f>
        <v>2027</v>
      </c>
      <c r="AE4" s="175">
        <f>YEAR(EDATE(date_début,36))</f>
        <v>2028</v>
      </c>
      <c r="AF4" s="361"/>
      <c r="AG4" s="362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</row>
    <row r="5" ht="12.75" customHeight="1">
      <c r="A5" s="171"/>
      <c r="B5" s="177"/>
      <c r="C5" s="179"/>
      <c r="D5" s="363" t="s">
        <v>187</v>
      </c>
      <c r="E5" s="363" t="s">
        <v>188</v>
      </c>
      <c r="F5" s="363" t="s">
        <v>189</v>
      </c>
      <c r="G5" s="363" t="s">
        <v>190</v>
      </c>
      <c r="H5" s="363" t="s">
        <v>191</v>
      </c>
      <c r="I5" s="363" t="s">
        <v>192</v>
      </c>
      <c r="J5" s="363" t="s">
        <v>193</v>
      </c>
      <c r="K5" s="363" t="s">
        <v>194</v>
      </c>
      <c r="L5" s="363" t="s">
        <v>195</v>
      </c>
      <c r="M5" s="363" t="s">
        <v>196</v>
      </c>
      <c r="N5" s="363" t="s">
        <v>197</v>
      </c>
      <c r="O5" s="363" t="s">
        <v>198</v>
      </c>
      <c r="P5" s="364"/>
      <c r="Q5" s="363" t="s">
        <v>187</v>
      </c>
      <c r="R5" s="363" t="s">
        <v>188</v>
      </c>
      <c r="S5" s="363" t="s">
        <v>189</v>
      </c>
      <c r="T5" s="363" t="s">
        <v>190</v>
      </c>
      <c r="U5" s="363" t="s">
        <v>191</v>
      </c>
      <c r="V5" s="363" t="s">
        <v>192</v>
      </c>
      <c r="W5" s="363" t="s">
        <v>193</v>
      </c>
      <c r="X5" s="363" t="s">
        <v>194</v>
      </c>
      <c r="Y5" s="363" t="s">
        <v>195</v>
      </c>
      <c r="Z5" s="363" t="s">
        <v>196</v>
      </c>
      <c r="AA5" s="363" t="s">
        <v>197</v>
      </c>
      <c r="AB5" s="363" t="s">
        <v>198</v>
      </c>
      <c r="AC5" s="364"/>
      <c r="AD5" s="171"/>
      <c r="AE5" s="171"/>
      <c r="AF5" s="177"/>
      <c r="AG5" s="362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</row>
    <row r="6" ht="16.5" customHeight="1">
      <c r="A6" s="365"/>
      <c r="B6" s="366"/>
      <c r="C6" s="367" t="s">
        <v>258</v>
      </c>
      <c r="D6" s="368"/>
      <c r="Q6" s="368"/>
      <c r="AD6" s="369"/>
      <c r="AE6" s="369"/>
      <c r="AF6" s="366"/>
      <c r="AG6" s="365"/>
      <c r="AH6" s="370"/>
      <c r="AI6" s="370"/>
      <c r="AJ6" s="370"/>
      <c r="AK6" s="370"/>
      <c r="AL6" s="370"/>
      <c r="AM6" s="371"/>
      <c r="AN6" s="365"/>
      <c r="AO6" s="365"/>
      <c r="AP6" s="365"/>
      <c r="AQ6" s="365"/>
      <c r="AR6" s="365"/>
      <c r="AS6" s="365"/>
      <c r="AT6" s="365"/>
      <c r="AU6" s="365"/>
    </row>
    <row r="7" ht="24.75" customHeight="1">
      <c r="A7" s="180"/>
      <c r="B7" s="181" t="s">
        <v>259</v>
      </c>
      <c r="C7" s="372" t="s">
        <v>260</v>
      </c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4"/>
      <c r="R7" s="374"/>
      <c r="S7" s="374"/>
      <c r="T7" s="374"/>
      <c r="U7" s="374"/>
      <c r="V7" s="374"/>
      <c r="W7" s="374"/>
      <c r="X7" s="374"/>
      <c r="Y7" s="374"/>
      <c r="Z7" s="374"/>
      <c r="AA7" s="374"/>
      <c r="AB7" s="373"/>
      <c r="AC7" s="373"/>
      <c r="AD7" s="373"/>
      <c r="AE7" s="373"/>
      <c r="AF7" s="375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</row>
    <row r="8" ht="15.0" customHeight="1" outlineLevel="1">
      <c r="A8" s="308"/>
      <c r="B8" s="376" t="s">
        <v>261</v>
      </c>
      <c r="C8" s="377">
        <v>25000.0</v>
      </c>
      <c r="D8" s="226">
        <v>1.0</v>
      </c>
      <c r="E8" s="226">
        <v>1.0</v>
      </c>
      <c r="F8" s="226">
        <v>1.0</v>
      </c>
      <c r="G8" s="226">
        <v>1.0</v>
      </c>
      <c r="H8" s="226">
        <v>1.0</v>
      </c>
      <c r="I8" s="226">
        <v>1.0</v>
      </c>
      <c r="J8" s="226">
        <v>1.0</v>
      </c>
      <c r="K8" s="226">
        <v>1.0</v>
      </c>
      <c r="L8" s="226">
        <v>1.0</v>
      </c>
      <c r="M8" s="226">
        <v>1.0</v>
      </c>
      <c r="N8" s="226">
        <v>1.0</v>
      </c>
      <c r="O8" s="378">
        <v>1.0</v>
      </c>
      <c r="P8" s="379">
        <f t="shared" ref="P8:P9" si="1">SUM(D8:O8)/12</f>
        <v>1</v>
      </c>
      <c r="Q8" s="226">
        <v>1.0</v>
      </c>
      <c r="R8" s="226">
        <v>1.0</v>
      </c>
      <c r="S8" s="226">
        <v>1.0</v>
      </c>
      <c r="T8" s="226">
        <v>1.0</v>
      </c>
      <c r="U8" s="226">
        <v>1.0</v>
      </c>
      <c r="V8" s="226">
        <v>1.0</v>
      </c>
      <c r="W8" s="226">
        <v>1.0</v>
      </c>
      <c r="X8" s="226">
        <v>1.0</v>
      </c>
      <c r="Y8" s="226">
        <v>1.0</v>
      </c>
      <c r="Z8" s="226">
        <v>1.0</v>
      </c>
      <c r="AA8" s="226">
        <v>1.0</v>
      </c>
      <c r="AB8" s="378">
        <v>1.0</v>
      </c>
      <c r="AC8" s="379">
        <f t="shared" ref="AC8:AC9" si="2">SUM(Q8:AB8)/12</f>
        <v>1</v>
      </c>
      <c r="AD8" s="380">
        <v>1.0</v>
      </c>
      <c r="AE8" s="226">
        <v>1.0</v>
      </c>
      <c r="AF8" s="308"/>
      <c r="AG8" s="308"/>
      <c r="AH8" s="308"/>
      <c r="AI8" s="308"/>
      <c r="AJ8" s="308"/>
      <c r="AK8" s="308"/>
      <c r="AL8" s="343"/>
      <c r="AM8" s="343"/>
      <c r="AN8" s="308"/>
      <c r="AO8" s="308"/>
      <c r="AP8" s="308"/>
      <c r="AQ8" s="308"/>
      <c r="AR8" s="308"/>
      <c r="AS8" s="308"/>
      <c r="AT8" s="308"/>
      <c r="AU8" s="308"/>
    </row>
    <row r="9" ht="15.0" customHeight="1" outlineLevel="1">
      <c r="A9" s="308"/>
      <c r="B9" s="381" t="s">
        <v>262</v>
      </c>
      <c r="C9" s="382"/>
      <c r="D9" s="232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4"/>
      <c r="P9" s="383">
        <f t="shared" si="1"/>
        <v>0</v>
      </c>
      <c r="Q9" s="232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4"/>
      <c r="AC9" s="383">
        <f t="shared" si="2"/>
        <v>0</v>
      </c>
      <c r="AD9" s="384"/>
      <c r="AE9" s="232"/>
      <c r="AF9" s="308"/>
      <c r="AG9" s="308"/>
      <c r="AH9" s="308"/>
      <c r="AI9" s="308"/>
      <c r="AJ9" s="308"/>
      <c r="AK9" s="308"/>
      <c r="AL9" s="343"/>
      <c r="AM9" s="343"/>
      <c r="AN9" s="308"/>
      <c r="AO9" s="308"/>
      <c r="AP9" s="308"/>
      <c r="AQ9" s="308"/>
      <c r="AR9" s="308"/>
      <c r="AS9" s="308"/>
      <c r="AT9" s="308"/>
      <c r="AU9" s="308"/>
    </row>
    <row r="10" ht="15.0" customHeight="1">
      <c r="A10" s="308"/>
      <c r="B10" s="385" t="s">
        <v>263</v>
      </c>
      <c r="C10" s="216"/>
      <c r="D10" s="217">
        <f t="shared" ref="D10:AE10" si="3">SUM(D8:D9)</f>
        <v>1</v>
      </c>
      <c r="E10" s="217">
        <f t="shared" si="3"/>
        <v>1</v>
      </c>
      <c r="F10" s="217">
        <f t="shared" si="3"/>
        <v>1</v>
      </c>
      <c r="G10" s="217">
        <f t="shared" si="3"/>
        <v>1</v>
      </c>
      <c r="H10" s="217">
        <f t="shared" si="3"/>
        <v>1</v>
      </c>
      <c r="I10" s="217">
        <f t="shared" si="3"/>
        <v>1</v>
      </c>
      <c r="J10" s="217">
        <f t="shared" si="3"/>
        <v>1</v>
      </c>
      <c r="K10" s="217">
        <f t="shared" si="3"/>
        <v>1</v>
      </c>
      <c r="L10" s="217">
        <f t="shared" si="3"/>
        <v>1</v>
      </c>
      <c r="M10" s="217">
        <f t="shared" si="3"/>
        <v>1</v>
      </c>
      <c r="N10" s="217">
        <f t="shared" si="3"/>
        <v>1</v>
      </c>
      <c r="O10" s="386">
        <f t="shared" si="3"/>
        <v>1</v>
      </c>
      <c r="P10" s="216">
        <f t="shared" si="3"/>
        <v>1</v>
      </c>
      <c r="Q10" s="217">
        <f t="shared" si="3"/>
        <v>1</v>
      </c>
      <c r="R10" s="217">
        <f t="shared" si="3"/>
        <v>1</v>
      </c>
      <c r="S10" s="217">
        <f t="shared" si="3"/>
        <v>1</v>
      </c>
      <c r="T10" s="217">
        <f t="shared" si="3"/>
        <v>1</v>
      </c>
      <c r="U10" s="217">
        <f t="shared" si="3"/>
        <v>1</v>
      </c>
      <c r="V10" s="217">
        <f t="shared" si="3"/>
        <v>1</v>
      </c>
      <c r="W10" s="217">
        <f t="shared" si="3"/>
        <v>1</v>
      </c>
      <c r="X10" s="217">
        <f t="shared" si="3"/>
        <v>1</v>
      </c>
      <c r="Y10" s="217">
        <f t="shared" si="3"/>
        <v>1</v>
      </c>
      <c r="Z10" s="217">
        <f t="shared" si="3"/>
        <v>1</v>
      </c>
      <c r="AA10" s="217">
        <f t="shared" si="3"/>
        <v>1</v>
      </c>
      <c r="AB10" s="386">
        <f t="shared" si="3"/>
        <v>1</v>
      </c>
      <c r="AC10" s="216">
        <f t="shared" si="3"/>
        <v>1</v>
      </c>
      <c r="AD10" s="387">
        <f t="shared" si="3"/>
        <v>1</v>
      </c>
      <c r="AE10" s="387">
        <f t="shared" si="3"/>
        <v>1</v>
      </c>
      <c r="AF10" s="388"/>
      <c r="AG10" s="308"/>
      <c r="AH10" s="308"/>
      <c r="AI10" s="308"/>
      <c r="AJ10" s="308"/>
      <c r="AK10" s="308"/>
      <c r="AL10" s="308"/>
      <c r="AM10" s="308"/>
      <c r="AN10" s="308"/>
      <c r="AO10" s="308"/>
      <c r="AP10" s="308"/>
      <c r="AQ10" s="308"/>
      <c r="AR10" s="308"/>
      <c r="AS10" s="308"/>
      <c r="AT10" s="308"/>
      <c r="AU10" s="308"/>
    </row>
    <row r="11" ht="15.0" customHeight="1" outlineLevel="1">
      <c r="A11" s="308"/>
      <c r="B11" s="256" t="s">
        <v>264</v>
      </c>
      <c r="C11" s="389"/>
      <c r="D11" s="196">
        <f t="shared" ref="D11:O11" si="4">SUMPRODUCT($C8:$C9,D8:D9)/12</f>
        <v>2083.333333</v>
      </c>
      <c r="E11" s="196">
        <f t="shared" si="4"/>
        <v>2083.333333</v>
      </c>
      <c r="F11" s="196">
        <f t="shared" si="4"/>
        <v>2083.333333</v>
      </c>
      <c r="G11" s="196">
        <f t="shared" si="4"/>
        <v>2083.333333</v>
      </c>
      <c r="H11" s="196">
        <f t="shared" si="4"/>
        <v>2083.333333</v>
      </c>
      <c r="I11" s="196">
        <f t="shared" si="4"/>
        <v>2083.333333</v>
      </c>
      <c r="J11" s="196">
        <f t="shared" si="4"/>
        <v>2083.333333</v>
      </c>
      <c r="K11" s="196">
        <f t="shared" si="4"/>
        <v>2083.333333</v>
      </c>
      <c r="L11" s="196">
        <f t="shared" si="4"/>
        <v>2083.333333</v>
      </c>
      <c r="M11" s="196">
        <f t="shared" si="4"/>
        <v>2083.333333</v>
      </c>
      <c r="N11" s="196">
        <f t="shared" si="4"/>
        <v>2083.333333</v>
      </c>
      <c r="O11" s="196">
        <f t="shared" si="4"/>
        <v>2083.333333</v>
      </c>
      <c r="P11" s="189">
        <f t="shared" ref="P11:P14" si="6">SUM(D11:O11)</f>
        <v>25000</v>
      </c>
      <c r="Q11" s="196">
        <f t="shared" ref="Q11:AB11" si="5">SUMPRODUCT($C8:$C9,Q8:Q9)/12</f>
        <v>2083.333333</v>
      </c>
      <c r="R11" s="196">
        <f t="shared" si="5"/>
        <v>2083.333333</v>
      </c>
      <c r="S11" s="196">
        <f t="shared" si="5"/>
        <v>2083.333333</v>
      </c>
      <c r="T11" s="196">
        <f t="shared" si="5"/>
        <v>2083.333333</v>
      </c>
      <c r="U11" s="196">
        <f t="shared" si="5"/>
        <v>2083.333333</v>
      </c>
      <c r="V11" s="196">
        <f t="shared" si="5"/>
        <v>2083.333333</v>
      </c>
      <c r="W11" s="196">
        <f t="shared" si="5"/>
        <v>2083.333333</v>
      </c>
      <c r="X11" s="196">
        <f t="shared" si="5"/>
        <v>2083.333333</v>
      </c>
      <c r="Y11" s="196">
        <f t="shared" si="5"/>
        <v>2083.333333</v>
      </c>
      <c r="Z11" s="196">
        <f t="shared" si="5"/>
        <v>2083.333333</v>
      </c>
      <c r="AA11" s="196">
        <f t="shared" si="5"/>
        <v>2083.333333</v>
      </c>
      <c r="AB11" s="196">
        <f t="shared" si="5"/>
        <v>2083.333333</v>
      </c>
      <c r="AC11" s="189">
        <f>SUM(Q11:AB11)</f>
        <v>25000</v>
      </c>
      <c r="AD11" s="194">
        <f>SUMPRODUCT($C8:$C9,AD8:AD9)*(1+Inflation_salaires)^2</f>
        <v>27562.5</v>
      </c>
      <c r="AE11" s="390">
        <f>SUMPRODUCT($C8:$C9,AE8:AE9)*(1+Inflation_salaires)^3</f>
        <v>28940.625</v>
      </c>
      <c r="AF11" s="187"/>
      <c r="AG11" s="308"/>
      <c r="AH11" s="308"/>
      <c r="AI11" s="308"/>
      <c r="AJ11" s="308"/>
      <c r="AK11" s="308"/>
      <c r="AL11" s="308"/>
      <c r="AM11" s="308"/>
      <c r="AN11" s="308"/>
      <c r="AO11" s="308"/>
      <c r="AP11" s="308"/>
      <c r="AQ11" s="308"/>
      <c r="AR11" s="308"/>
      <c r="AS11" s="308"/>
      <c r="AT11" s="308"/>
      <c r="AU11" s="308"/>
    </row>
    <row r="12" ht="12.75" customHeight="1" outlineLevel="1">
      <c r="A12" s="308"/>
      <c r="B12" s="391" t="s">
        <v>265</v>
      </c>
      <c r="C12" s="230"/>
      <c r="D12" s="392">
        <f>D11*Taux_charges_sociales</f>
        <v>937.5</v>
      </c>
      <c r="E12" s="392">
        <f>E11*Taux_charges_sociales</f>
        <v>937.5</v>
      </c>
      <c r="F12" s="392">
        <f>F11*Taux_charges_sociales</f>
        <v>937.5</v>
      </c>
      <c r="G12" s="392">
        <f>G11*Taux_charges_sociales</f>
        <v>937.5</v>
      </c>
      <c r="H12" s="392">
        <f>H11*Taux_charges_sociales</f>
        <v>937.5</v>
      </c>
      <c r="I12" s="392">
        <f>I11*Taux_charges_sociales</f>
        <v>937.5</v>
      </c>
      <c r="J12" s="392">
        <f>J11*Taux_charges_sociales</f>
        <v>937.5</v>
      </c>
      <c r="K12" s="392">
        <f>K11*Taux_charges_sociales</f>
        <v>937.5</v>
      </c>
      <c r="L12" s="392">
        <f>L11*Taux_charges_sociales</f>
        <v>937.5</v>
      </c>
      <c r="M12" s="392">
        <f>M11*Taux_charges_sociales</f>
        <v>937.5</v>
      </c>
      <c r="N12" s="392">
        <f>N11*Taux_charges_sociales</f>
        <v>937.5</v>
      </c>
      <c r="O12" s="393">
        <f>O11*Taux_charges_sociales</f>
        <v>937.5</v>
      </c>
      <c r="P12" s="394">
        <f t="shared" si="6"/>
        <v>11250</v>
      </c>
      <c r="Q12" s="392">
        <f>Q11*Taux_charges_sociales</f>
        <v>937.5</v>
      </c>
      <c r="R12" s="392">
        <f>R11*Taux_charges_sociales</f>
        <v>937.5</v>
      </c>
      <c r="S12" s="392">
        <f>S11*Taux_charges_sociales</f>
        <v>937.5</v>
      </c>
      <c r="T12" s="392">
        <f>T11*Taux_charges_sociales</f>
        <v>937.5</v>
      </c>
      <c r="U12" s="392">
        <f>U11*Taux_charges_sociales</f>
        <v>937.5</v>
      </c>
      <c r="V12" s="392">
        <f>V11*Taux_charges_sociales</f>
        <v>937.5</v>
      </c>
      <c r="W12" s="392">
        <f>W11*Taux_charges_sociales</f>
        <v>937.5</v>
      </c>
      <c r="X12" s="392">
        <f>X11*Taux_charges_sociales</f>
        <v>937.5</v>
      </c>
      <c r="Y12" s="392">
        <f>Y11*Taux_charges_sociales</f>
        <v>937.5</v>
      </c>
      <c r="Z12" s="392">
        <f>Z11*Taux_charges_sociales</f>
        <v>937.5</v>
      </c>
      <c r="AA12" s="392">
        <f>AA11*Taux_charges_sociales</f>
        <v>937.5</v>
      </c>
      <c r="AB12" s="393">
        <f>AB11*Taux_charges_sociales</f>
        <v>937.5</v>
      </c>
      <c r="AC12" s="394">
        <f>AC11*Taux_charges_sociales</f>
        <v>11250</v>
      </c>
      <c r="AD12" s="395">
        <f>AD11*Taux_charges_sociales</f>
        <v>12403.125</v>
      </c>
      <c r="AE12" s="396">
        <f>AE11*Taux_charges_sociales</f>
        <v>13023.28125</v>
      </c>
      <c r="AF12" s="187"/>
      <c r="AG12" s="308"/>
      <c r="AH12" s="308"/>
      <c r="AI12" s="308"/>
      <c r="AJ12" s="308"/>
      <c r="AK12" s="308"/>
      <c r="AL12" s="308"/>
      <c r="AM12" s="308"/>
      <c r="AN12" s="308"/>
      <c r="AO12" s="308"/>
      <c r="AP12" s="308"/>
      <c r="AQ12" s="308"/>
      <c r="AR12" s="308"/>
      <c r="AS12" s="308"/>
      <c r="AT12" s="308"/>
      <c r="AU12" s="308"/>
    </row>
    <row r="13" ht="12.75" customHeight="1">
      <c r="A13" s="308"/>
      <c r="B13" s="397" t="s">
        <v>266</v>
      </c>
      <c r="C13" s="398"/>
      <c r="D13" s="399">
        <f t="shared" ref="D13:O13" si="7">SUM(D11:D12)</f>
        <v>3020.833333</v>
      </c>
      <c r="E13" s="399">
        <f t="shared" si="7"/>
        <v>3020.833333</v>
      </c>
      <c r="F13" s="399">
        <f t="shared" si="7"/>
        <v>3020.833333</v>
      </c>
      <c r="G13" s="399">
        <f t="shared" si="7"/>
        <v>3020.833333</v>
      </c>
      <c r="H13" s="399">
        <f t="shared" si="7"/>
        <v>3020.833333</v>
      </c>
      <c r="I13" s="399">
        <f t="shared" si="7"/>
        <v>3020.833333</v>
      </c>
      <c r="J13" s="399">
        <f t="shared" si="7"/>
        <v>3020.833333</v>
      </c>
      <c r="K13" s="399">
        <f t="shared" si="7"/>
        <v>3020.833333</v>
      </c>
      <c r="L13" s="399">
        <f t="shared" si="7"/>
        <v>3020.833333</v>
      </c>
      <c r="M13" s="399">
        <f t="shared" si="7"/>
        <v>3020.833333</v>
      </c>
      <c r="N13" s="399">
        <f t="shared" si="7"/>
        <v>3020.833333</v>
      </c>
      <c r="O13" s="400">
        <f t="shared" si="7"/>
        <v>3020.833333</v>
      </c>
      <c r="P13" s="398">
        <f t="shared" si="6"/>
        <v>36250</v>
      </c>
      <c r="Q13" s="399">
        <f t="shared" ref="Q13:AB13" si="8">SUM(Q11:Q12)</f>
        <v>3020.833333</v>
      </c>
      <c r="R13" s="399">
        <f t="shared" si="8"/>
        <v>3020.833333</v>
      </c>
      <c r="S13" s="399">
        <f t="shared" si="8"/>
        <v>3020.833333</v>
      </c>
      <c r="T13" s="399">
        <f t="shared" si="8"/>
        <v>3020.833333</v>
      </c>
      <c r="U13" s="399">
        <f t="shared" si="8"/>
        <v>3020.833333</v>
      </c>
      <c r="V13" s="399">
        <f t="shared" si="8"/>
        <v>3020.833333</v>
      </c>
      <c r="W13" s="399">
        <f t="shared" si="8"/>
        <v>3020.833333</v>
      </c>
      <c r="X13" s="399">
        <f t="shared" si="8"/>
        <v>3020.833333</v>
      </c>
      <c r="Y13" s="399">
        <f t="shared" si="8"/>
        <v>3020.833333</v>
      </c>
      <c r="Z13" s="399">
        <f t="shared" si="8"/>
        <v>3020.833333</v>
      </c>
      <c r="AA13" s="399">
        <f t="shared" si="8"/>
        <v>3020.833333</v>
      </c>
      <c r="AB13" s="400">
        <f t="shared" si="8"/>
        <v>3020.833333</v>
      </c>
      <c r="AC13" s="398">
        <f t="shared" ref="AC13:AC14" si="10">SUM(Q13:AB13)</f>
        <v>36250</v>
      </c>
      <c r="AD13" s="401">
        <f t="shared" ref="AD13:AE13" si="9">SUM(AD11:AD12)</f>
        <v>39965.625</v>
      </c>
      <c r="AE13" s="401">
        <f t="shared" si="9"/>
        <v>41963.90625</v>
      </c>
      <c r="AF13" s="388"/>
      <c r="AG13" s="308"/>
      <c r="AH13" s="308"/>
      <c r="AI13" s="308"/>
      <c r="AJ13" s="308"/>
      <c r="AK13" s="308"/>
      <c r="AL13" s="308"/>
      <c r="AM13" s="308"/>
      <c r="AN13" s="308"/>
      <c r="AO13" s="308"/>
      <c r="AP13" s="308"/>
      <c r="AQ13" s="308"/>
      <c r="AR13" s="308"/>
      <c r="AS13" s="308"/>
      <c r="AT13" s="308"/>
      <c r="AU13" s="308"/>
    </row>
    <row r="14" ht="12.75" customHeight="1">
      <c r="A14" s="308"/>
      <c r="B14" s="402" t="s">
        <v>267</v>
      </c>
      <c r="C14" s="335"/>
      <c r="D14" s="403">
        <f>-((($C$8*D8)*Taux_charges_sociales)*Salaires_Immob_DG)/12</f>
        <v>0</v>
      </c>
      <c r="E14" s="403">
        <f>-((($C$8*E8)*Taux_charges_sociales)*Salaires_Immob_DG)/12</f>
        <v>0</v>
      </c>
      <c r="F14" s="403">
        <f>-((($C$8*F8)*Taux_charges_sociales)*Salaires_Immob_DG)/12</f>
        <v>0</v>
      </c>
      <c r="G14" s="403">
        <f>-((($C$8*G8)*Taux_charges_sociales)*Salaires_Immob_DG)/12</f>
        <v>0</v>
      </c>
      <c r="H14" s="403">
        <f>-((($C$8*H8)*Taux_charges_sociales)*Salaires_Immob_DG)/12</f>
        <v>0</v>
      </c>
      <c r="I14" s="403">
        <f>-((($C$8*I8)*Taux_charges_sociales)*Salaires_Immob_DG)/12</f>
        <v>0</v>
      </c>
      <c r="J14" s="403">
        <f>-((($C$8*J8)*Taux_charges_sociales)*Salaires_Immob_DG)/12</f>
        <v>0</v>
      </c>
      <c r="K14" s="403">
        <f>-((($C$8*K8)*Taux_charges_sociales)*Salaires_Immob_DG)/12</f>
        <v>0</v>
      </c>
      <c r="L14" s="403">
        <f>-((($C$8*L8)*Taux_charges_sociales)*Salaires_Immob_DG)/12</f>
        <v>0</v>
      </c>
      <c r="M14" s="403">
        <f>-((($C$8*M8)*Taux_charges_sociales)*Salaires_Immob_DG)/12</f>
        <v>0</v>
      </c>
      <c r="N14" s="403">
        <f>-((($C$8*N8)*Taux_charges_sociales)*Salaires_Immob_DG)/12</f>
        <v>0</v>
      </c>
      <c r="O14" s="404">
        <f>-((($C$8*O8)*Taux_charges_sociales)*Salaires_Immob_DG)/12</f>
        <v>0</v>
      </c>
      <c r="P14" s="405">
        <f t="shared" si="6"/>
        <v>0</v>
      </c>
      <c r="Q14" s="403">
        <f>-((($C$8*Q8)*Taux_charges_sociales)*Salaires_Immob_DG)/12</f>
        <v>0</v>
      </c>
      <c r="R14" s="403">
        <f>-((($C$8*R8)*Taux_charges_sociales)*Salaires_Immob_DG)/12</f>
        <v>0</v>
      </c>
      <c r="S14" s="403">
        <f>-((($C$8*S8)*Taux_charges_sociales)*Salaires_Immob_DG)/12</f>
        <v>0</v>
      </c>
      <c r="T14" s="403">
        <f>-((($C$8*T8)*Taux_charges_sociales)*Salaires_Immob_DG)/12</f>
        <v>0</v>
      </c>
      <c r="U14" s="403">
        <f>-((($C$8*U8)*Taux_charges_sociales)*Salaires_Immob_DG)/12</f>
        <v>0</v>
      </c>
      <c r="V14" s="403">
        <f>-((($C$8*V8)*Taux_charges_sociales)*Salaires_Immob_DG)/12</f>
        <v>0</v>
      </c>
      <c r="W14" s="403">
        <f>-((($C$8*W8)*Taux_charges_sociales)*Salaires_Immob_DG)/12</f>
        <v>0</v>
      </c>
      <c r="X14" s="403">
        <f>-((($C$8*X8)*Taux_charges_sociales)*Salaires_Immob_DG)/12</f>
        <v>0</v>
      </c>
      <c r="Y14" s="403">
        <f>-((($C$8*Y8)*Taux_charges_sociales)*Salaires_Immob_DG)/12</f>
        <v>0</v>
      </c>
      <c r="Z14" s="403">
        <f>-((($C$8*Z8)*Taux_charges_sociales)*Salaires_Immob_DG)/12</f>
        <v>0</v>
      </c>
      <c r="AA14" s="403">
        <f>-((($C$8*AA8)*Taux_charges_sociales)*Salaires_Immob_DG)/12</f>
        <v>0</v>
      </c>
      <c r="AB14" s="404">
        <f>-((($C$8*AB8)*Taux_charges_sociales)*Salaires_Immob_DG)/12</f>
        <v>0</v>
      </c>
      <c r="AC14" s="405">
        <f t="shared" si="10"/>
        <v>0</v>
      </c>
      <c r="AD14" s="405">
        <f>-((($C$8*AD8)*Taux_charges_sociales)*Salaires_Immob_DG)</f>
        <v>0</v>
      </c>
      <c r="AE14" s="403">
        <f>-((($C$8*AE8)*Taux_charges_sociales)*Salaires_Immob_DG)</f>
        <v>0</v>
      </c>
      <c r="AF14" s="187"/>
      <c r="AG14" s="308"/>
      <c r="AH14" s="308"/>
      <c r="AI14" s="308"/>
      <c r="AJ14" s="308"/>
      <c r="AK14" s="308"/>
      <c r="AL14" s="308"/>
      <c r="AM14" s="308"/>
      <c r="AN14" s="308"/>
      <c r="AO14" s="308"/>
      <c r="AP14" s="308"/>
      <c r="AQ14" s="308"/>
      <c r="AR14" s="308"/>
      <c r="AS14" s="308"/>
      <c r="AT14" s="308"/>
      <c r="AU14" s="308"/>
    </row>
    <row r="15" ht="12.0" customHeight="1">
      <c r="A15" s="187"/>
      <c r="B15" s="314"/>
      <c r="C15" s="314"/>
      <c r="D15" s="187"/>
      <c r="E15" s="187"/>
      <c r="F15" s="406"/>
      <c r="G15" s="406"/>
      <c r="H15" s="406"/>
      <c r="I15" s="406"/>
      <c r="J15" s="406"/>
      <c r="K15" s="406"/>
      <c r="L15" s="406"/>
      <c r="M15" s="406"/>
      <c r="N15" s="187"/>
      <c r="O15" s="407" t="s">
        <v>244</v>
      </c>
      <c r="P15" s="341">
        <f>IF(SUM(D13:O13)=P13,0,P13-SUM(D13:O13))</f>
        <v>0</v>
      </c>
      <c r="Q15" s="406"/>
      <c r="R15" s="406"/>
      <c r="S15" s="406"/>
      <c r="T15" s="406"/>
      <c r="U15" s="406"/>
      <c r="V15" s="406"/>
      <c r="W15" s="406"/>
      <c r="X15" s="406"/>
      <c r="Y15" s="406"/>
      <c r="Z15" s="406"/>
      <c r="AA15" s="187"/>
      <c r="AB15" s="407"/>
      <c r="AC15" s="341">
        <f>IF(SUM(Q13:AB13)=AC13,0,AC13-SUM(Q13:AB13))</f>
        <v>0</v>
      </c>
      <c r="AD15" s="408"/>
      <c r="AE15" s="408"/>
      <c r="AF15" s="388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</row>
    <row r="16" ht="24.75" customHeight="1">
      <c r="A16" s="180"/>
      <c r="B16" s="409" t="s">
        <v>268</v>
      </c>
      <c r="C16" s="372" t="s">
        <v>269</v>
      </c>
      <c r="D16" s="373"/>
      <c r="E16" s="373"/>
      <c r="F16" s="373"/>
      <c r="G16" s="373"/>
      <c r="H16" s="373"/>
      <c r="I16" s="373"/>
      <c r="J16" s="373"/>
      <c r="K16" s="373"/>
      <c r="L16" s="373"/>
      <c r="M16" s="373"/>
      <c r="N16" s="373"/>
      <c r="O16" s="373"/>
      <c r="P16" s="373"/>
      <c r="Q16" s="374"/>
      <c r="R16" s="374"/>
      <c r="S16" s="374"/>
      <c r="T16" s="374"/>
      <c r="U16" s="374"/>
      <c r="V16" s="374"/>
      <c r="W16" s="374"/>
      <c r="X16" s="374"/>
      <c r="Y16" s="374"/>
      <c r="Z16" s="374"/>
      <c r="AA16" s="374"/>
      <c r="AB16" s="373"/>
      <c r="AC16" s="373"/>
      <c r="AD16" s="373"/>
      <c r="AE16" s="373"/>
      <c r="AF16" s="375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</row>
    <row r="17" ht="15.0" customHeight="1" outlineLevel="1">
      <c r="A17" s="308"/>
      <c r="B17" s="410" t="s">
        <v>270</v>
      </c>
      <c r="C17" s="411">
        <v>2200.0</v>
      </c>
      <c r="D17" s="412">
        <v>1.0</v>
      </c>
      <c r="E17" s="412">
        <v>1.0</v>
      </c>
      <c r="F17" s="412">
        <v>1.0</v>
      </c>
      <c r="G17" s="412">
        <v>1.0</v>
      </c>
      <c r="H17" s="412">
        <v>1.0</v>
      </c>
      <c r="I17" s="412">
        <v>1.0</v>
      </c>
      <c r="J17" s="412">
        <v>1.0</v>
      </c>
      <c r="K17" s="412">
        <v>1.0</v>
      </c>
      <c r="L17" s="412">
        <v>1.0</v>
      </c>
      <c r="M17" s="412">
        <v>1.0</v>
      </c>
      <c r="N17" s="412">
        <v>1.0</v>
      </c>
      <c r="O17" s="413">
        <v>1.0</v>
      </c>
      <c r="P17" s="414">
        <f>SUM(D17:O17)/12</f>
        <v>1</v>
      </c>
      <c r="Q17" s="412">
        <v>1.0</v>
      </c>
      <c r="R17" s="412">
        <v>1.0</v>
      </c>
      <c r="S17" s="412">
        <v>1.0</v>
      </c>
      <c r="T17" s="412">
        <v>1.0</v>
      </c>
      <c r="U17" s="412">
        <v>1.0</v>
      </c>
      <c r="V17" s="412">
        <v>1.0</v>
      </c>
      <c r="W17" s="412">
        <v>1.0</v>
      </c>
      <c r="X17" s="412">
        <v>1.0</v>
      </c>
      <c r="Y17" s="412">
        <v>1.0</v>
      </c>
      <c r="Z17" s="412">
        <v>1.0</v>
      </c>
      <c r="AA17" s="412">
        <v>1.0</v>
      </c>
      <c r="AB17" s="413">
        <v>1.0</v>
      </c>
      <c r="AC17" s="414">
        <f t="shared" ref="AC17:AC22" si="11">SUM(Q17:AB17)/12</f>
        <v>1</v>
      </c>
      <c r="AD17" s="415">
        <v>1.0</v>
      </c>
      <c r="AE17" s="416">
        <v>1.0</v>
      </c>
      <c r="AF17" s="308"/>
      <c r="AG17" s="308"/>
      <c r="AH17" s="308"/>
      <c r="AI17" s="308"/>
      <c r="AJ17" s="308"/>
      <c r="AK17" s="308"/>
      <c r="AL17" s="343"/>
      <c r="AM17" s="343"/>
      <c r="AN17" s="308"/>
      <c r="AO17" s="308"/>
      <c r="AP17" s="308"/>
      <c r="AQ17" s="308"/>
      <c r="AR17" s="308"/>
      <c r="AS17" s="308"/>
      <c r="AT17" s="308"/>
      <c r="AU17" s="308"/>
    </row>
    <row r="18" ht="15.0" customHeight="1" outlineLevel="1">
      <c r="A18" s="308"/>
      <c r="B18" s="410" t="s">
        <v>271</v>
      </c>
      <c r="C18" s="411">
        <v>1800.0</v>
      </c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7"/>
      <c r="P18" s="418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3"/>
      <c r="AC18" s="414">
        <f t="shared" si="11"/>
        <v>0</v>
      </c>
      <c r="AD18" s="419"/>
      <c r="AE18" s="420"/>
      <c r="AF18" s="308"/>
      <c r="AG18" s="308"/>
      <c r="AH18" s="308"/>
      <c r="AI18" s="308"/>
      <c r="AJ18" s="308"/>
      <c r="AK18" s="308"/>
      <c r="AL18" s="343"/>
      <c r="AM18" s="343"/>
      <c r="AN18" s="308"/>
      <c r="AO18" s="308"/>
      <c r="AP18" s="308"/>
      <c r="AQ18" s="308"/>
      <c r="AR18" s="308"/>
      <c r="AS18" s="308"/>
      <c r="AT18" s="308"/>
      <c r="AU18" s="308"/>
    </row>
    <row r="19" ht="15.0" customHeight="1" outlineLevel="1">
      <c r="A19" s="308"/>
      <c r="B19" s="410"/>
      <c r="C19" s="411"/>
      <c r="D19" s="412"/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7"/>
      <c r="P19" s="418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3"/>
      <c r="AC19" s="414">
        <f t="shared" si="11"/>
        <v>0</v>
      </c>
      <c r="AD19" s="419" t="str">
        <f>AD1</f>
        <v/>
      </c>
      <c r="AE19" s="420"/>
      <c r="AF19" s="308"/>
      <c r="AG19" s="308"/>
      <c r="AH19" s="308"/>
      <c r="AI19" s="308"/>
      <c r="AJ19" s="308"/>
      <c r="AK19" s="308"/>
      <c r="AL19" s="343"/>
      <c r="AM19" s="343"/>
      <c r="AN19" s="308"/>
      <c r="AO19" s="308"/>
      <c r="AP19" s="308"/>
      <c r="AQ19" s="308"/>
      <c r="AR19" s="308"/>
      <c r="AS19" s="308"/>
      <c r="AT19" s="308"/>
      <c r="AU19" s="308"/>
    </row>
    <row r="20" ht="15.0" customHeight="1" outlineLevel="1">
      <c r="A20" s="308"/>
      <c r="B20" s="410"/>
      <c r="C20" s="411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7"/>
      <c r="P20" s="418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3"/>
      <c r="AC20" s="414">
        <f t="shared" si="11"/>
        <v>0</v>
      </c>
      <c r="AD20" s="419"/>
      <c r="AE20" s="420"/>
      <c r="AF20" s="308"/>
      <c r="AG20" s="308"/>
      <c r="AH20" s="308"/>
      <c r="AI20" s="308"/>
      <c r="AJ20" s="308"/>
      <c r="AK20" s="308"/>
      <c r="AL20" s="343"/>
      <c r="AM20" s="343"/>
      <c r="AN20" s="308"/>
      <c r="AO20" s="308"/>
      <c r="AP20" s="308"/>
      <c r="AQ20" s="308"/>
      <c r="AR20" s="308"/>
      <c r="AS20" s="308"/>
      <c r="AT20" s="308"/>
      <c r="AU20" s="308"/>
    </row>
    <row r="21" ht="15.0" customHeight="1" outlineLevel="1">
      <c r="A21" s="308"/>
      <c r="B21" s="410"/>
      <c r="C21" s="411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3"/>
      <c r="P21" s="414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3"/>
      <c r="AC21" s="414">
        <f t="shared" si="11"/>
        <v>0</v>
      </c>
      <c r="AD21" s="421"/>
      <c r="AE21" s="422"/>
      <c r="AF21" s="308"/>
      <c r="AG21" s="308"/>
      <c r="AH21" s="308"/>
      <c r="AI21" s="308"/>
      <c r="AJ21" s="308"/>
      <c r="AK21" s="308"/>
      <c r="AL21" s="343"/>
      <c r="AM21" s="343"/>
      <c r="AN21" s="308"/>
      <c r="AO21" s="308"/>
      <c r="AP21" s="308"/>
      <c r="AQ21" s="308"/>
      <c r="AR21" s="308"/>
      <c r="AS21" s="308"/>
      <c r="AT21" s="308"/>
      <c r="AU21" s="308"/>
    </row>
    <row r="22" ht="15.0" customHeight="1" outlineLevel="1">
      <c r="A22" s="308"/>
      <c r="B22" s="410"/>
      <c r="C22" s="411"/>
      <c r="D22" s="412"/>
      <c r="E22" s="412"/>
      <c r="F22" s="412"/>
      <c r="G22" s="412"/>
      <c r="H22" s="412"/>
      <c r="I22" s="412"/>
      <c r="J22" s="412"/>
      <c r="K22" s="423"/>
      <c r="L22" s="423"/>
      <c r="M22" s="423"/>
      <c r="N22" s="423"/>
      <c r="O22" s="413"/>
      <c r="P22" s="414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3"/>
      <c r="AC22" s="414">
        <f t="shared" si="11"/>
        <v>0</v>
      </c>
      <c r="AD22" s="421"/>
      <c r="AE22" s="422"/>
      <c r="AF22" s="308"/>
      <c r="AG22" s="308"/>
      <c r="AH22" s="308"/>
      <c r="AI22" s="308"/>
      <c r="AJ22" s="308"/>
      <c r="AK22" s="308"/>
      <c r="AL22" s="343"/>
      <c r="AM22" s="343"/>
      <c r="AN22" s="308"/>
      <c r="AO22" s="308"/>
      <c r="AP22" s="308"/>
      <c r="AQ22" s="308"/>
      <c r="AR22" s="308"/>
      <c r="AS22" s="308"/>
      <c r="AT22" s="308"/>
      <c r="AU22" s="308"/>
    </row>
    <row r="23" ht="15.0" customHeight="1" outlineLevel="1">
      <c r="A23" s="308"/>
      <c r="B23" s="410"/>
      <c r="C23" s="411"/>
      <c r="D23" s="412"/>
      <c r="E23" s="412"/>
      <c r="F23" s="412"/>
      <c r="G23" s="412"/>
      <c r="H23" s="412"/>
      <c r="I23" s="412"/>
      <c r="J23" s="412"/>
      <c r="K23" s="423"/>
      <c r="L23" s="423"/>
      <c r="M23" s="423"/>
      <c r="N23" s="423"/>
      <c r="O23" s="413"/>
      <c r="P23" s="414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413"/>
      <c r="AC23" s="414"/>
      <c r="AD23" s="421"/>
      <c r="AE23" s="422"/>
      <c r="AF23" s="308"/>
      <c r="AG23" s="308"/>
      <c r="AH23" s="308"/>
      <c r="AI23" s="308"/>
      <c r="AJ23" s="308"/>
      <c r="AK23" s="308"/>
      <c r="AL23" s="343"/>
      <c r="AM23" s="343"/>
      <c r="AN23" s="308"/>
      <c r="AO23" s="308"/>
      <c r="AP23" s="308"/>
      <c r="AQ23" s="308"/>
      <c r="AR23" s="308"/>
      <c r="AS23" s="308"/>
      <c r="AT23" s="308"/>
      <c r="AU23" s="308"/>
    </row>
    <row r="24" ht="15.0" customHeight="1" outlineLevel="1">
      <c r="A24" s="308"/>
      <c r="B24" s="410"/>
      <c r="C24" s="411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3"/>
      <c r="P24" s="414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413"/>
      <c r="AC24" s="414"/>
      <c r="AD24" s="424"/>
      <c r="AE24" s="425"/>
      <c r="AF24" s="308"/>
      <c r="AG24" s="308"/>
      <c r="AH24" s="308"/>
      <c r="AI24" s="308"/>
      <c r="AJ24" s="308"/>
      <c r="AK24" s="308"/>
      <c r="AL24" s="343"/>
      <c r="AM24" s="343"/>
      <c r="AN24" s="308"/>
      <c r="AO24" s="308"/>
      <c r="AP24" s="308"/>
      <c r="AQ24" s="308"/>
      <c r="AR24" s="308"/>
      <c r="AS24" s="308"/>
      <c r="AT24" s="308"/>
      <c r="AU24" s="308"/>
    </row>
    <row r="25" ht="15.0" customHeight="1" outlineLevel="1">
      <c r="A25" s="308"/>
      <c r="B25" s="410"/>
      <c r="C25" s="411"/>
      <c r="D25" s="412"/>
      <c r="E25" s="412"/>
      <c r="F25" s="412"/>
      <c r="G25" s="412"/>
      <c r="H25" s="412"/>
      <c r="I25" s="412"/>
      <c r="J25" s="412"/>
      <c r="K25" s="412"/>
      <c r="L25" s="412"/>
      <c r="M25" s="412"/>
      <c r="N25" s="412"/>
      <c r="O25" s="413"/>
      <c r="P25" s="414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426"/>
      <c r="AC25" s="414"/>
      <c r="AD25" s="424"/>
      <c r="AE25" s="425"/>
      <c r="AF25" s="308"/>
      <c r="AG25" s="308"/>
      <c r="AH25" s="308"/>
      <c r="AI25" s="308"/>
      <c r="AJ25" s="308"/>
      <c r="AK25" s="308"/>
      <c r="AL25" s="343"/>
      <c r="AM25" s="343"/>
      <c r="AN25" s="308"/>
      <c r="AO25" s="308"/>
      <c r="AP25" s="308"/>
      <c r="AQ25" s="308"/>
      <c r="AR25" s="308"/>
      <c r="AS25" s="308"/>
      <c r="AT25" s="308"/>
      <c r="AU25" s="308"/>
    </row>
    <row r="26" ht="24.75" customHeight="1">
      <c r="A26" s="180"/>
      <c r="B26" s="409" t="s">
        <v>272</v>
      </c>
      <c r="C26" s="372" t="s">
        <v>273</v>
      </c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74"/>
      <c r="R26" s="374"/>
      <c r="S26" s="374"/>
      <c r="T26" s="374"/>
      <c r="U26" s="374"/>
      <c r="V26" s="374"/>
      <c r="W26" s="374"/>
      <c r="X26" s="374"/>
      <c r="Y26" s="374"/>
      <c r="Z26" s="374"/>
      <c r="AA26" s="374"/>
      <c r="AB26" s="373"/>
      <c r="AC26" s="373"/>
      <c r="AD26" s="373"/>
      <c r="AE26" s="373"/>
      <c r="AF26" s="375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</row>
    <row r="27" ht="15.0" customHeight="1" outlineLevel="1">
      <c r="A27" s="308"/>
      <c r="B27" s="410" t="s">
        <v>274</v>
      </c>
      <c r="C27" s="411">
        <v>12.5</v>
      </c>
      <c r="D27" s="427"/>
      <c r="E27" s="427"/>
      <c r="F27" s="427"/>
      <c r="G27" s="427"/>
      <c r="H27" s="427">
        <v>40.0</v>
      </c>
      <c r="I27" s="427">
        <v>40.0</v>
      </c>
      <c r="J27" s="427">
        <v>40.0</v>
      </c>
      <c r="K27" s="427">
        <v>40.0</v>
      </c>
      <c r="L27" s="427">
        <v>40.0</v>
      </c>
      <c r="M27" s="427">
        <v>40.0</v>
      </c>
      <c r="N27" s="428"/>
      <c r="O27" s="428"/>
      <c r="P27" s="379">
        <f>SUM(D27:O27)/12</f>
        <v>20</v>
      </c>
      <c r="Q27" s="427"/>
      <c r="R27" s="427"/>
      <c r="S27" s="427"/>
      <c r="T27" s="427"/>
      <c r="U27" s="427">
        <v>40.0</v>
      </c>
      <c r="V27" s="427">
        <v>40.0</v>
      </c>
      <c r="W27" s="427">
        <v>40.0</v>
      </c>
      <c r="X27" s="428">
        <v>40.0</v>
      </c>
      <c r="Y27" s="428">
        <v>40.0</v>
      </c>
      <c r="Z27" s="428">
        <v>40.0</v>
      </c>
      <c r="AA27" s="428"/>
      <c r="AB27" s="428"/>
      <c r="AC27" s="379">
        <f>SUM(Q27:AB27)/12</f>
        <v>20</v>
      </c>
      <c r="AD27" s="380">
        <v>20.0</v>
      </c>
      <c r="AE27" s="226">
        <v>20.0</v>
      </c>
      <c r="AF27" s="308"/>
      <c r="AG27" s="308"/>
      <c r="AH27" s="308"/>
      <c r="AI27" s="308"/>
      <c r="AJ27" s="308"/>
      <c r="AK27" s="308"/>
      <c r="AL27" s="343"/>
      <c r="AM27" s="343"/>
      <c r="AN27" s="308"/>
      <c r="AO27" s="308"/>
      <c r="AP27" s="308"/>
      <c r="AQ27" s="308"/>
      <c r="AR27" s="308"/>
      <c r="AS27" s="308"/>
      <c r="AT27" s="308"/>
      <c r="AU27" s="308"/>
    </row>
    <row r="28" ht="15.0" customHeight="1" outlineLevel="1">
      <c r="A28" s="308"/>
      <c r="B28" s="410" t="s">
        <v>275</v>
      </c>
      <c r="C28" s="411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379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379"/>
      <c r="AD28" s="380"/>
      <c r="AE28" s="226">
        <v>20.0</v>
      </c>
      <c r="AF28" s="308"/>
      <c r="AG28" s="308"/>
      <c r="AH28" s="308"/>
      <c r="AI28" s="308"/>
      <c r="AJ28" s="308"/>
      <c r="AK28" s="308"/>
      <c r="AL28" s="343"/>
      <c r="AM28" s="343"/>
      <c r="AN28" s="308"/>
      <c r="AO28" s="308"/>
      <c r="AP28" s="308"/>
      <c r="AQ28" s="308"/>
      <c r="AR28" s="308"/>
      <c r="AS28" s="308"/>
      <c r="AT28" s="308"/>
      <c r="AU28" s="308"/>
    </row>
    <row r="29" ht="15.0" customHeight="1" outlineLevel="1">
      <c r="A29" s="308"/>
      <c r="B29" s="410"/>
      <c r="C29" s="411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379">
        <f t="shared" ref="P29:P30" si="12">SUM(D29:O29)/12</f>
        <v>0</v>
      </c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8"/>
      <c r="AC29" s="379"/>
      <c r="AD29" s="380"/>
      <c r="AE29" s="226"/>
      <c r="AF29" s="308"/>
      <c r="AG29" s="308"/>
      <c r="AH29" s="308"/>
      <c r="AI29" s="308"/>
      <c r="AJ29" s="308"/>
      <c r="AK29" s="308"/>
      <c r="AL29" s="343"/>
      <c r="AM29" s="343"/>
      <c r="AN29" s="308"/>
      <c r="AO29" s="308"/>
      <c r="AP29" s="308"/>
      <c r="AQ29" s="308"/>
      <c r="AR29" s="308"/>
      <c r="AS29" s="308"/>
      <c r="AT29" s="308"/>
      <c r="AU29" s="308"/>
    </row>
    <row r="30" ht="15.0" customHeight="1" outlineLevel="1">
      <c r="A30" s="308"/>
      <c r="B30" s="410"/>
      <c r="C30" s="411"/>
      <c r="D30" s="429"/>
      <c r="E30" s="429"/>
      <c r="F30" s="429"/>
      <c r="G30" s="429"/>
      <c r="H30" s="429"/>
      <c r="I30" s="429"/>
      <c r="J30" s="429"/>
      <c r="K30" s="429"/>
      <c r="L30" s="429"/>
      <c r="M30" s="429"/>
      <c r="N30" s="429"/>
      <c r="O30" s="430"/>
      <c r="P30" s="379">
        <f t="shared" si="12"/>
        <v>0</v>
      </c>
      <c r="Q30" s="427"/>
      <c r="R30" s="75"/>
      <c r="S30" s="75"/>
      <c r="T30" s="75"/>
      <c r="U30" s="75"/>
      <c r="V30" s="431"/>
      <c r="W30" s="431"/>
      <c r="X30" s="431"/>
      <c r="Y30" s="431"/>
      <c r="Z30" s="428"/>
      <c r="AA30" s="428"/>
      <c r="AB30" s="428"/>
      <c r="AC30" s="379"/>
      <c r="AD30" s="380"/>
      <c r="AE30" s="226"/>
      <c r="AF30" s="308"/>
      <c r="AG30" s="308"/>
      <c r="AH30" s="308"/>
      <c r="AI30" s="308"/>
      <c r="AJ30" s="308"/>
      <c r="AK30" s="308"/>
      <c r="AL30" s="343"/>
      <c r="AM30" s="343"/>
      <c r="AN30" s="308"/>
      <c r="AO30" s="308"/>
      <c r="AP30" s="308"/>
      <c r="AQ30" s="308"/>
      <c r="AR30" s="308"/>
      <c r="AS30" s="308"/>
      <c r="AT30" s="308"/>
      <c r="AU30" s="308"/>
    </row>
    <row r="31" ht="15.0" customHeight="1" outlineLevel="1">
      <c r="A31" s="308"/>
      <c r="B31" s="410"/>
      <c r="C31" s="432"/>
      <c r="D31" s="429"/>
      <c r="E31" s="429"/>
      <c r="F31" s="429"/>
      <c r="G31" s="429"/>
      <c r="H31" s="429"/>
      <c r="I31" s="429"/>
      <c r="J31" s="429"/>
      <c r="K31" s="433"/>
      <c r="L31" s="429"/>
      <c r="M31" s="429"/>
      <c r="N31" s="429"/>
      <c r="O31" s="434"/>
      <c r="P31" s="379"/>
      <c r="Q31" s="427"/>
      <c r="R31" s="75"/>
      <c r="S31" s="75"/>
      <c r="T31" s="75"/>
      <c r="U31" s="75"/>
      <c r="V31" s="431"/>
      <c r="W31" s="431"/>
      <c r="X31" s="431"/>
      <c r="Y31" s="431"/>
      <c r="Z31" s="431"/>
      <c r="AA31" s="431"/>
      <c r="AB31" s="431"/>
      <c r="AC31" s="379"/>
      <c r="AD31" s="435"/>
      <c r="AE31" s="225"/>
      <c r="AF31" s="308"/>
      <c r="AG31" s="308"/>
      <c r="AH31" s="308"/>
      <c r="AI31" s="308"/>
      <c r="AJ31" s="308"/>
      <c r="AK31" s="308"/>
      <c r="AL31" s="343"/>
      <c r="AM31" s="343"/>
      <c r="AN31" s="308"/>
      <c r="AO31" s="308"/>
      <c r="AP31" s="308"/>
      <c r="AQ31" s="308"/>
      <c r="AR31" s="308"/>
      <c r="AS31" s="308"/>
      <c r="AT31" s="308"/>
      <c r="AU31" s="308"/>
    </row>
    <row r="32" ht="15.0" customHeight="1" outlineLevel="1">
      <c r="A32" s="308"/>
      <c r="B32" s="410"/>
      <c r="C32" s="432"/>
      <c r="D32" s="429"/>
      <c r="E32" s="429"/>
      <c r="F32" s="429"/>
      <c r="G32" s="429"/>
      <c r="H32" s="429"/>
      <c r="I32" s="429"/>
      <c r="J32" s="429"/>
      <c r="K32" s="433"/>
      <c r="L32" s="429"/>
      <c r="M32" s="429"/>
      <c r="N32" s="429"/>
      <c r="O32" s="434"/>
      <c r="P32" s="379"/>
      <c r="Q32" s="427"/>
      <c r="R32" s="75"/>
      <c r="S32" s="75"/>
      <c r="T32" s="75"/>
      <c r="U32" s="75"/>
      <c r="V32" s="431"/>
      <c r="W32" s="431"/>
      <c r="X32" s="431"/>
      <c r="Y32" s="431"/>
      <c r="Z32" s="431"/>
      <c r="AA32" s="431"/>
      <c r="AB32" s="431"/>
      <c r="AC32" s="379"/>
      <c r="AD32" s="435"/>
      <c r="AE32" s="225"/>
      <c r="AF32" s="308"/>
      <c r="AG32" s="308"/>
      <c r="AH32" s="308"/>
      <c r="AI32" s="308"/>
      <c r="AJ32" s="308"/>
      <c r="AK32" s="308"/>
      <c r="AL32" s="343"/>
      <c r="AM32" s="343"/>
      <c r="AN32" s="308"/>
      <c r="AO32" s="308"/>
      <c r="AP32" s="308"/>
      <c r="AQ32" s="308"/>
      <c r="AR32" s="308"/>
      <c r="AS32" s="308"/>
      <c r="AT32" s="308"/>
      <c r="AU32" s="308"/>
    </row>
    <row r="33" ht="15.0" customHeight="1" outlineLevel="1">
      <c r="A33" s="308"/>
      <c r="B33" s="436" t="s">
        <v>276</v>
      </c>
      <c r="C33" s="382"/>
      <c r="D33" s="437"/>
      <c r="E33" s="437"/>
      <c r="F33" s="437"/>
      <c r="G33" s="437"/>
      <c r="H33" s="437"/>
      <c r="I33" s="437"/>
      <c r="J33" s="437"/>
      <c r="K33" s="437"/>
      <c r="L33" s="437"/>
      <c r="M33" s="437"/>
      <c r="N33" s="437"/>
      <c r="O33" s="438"/>
      <c r="P33" s="383"/>
      <c r="Q33" s="437"/>
      <c r="R33" s="437"/>
      <c r="S33" s="437"/>
      <c r="T33" s="437"/>
      <c r="U33" s="437"/>
      <c r="V33" s="437"/>
      <c r="W33" s="437"/>
      <c r="X33" s="437"/>
      <c r="Y33" s="437"/>
      <c r="Z33" s="437"/>
      <c r="AA33" s="437"/>
      <c r="AB33" s="438"/>
      <c r="AC33" s="383"/>
      <c r="AD33" s="439"/>
      <c r="AE33" s="231"/>
      <c r="AF33" s="308"/>
      <c r="AG33" s="308"/>
      <c r="AH33" s="308"/>
      <c r="AI33" s="308"/>
      <c r="AJ33" s="308"/>
      <c r="AK33" s="308"/>
      <c r="AL33" s="343"/>
      <c r="AM33" s="343"/>
      <c r="AN33" s="308"/>
      <c r="AO33" s="308"/>
      <c r="AP33" s="308"/>
      <c r="AQ33" s="308"/>
      <c r="AR33" s="308"/>
      <c r="AS33" s="308"/>
      <c r="AT33" s="308"/>
      <c r="AU33" s="308"/>
    </row>
    <row r="34" ht="15.0" customHeight="1">
      <c r="A34" s="308"/>
      <c r="B34" s="440" t="s">
        <v>277</v>
      </c>
      <c r="C34" s="216"/>
      <c r="D34" s="217">
        <f t="shared" ref="D34:AE34" si="13">COUNTIF(D17:D25,"&lt;&gt;")</f>
        <v>1</v>
      </c>
      <c r="E34" s="217">
        <f t="shared" si="13"/>
        <v>1</v>
      </c>
      <c r="F34" s="217">
        <f t="shared" si="13"/>
        <v>1</v>
      </c>
      <c r="G34" s="217">
        <f t="shared" si="13"/>
        <v>1</v>
      </c>
      <c r="H34" s="217">
        <f t="shared" si="13"/>
        <v>1</v>
      </c>
      <c r="I34" s="217">
        <f t="shared" si="13"/>
        <v>1</v>
      </c>
      <c r="J34" s="217">
        <f t="shared" si="13"/>
        <v>1</v>
      </c>
      <c r="K34" s="217">
        <f t="shared" si="13"/>
        <v>1</v>
      </c>
      <c r="L34" s="217">
        <f t="shared" si="13"/>
        <v>1</v>
      </c>
      <c r="M34" s="217">
        <f t="shared" si="13"/>
        <v>1</v>
      </c>
      <c r="N34" s="217">
        <f t="shared" si="13"/>
        <v>1</v>
      </c>
      <c r="O34" s="217">
        <f t="shared" si="13"/>
        <v>1</v>
      </c>
      <c r="P34" s="216">
        <f t="shared" si="13"/>
        <v>1</v>
      </c>
      <c r="Q34" s="217">
        <f t="shared" si="13"/>
        <v>1</v>
      </c>
      <c r="R34" s="217">
        <f t="shared" si="13"/>
        <v>1</v>
      </c>
      <c r="S34" s="217">
        <f t="shared" si="13"/>
        <v>1</v>
      </c>
      <c r="T34" s="217">
        <f t="shared" si="13"/>
        <v>1</v>
      </c>
      <c r="U34" s="217">
        <f t="shared" si="13"/>
        <v>1</v>
      </c>
      <c r="V34" s="217">
        <f t="shared" si="13"/>
        <v>1</v>
      </c>
      <c r="W34" s="217">
        <f t="shared" si="13"/>
        <v>1</v>
      </c>
      <c r="X34" s="217">
        <f t="shared" si="13"/>
        <v>1</v>
      </c>
      <c r="Y34" s="217">
        <f t="shared" si="13"/>
        <v>1</v>
      </c>
      <c r="Z34" s="217">
        <f t="shared" si="13"/>
        <v>1</v>
      </c>
      <c r="AA34" s="217">
        <f t="shared" si="13"/>
        <v>1</v>
      </c>
      <c r="AB34" s="217">
        <f t="shared" si="13"/>
        <v>1</v>
      </c>
      <c r="AC34" s="217">
        <f t="shared" si="13"/>
        <v>6</v>
      </c>
      <c r="AD34" s="387">
        <f t="shared" si="13"/>
        <v>1</v>
      </c>
      <c r="AE34" s="387">
        <f t="shared" si="13"/>
        <v>1</v>
      </c>
      <c r="AF34" s="388"/>
      <c r="AG34" s="30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308"/>
      <c r="AU34" s="308"/>
    </row>
    <row r="35" ht="15.0" customHeight="1" outlineLevel="1">
      <c r="A35" s="308"/>
      <c r="B35" s="441" t="s">
        <v>278</v>
      </c>
      <c r="C35" s="442"/>
      <c r="D35" s="443">
        <f t="shared" ref="D35:O35" si="14">SUMPRODUCT($C17:$C25,D17:D25)</f>
        <v>2200</v>
      </c>
      <c r="E35" s="443">
        <f t="shared" si="14"/>
        <v>2200</v>
      </c>
      <c r="F35" s="443">
        <f t="shared" si="14"/>
        <v>2200</v>
      </c>
      <c r="G35" s="443">
        <f t="shared" si="14"/>
        <v>2200</v>
      </c>
      <c r="H35" s="443">
        <f t="shared" si="14"/>
        <v>2200</v>
      </c>
      <c r="I35" s="443">
        <f t="shared" si="14"/>
        <v>2200</v>
      </c>
      <c r="J35" s="443">
        <f t="shared" si="14"/>
        <v>2200</v>
      </c>
      <c r="K35" s="443">
        <f t="shared" si="14"/>
        <v>2200</v>
      </c>
      <c r="L35" s="443">
        <f t="shared" si="14"/>
        <v>2200</v>
      </c>
      <c r="M35" s="443">
        <f t="shared" si="14"/>
        <v>2200</v>
      </c>
      <c r="N35" s="443">
        <f t="shared" si="14"/>
        <v>2200</v>
      </c>
      <c r="O35" s="443">
        <f t="shared" si="14"/>
        <v>2200</v>
      </c>
      <c r="P35" s="189">
        <f t="shared" ref="P35:P40" si="17">SUM(D35:O35)</f>
        <v>26400</v>
      </c>
      <c r="Q35" s="443">
        <f t="shared" ref="Q35:AB35" si="15">SUMPRODUCT($C17:$C25,Q17:Q25)</f>
        <v>2200</v>
      </c>
      <c r="R35" s="443">
        <f t="shared" si="15"/>
        <v>2200</v>
      </c>
      <c r="S35" s="443">
        <f t="shared" si="15"/>
        <v>2200</v>
      </c>
      <c r="T35" s="443">
        <f t="shared" si="15"/>
        <v>2200</v>
      </c>
      <c r="U35" s="443">
        <f t="shared" si="15"/>
        <v>2200</v>
      </c>
      <c r="V35" s="443">
        <f t="shared" si="15"/>
        <v>2200</v>
      </c>
      <c r="W35" s="443">
        <f t="shared" si="15"/>
        <v>2200</v>
      </c>
      <c r="X35" s="443">
        <f t="shared" si="15"/>
        <v>2200</v>
      </c>
      <c r="Y35" s="443">
        <f t="shared" si="15"/>
        <v>2200</v>
      </c>
      <c r="Z35" s="443">
        <f t="shared" si="15"/>
        <v>2200</v>
      </c>
      <c r="AA35" s="443">
        <f t="shared" si="15"/>
        <v>2200</v>
      </c>
      <c r="AB35" s="443">
        <f t="shared" si="15"/>
        <v>2200</v>
      </c>
      <c r="AC35" s="189">
        <f t="shared" ref="AC35:AC40" si="19">SUM(Q35:AB35)</f>
        <v>26400</v>
      </c>
      <c r="AD35" s="444">
        <f>SUMPRODUCT($C16:$C25,AD16:AD25)*(1+Inflation_salaires)*12</f>
        <v>27720</v>
      </c>
      <c r="AE35" s="444">
        <f>SUMPRODUCT($C16:$C25,AE16:AE25)*(1+Inflation_salaires)^2*12</f>
        <v>29106</v>
      </c>
      <c r="AF35" s="187"/>
      <c r="AG35" s="308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  <c r="AS35" s="308"/>
      <c r="AT35" s="308"/>
      <c r="AU35" s="308"/>
    </row>
    <row r="36" ht="15.0" customHeight="1" outlineLevel="1">
      <c r="A36" s="308"/>
      <c r="B36" s="441" t="s">
        <v>279</v>
      </c>
      <c r="C36" s="389"/>
      <c r="D36" s="221">
        <f t="shared" ref="D36:O36" si="16">SUMPRODUCT($C27:$C33,D27:D33)</f>
        <v>0</v>
      </c>
      <c r="E36" s="221">
        <f t="shared" si="16"/>
        <v>0</v>
      </c>
      <c r="F36" s="221">
        <f t="shared" si="16"/>
        <v>0</v>
      </c>
      <c r="G36" s="221">
        <f t="shared" si="16"/>
        <v>0</v>
      </c>
      <c r="H36" s="221">
        <f t="shared" si="16"/>
        <v>500</v>
      </c>
      <c r="I36" s="221">
        <f t="shared" si="16"/>
        <v>500</v>
      </c>
      <c r="J36" s="221">
        <f t="shared" si="16"/>
        <v>500</v>
      </c>
      <c r="K36" s="221">
        <f t="shared" si="16"/>
        <v>500</v>
      </c>
      <c r="L36" s="221">
        <f t="shared" si="16"/>
        <v>500</v>
      </c>
      <c r="M36" s="221">
        <f t="shared" si="16"/>
        <v>500</v>
      </c>
      <c r="N36" s="221">
        <f t="shared" si="16"/>
        <v>0</v>
      </c>
      <c r="O36" s="221">
        <f t="shared" si="16"/>
        <v>0</v>
      </c>
      <c r="P36" s="189">
        <f t="shared" si="17"/>
        <v>3000</v>
      </c>
      <c r="Q36" s="445">
        <f t="shared" ref="Q36:AB36" si="18">SUMPRODUCT($C27:$C33,Q27:Q33)</f>
        <v>0</v>
      </c>
      <c r="R36" s="446">
        <f t="shared" si="18"/>
        <v>0</v>
      </c>
      <c r="S36" s="446">
        <f t="shared" si="18"/>
        <v>0</v>
      </c>
      <c r="T36" s="446">
        <f t="shared" si="18"/>
        <v>0</v>
      </c>
      <c r="U36" s="446">
        <f t="shared" si="18"/>
        <v>500</v>
      </c>
      <c r="V36" s="446">
        <f t="shared" si="18"/>
        <v>500</v>
      </c>
      <c r="W36" s="446">
        <f t="shared" si="18"/>
        <v>500</v>
      </c>
      <c r="X36" s="446">
        <f t="shared" si="18"/>
        <v>500</v>
      </c>
      <c r="Y36" s="446">
        <f t="shared" si="18"/>
        <v>500</v>
      </c>
      <c r="Z36" s="446">
        <f t="shared" si="18"/>
        <v>500</v>
      </c>
      <c r="AA36" s="446">
        <f t="shared" si="18"/>
        <v>0</v>
      </c>
      <c r="AB36" s="446">
        <f t="shared" si="18"/>
        <v>0</v>
      </c>
      <c r="AC36" s="189">
        <f t="shared" si="19"/>
        <v>3000</v>
      </c>
      <c r="AD36" s="444">
        <f>SUMPRODUCT($C27:$C32,AD27:AD32)*(1+Inflation_salaires)*12</f>
        <v>3150</v>
      </c>
      <c r="AE36" s="444">
        <f>SUMPRODUCT($C27:$C32,AE27:AE32)*(1+Inflation_salaires)^2*12</f>
        <v>3307.5</v>
      </c>
      <c r="AF36" s="187"/>
      <c r="AG36" s="308"/>
      <c r="AH36" s="308"/>
      <c r="AI36" s="308"/>
      <c r="AJ36" s="308"/>
      <c r="AK36" s="308"/>
      <c r="AL36" s="308"/>
      <c r="AM36" s="308"/>
      <c r="AN36" s="308"/>
      <c r="AO36" s="308"/>
      <c r="AP36" s="308"/>
      <c r="AQ36" s="308"/>
      <c r="AR36" s="308"/>
      <c r="AS36" s="308"/>
      <c r="AT36" s="308"/>
      <c r="AU36" s="308"/>
    </row>
    <row r="37" ht="15.0" customHeight="1" outlineLevel="1">
      <c r="A37" s="308"/>
      <c r="B37" s="256" t="s">
        <v>248</v>
      </c>
      <c r="C37" s="189"/>
      <c r="D37" s="221">
        <f>IF(Statut_JEI=1,Personnel!D36*Taux_Charges_Sociales_JEI,Personnel!D35*Taux_charges_sociales)</f>
        <v>990</v>
      </c>
      <c r="E37" s="221">
        <f>IF(Statut_JEI=1,Personnel!E36*Taux_Charges_Sociales_JEI,Personnel!E35*Taux_charges_sociales)</f>
        <v>990</v>
      </c>
      <c r="F37" s="221">
        <f>IF(Statut_JEI=1,Personnel!F36*Taux_Charges_Sociales_JEI,Personnel!F35*Taux_charges_sociales)</f>
        <v>990</v>
      </c>
      <c r="G37" s="221">
        <f>IF(Statut_JEI=1,Personnel!G36*Taux_Charges_Sociales_JEI,Personnel!G35*Taux_charges_sociales)</f>
        <v>990</v>
      </c>
      <c r="H37" s="221">
        <f>IF(Statut_JEI=1,Personnel!H36*Taux_Charges_Sociales_JEI,Personnel!H35*Taux_charges_sociales)</f>
        <v>990</v>
      </c>
      <c r="I37" s="221">
        <f>IF(Statut_JEI=1,Personnel!I36*Taux_Charges_Sociales_JEI,Personnel!I35*Taux_charges_sociales)</f>
        <v>990</v>
      </c>
      <c r="J37" s="221">
        <f>IF(Statut_JEI=1,Personnel!J36*Taux_Charges_Sociales_JEI,Personnel!J35*Taux_charges_sociales)</f>
        <v>990</v>
      </c>
      <c r="K37" s="221">
        <f>IF(Statut_JEI=1,Personnel!K36*Taux_Charges_Sociales_JEI,Personnel!K35*Taux_charges_sociales)</f>
        <v>990</v>
      </c>
      <c r="L37" s="221">
        <f>IF(Statut_JEI=1,Personnel!L36*Taux_Charges_Sociales_JEI,Personnel!L35*Taux_charges_sociales)</f>
        <v>990</v>
      </c>
      <c r="M37" s="221">
        <f>IF(Statut_JEI=1,Personnel!M36*Taux_Charges_Sociales_JEI,Personnel!M35*Taux_charges_sociales)</f>
        <v>990</v>
      </c>
      <c r="N37" s="221">
        <f>IF(Statut_JEI=1,Personnel!N36*Taux_Charges_Sociales_JEI,Personnel!N35*Taux_charges_sociales)</f>
        <v>990</v>
      </c>
      <c r="O37" s="221">
        <f>IF(Statut_JEI=1,Personnel!O36*Taux_Charges_Sociales_JEI,Personnel!O35*Taux_charges_sociales)</f>
        <v>990</v>
      </c>
      <c r="P37" s="447">
        <f t="shared" si="17"/>
        <v>11880</v>
      </c>
      <c r="Q37" s="221">
        <f>IF(Statut_JEI=1,Personnel!Q36*Taux_Charges_Sociales_JEI,Personnel!Q35*Taux_charges_sociales)</f>
        <v>990</v>
      </c>
      <c r="R37" s="221">
        <f>IF(Statut_JEI=1,Personnel!R36*Taux_Charges_Sociales_JEI,Personnel!R35*Taux_charges_sociales)</f>
        <v>990</v>
      </c>
      <c r="S37" s="221">
        <f>IF(Statut_JEI=1,Personnel!S36*Taux_Charges_Sociales_JEI,Personnel!S35*Taux_charges_sociales)</f>
        <v>990</v>
      </c>
      <c r="T37" s="221">
        <f>IF(Statut_JEI=1,Personnel!T36*Taux_Charges_Sociales_JEI,Personnel!T35*Taux_charges_sociales)</f>
        <v>990</v>
      </c>
      <c r="U37" s="221">
        <f>IF(Statut_JEI=1,Personnel!U36*Taux_Charges_Sociales_JEI,Personnel!U35*Taux_charges_sociales)</f>
        <v>990</v>
      </c>
      <c r="V37" s="221">
        <f>IF(Statut_JEI=1,Personnel!V36*Taux_Charges_Sociales_JEI,Personnel!V35*Taux_charges_sociales)</f>
        <v>990</v>
      </c>
      <c r="W37" s="221">
        <f>IF(Statut_JEI=1,Personnel!W36*Taux_Charges_Sociales_JEI,Personnel!W35*Taux_charges_sociales)</f>
        <v>990</v>
      </c>
      <c r="X37" s="221">
        <f>IF(Statut_JEI=1,Personnel!X36*Taux_Charges_Sociales_JEI,Personnel!X35*Taux_charges_sociales)</f>
        <v>990</v>
      </c>
      <c r="Y37" s="221">
        <f>IF(Statut_JEI=1,Personnel!Y36*Taux_Charges_Sociales_JEI,Personnel!Y35*Taux_charges_sociales)</f>
        <v>990</v>
      </c>
      <c r="Z37" s="221">
        <f>IF(Statut_JEI=1,Personnel!Z36*Taux_Charges_Sociales_JEI,Personnel!Z35*Taux_charges_sociales)</f>
        <v>990</v>
      </c>
      <c r="AA37" s="221">
        <f>IF(Statut_JEI=1,Personnel!AA36*Taux_Charges_Sociales_JEI,Personnel!AA35*Taux_charges_sociales)</f>
        <v>990</v>
      </c>
      <c r="AB37" s="221">
        <f>IF(Statut_JEI=1,Personnel!AB36*Taux_Charges_Sociales_JEI,Personnel!AB35*Taux_charges_sociales)</f>
        <v>990</v>
      </c>
      <c r="AC37" s="447">
        <f t="shared" si="19"/>
        <v>11880</v>
      </c>
      <c r="AD37" s="444">
        <f>IF(Statut_JEI=1,Personnel!AD36*Taux_Charges_Sociales_JEI,Personnel!AD35*Taux_charges_sociales)</f>
        <v>12474</v>
      </c>
      <c r="AE37" s="444">
        <f>IF(Statut_JEI=1,Personnel!AE36*Taux_Charges_Sociales_JEI,Personnel!AE35*Taux_charges_sociales)</f>
        <v>13097.7</v>
      </c>
      <c r="AF37" s="187"/>
      <c r="AG37" s="448"/>
      <c r="AH37" s="448"/>
      <c r="AI37" s="448"/>
      <c r="AJ37" s="448"/>
      <c r="AK37" s="448"/>
      <c r="AL37" s="448"/>
      <c r="AM37" s="448"/>
      <c r="AN37" s="308"/>
      <c r="AO37" s="308"/>
      <c r="AP37" s="308"/>
      <c r="AQ37" s="308"/>
      <c r="AR37" s="308"/>
      <c r="AS37" s="308"/>
      <c r="AT37" s="308"/>
      <c r="AU37" s="308"/>
    </row>
    <row r="38" ht="15.0" customHeight="1" outlineLevel="1">
      <c r="A38" s="308"/>
      <c r="B38" s="391" t="s">
        <v>249</v>
      </c>
      <c r="C38" s="230"/>
      <c r="D38" s="392">
        <f t="shared" ref="D38:O38" si="20">D33*$C$33/12</f>
        <v>0</v>
      </c>
      <c r="E38" s="392">
        <f t="shared" si="20"/>
        <v>0</v>
      </c>
      <c r="F38" s="392">
        <f t="shared" si="20"/>
        <v>0</v>
      </c>
      <c r="G38" s="392">
        <f t="shared" si="20"/>
        <v>0</v>
      </c>
      <c r="H38" s="392">
        <f t="shared" si="20"/>
        <v>0</v>
      </c>
      <c r="I38" s="392">
        <f t="shared" si="20"/>
        <v>0</v>
      </c>
      <c r="J38" s="392">
        <f t="shared" si="20"/>
        <v>0</v>
      </c>
      <c r="K38" s="392">
        <f t="shared" si="20"/>
        <v>0</v>
      </c>
      <c r="L38" s="392">
        <f t="shared" si="20"/>
        <v>0</v>
      </c>
      <c r="M38" s="392">
        <f t="shared" si="20"/>
        <v>0</v>
      </c>
      <c r="N38" s="392">
        <f t="shared" si="20"/>
        <v>0</v>
      </c>
      <c r="O38" s="392">
        <f t="shared" si="20"/>
        <v>0</v>
      </c>
      <c r="P38" s="383">
        <f t="shared" si="17"/>
        <v>0</v>
      </c>
      <c r="Q38" s="392">
        <f>Q33*$C33/12*(1+Inflation_salaires)</f>
        <v>0</v>
      </c>
      <c r="R38" s="392">
        <f>R33*$C33/12*(1+Inflation_salaires)</f>
        <v>0</v>
      </c>
      <c r="S38" s="392">
        <f>S33*$C33/12*(1+Inflation_salaires)</f>
        <v>0</v>
      </c>
      <c r="T38" s="392">
        <f>T33*$C33/12*(1+Inflation_salaires)</f>
        <v>0</v>
      </c>
      <c r="U38" s="392">
        <f>U33*$C33/12*(1+Inflation_salaires)</f>
        <v>0</v>
      </c>
      <c r="V38" s="392">
        <f>V33*$C33/12*(1+Inflation_salaires)</f>
        <v>0</v>
      </c>
      <c r="W38" s="392">
        <f>W33*$C33/12*(1+Inflation_salaires)</f>
        <v>0</v>
      </c>
      <c r="X38" s="392">
        <f>X33*$C33/12*(1+Inflation_salaires)</f>
        <v>0</v>
      </c>
      <c r="Y38" s="392">
        <f>Y33*$C33/12*(1+Inflation_salaires)</f>
        <v>0</v>
      </c>
      <c r="Z38" s="392">
        <f>Z33*$C33/12*(1+Inflation_salaires)</f>
        <v>0</v>
      </c>
      <c r="AA38" s="392">
        <f>AA33*$C33/12*(1+Inflation_salaires)</f>
        <v>0</v>
      </c>
      <c r="AB38" s="393">
        <f>AB33*$C33/12*(1+Inflation_salaires)</f>
        <v>0</v>
      </c>
      <c r="AC38" s="392">
        <f t="shared" si="19"/>
        <v>0</v>
      </c>
      <c r="AD38" s="395">
        <f>AD33*$C33*(1+Inflation_salaires)^2</f>
        <v>0</v>
      </c>
      <c r="AE38" s="395">
        <f>AE33*$C33*(1+Inflation_salaires)^2</f>
        <v>0</v>
      </c>
      <c r="AF38" s="187"/>
      <c r="AG38" s="448"/>
      <c r="AH38" s="448"/>
      <c r="AI38" s="448"/>
      <c r="AJ38" s="448"/>
      <c r="AK38" s="448"/>
      <c r="AL38" s="448"/>
      <c r="AM38" s="448"/>
      <c r="AN38" s="308"/>
      <c r="AO38" s="308"/>
      <c r="AP38" s="308"/>
      <c r="AQ38" s="308"/>
      <c r="AR38" s="308"/>
      <c r="AS38" s="308"/>
      <c r="AT38" s="308"/>
      <c r="AU38" s="308"/>
    </row>
    <row r="39" ht="12.75" customHeight="1">
      <c r="A39" s="308"/>
      <c r="B39" s="397" t="s">
        <v>280</v>
      </c>
      <c r="C39" s="398"/>
      <c r="D39" s="399">
        <f t="shared" ref="D39:O39" si="21">SUM(D35:D38)</f>
        <v>3190</v>
      </c>
      <c r="E39" s="399">
        <f t="shared" si="21"/>
        <v>3190</v>
      </c>
      <c r="F39" s="399">
        <f t="shared" si="21"/>
        <v>3190</v>
      </c>
      <c r="G39" s="399">
        <f t="shared" si="21"/>
        <v>3190</v>
      </c>
      <c r="H39" s="399">
        <f t="shared" si="21"/>
        <v>3690</v>
      </c>
      <c r="I39" s="399">
        <f t="shared" si="21"/>
        <v>3690</v>
      </c>
      <c r="J39" s="399">
        <f t="shared" si="21"/>
        <v>3690</v>
      </c>
      <c r="K39" s="399">
        <f t="shared" si="21"/>
        <v>3690</v>
      </c>
      <c r="L39" s="399">
        <f t="shared" si="21"/>
        <v>3690</v>
      </c>
      <c r="M39" s="399">
        <f t="shared" si="21"/>
        <v>3690</v>
      </c>
      <c r="N39" s="399">
        <f t="shared" si="21"/>
        <v>3190</v>
      </c>
      <c r="O39" s="399">
        <f t="shared" si="21"/>
        <v>3190</v>
      </c>
      <c r="P39" s="398">
        <f t="shared" si="17"/>
        <v>41280</v>
      </c>
      <c r="Q39" s="399">
        <f t="shared" ref="Q39:AB39" si="22">SUM(Q35:Q38)</f>
        <v>3190</v>
      </c>
      <c r="R39" s="399">
        <f t="shared" si="22"/>
        <v>3190</v>
      </c>
      <c r="S39" s="399">
        <f t="shared" si="22"/>
        <v>3190</v>
      </c>
      <c r="T39" s="399">
        <f t="shared" si="22"/>
        <v>3190</v>
      </c>
      <c r="U39" s="399">
        <f t="shared" si="22"/>
        <v>3690</v>
      </c>
      <c r="V39" s="399">
        <f t="shared" si="22"/>
        <v>3690</v>
      </c>
      <c r="W39" s="399">
        <f t="shared" si="22"/>
        <v>3690</v>
      </c>
      <c r="X39" s="399">
        <f t="shared" si="22"/>
        <v>3690</v>
      </c>
      <c r="Y39" s="399">
        <f t="shared" si="22"/>
        <v>3690</v>
      </c>
      <c r="Z39" s="399">
        <f t="shared" si="22"/>
        <v>3690</v>
      </c>
      <c r="AA39" s="399">
        <f t="shared" si="22"/>
        <v>3190</v>
      </c>
      <c r="AB39" s="399">
        <f t="shared" si="22"/>
        <v>3190</v>
      </c>
      <c r="AC39" s="398">
        <f t="shared" si="19"/>
        <v>41280</v>
      </c>
      <c r="AD39" s="401">
        <f t="shared" ref="AD39:AE39" si="23">SUM(AD35:AD38)</f>
        <v>43344</v>
      </c>
      <c r="AE39" s="401">
        <f t="shared" si="23"/>
        <v>45511.2</v>
      </c>
      <c r="AF39" s="388"/>
      <c r="AG39" s="308"/>
      <c r="AH39" s="308"/>
      <c r="AI39" s="308"/>
      <c r="AJ39" s="308"/>
      <c r="AK39" s="308"/>
      <c r="AL39" s="308"/>
      <c r="AM39" s="308"/>
      <c r="AN39" s="308"/>
      <c r="AO39" s="308"/>
      <c r="AP39" s="308"/>
      <c r="AQ39" s="308"/>
      <c r="AR39" s="308"/>
      <c r="AS39" s="308"/>
      <c r="AT39" s="308"/>
      <c r="AU39" s="308"/>
    </row>
    <row r="40" ht="12.75" customHeight="1">
      <c r="A40" s="308"/>
      <c r="B40" s="402" t="s">
        <v>281</v>
      </c>
      <c r="C40" s="335"/>
      <c r="D40" s="403">
        <f>-(D35+D36+D37+D38)*Salaires_Immob_Prod_Dev</f>
        <v>0</v>
      </c>
      <c r="E40" s="403">
        <f>-(E36+E37+E38)*Salaires_Immob_Prod_Dev</f>
        <v>0</v>
      </c>
      <c r="F40" s="403">
        <f>-(F36+F37+F38)*Salaires_Immob_Prod_Dev</f>
        <v>0</v>
      </c>
      <c r="G40" s="403">
        <f>-(G36+G37+G38)*Salaires_Immob_Prod_Dev</f>
        <v>0</v>
      </c>
      <c r="H40" s="403">
        <f>-(H36+H37+H38)*Salaires_Immob_Prod_Dev</f>
        <v>0</v>
      </c>
      <c r="I40" s="403">
        <f>-(I36+I37+I38)*Salaires_Immob_Prod_Dev</f>
        <v>0</v>
      </c>
      <c r="J40" s="403">
        <f>-(J36+J37+J38)*Salaires_Immob_Prod_Dev</f>
        <v>0</v>
      </c>
      <c r="K40" s="403">
        <f>-(K36+K37+K38)*Salaires_Immob_Prod_Dev</f>
        <v>0</v>
      </c>
      <c r="L40" s="403">
        <f>-(L36+L37+L38)*Salaires_Immob_Prod_Dev</f>
        <v>0</v>
      </c>
      <c r="M40" s="403">
        <f>-(M36+M37+M38)*Salaires_Immob_Prod_Dev</f>
        <v>0</v>
      </c>
      <c r="N40" s="403">
        <f>-(N36+N37+N38)*Salaires_Immob_Prod_Dev</f>
        <v>0</v>
      </c>
      <c r="O40" s="404">
        <f>-(O36+O37+O38)*Salaires_Immob_Prod_Dev</f>
        <v>0</v>
      </c>
      <c r="P40" s="405">
        <f t="shared" si="17"/>
        <v>0</v>
      </c>
      <c r="Q40" s="403">
        <f>-(Q36+Q37+Q38)*Salaires_Immob_Prod_Dev</f>
        <v>0</v>
      </c>
      <c r="R40" s="403">
        <f>-(R36+R37+R38)*Salaires_Immob_Prod_Dev</f>
        <v>0</v>
      </c>
      <c r="S40" s="403">
        <f>-(S36+S37+S38)*Salaires_Immob_Prod_Dev</f>
        <v>0</v>
      </c>
      <c r="T40" s="403">
        <f>-(T36+T37+T38)*Salaires_Immob_Prod_Dev</f>
        <v>0</v>
      </c>
      <c r="U40" s="403">
        <f>-(U36+U37+U38)*Salaires_Immob_Prod_Dev</f>
        <v>0</v>
      </c>
      <c r="V40" s="403">
        <f>-(V36+V37+V38)*Salaires_Immob_Prod_Dev</f>
        <v>0</v>
      </c>
      <c r="W40" s="403">
        <f>-(W36+W37+W38)*Salaires_Immob_Prod_Dev</f>
        <v>0</v>
      </c>
      <c r="X40" s="403">
        <f>-(X36+X37+X38)*Salaires_Immob_Prod_Dev</f>
        <v>0</v>
      </c>
      <c r="Y40" s="403">
        <f>-(Y36+Y37+Y38)*Salaires_Immob_Prod_Dev</f>
        <v>0</v>
      </c>
      <c r="Z40" s="403">
        <f>-(Z36+Z37+Z38)*Salaires_Immob_Prod_Dev</f>
        <v>0</v>
      </c>
      <c r="AA40" s="403">
        <f>-(AA36+AA37+AA38)*Salaires_Immob_Prod_Dev</f>
        <v>0</v>
      </c>
      <c r="AB40" s="404">
        <f>-(AB36+AB37+AB38)*Salaires_Immob_Prod_Dev</f>
        <v>0</v>
      </c>
      <c r="AC40" s="405">
        <f t="shared" si="19"/>
        <v>0</v>
      </c>
      <c r="AD40" s="405">
        <f>-(AD35+AD37+AD38)*Salaires_Immob_Prod_Dev</f>
        <v>0</v>
      </c>
      <c r="AE40" s="403">
        <f>-(AE36+AE37+AE38)*Salaires_Immob_Prod_Dev</f>
        <v>0</v>
      </c>
      <c r="AF40" s="187"/>
      <c r="AG40" s="308"/>
      <c r="AH40" s="308"/>
      <c r="AI40" s="308"/>
      <c r="AJ40" s="308"/>
      <c r="AK40" s="308"/>
      <c r="AL40" s="308"/>
      <c r="AM40" s="308"/>
      <c r="AN40" s="308"/>
      <c r="AO40" s="308"/>
      <c r="AP40" s="308"/>
      <c r="AQ40" s="308"/>
      <c r="AR40" s="308"/>
      <c r="AS40" s="308"/>
      <c r="AT40" s="308"/>
      <c r="AU40" s="308"/>
    </row>
    <row r="41" ht="12.0" customHeight="1">
      <c r="A41" s="187"/>
      <c r="B41" s="314"/>
      <c r="C41" s="449"/>
      <c r="D41" s="187"/>
      <c r="E41" s="187"/>
      <c r="F41" s="406"/>
      <c r="G41" s="406"/>
      <c r="H41" s="406"/>
      <c r="I41" s="406"/>
      <c r="J41" s="406"/>
      <c r="K41" s="406"/>
      <c r="L41" s="406"/>
      <c r="M41" s="406"/>
      <c r="N41" s="187"/>
      <c r="O41" s="407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407"/>
      <c r="AC41" s="341"/>
      <c r="AD41" s="408"/>
      <c r="AE41" s="408"/>
      <c r="AF41" s="388"/>
      <c r="AG41" s="187"/>
      <c r="AH41" s="187"/>
      <c r="AI41" s="343"/>
      <c r="AJ41" s="295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</row>
    <row r="42" ht="12.0" customHeight="1">
      <c r="A42" s="187"/>
      <c r="B42" s="314"/>
      <c r="C42" s="449"/>
      <c r="D42" s="187"/>
      <c r="E42" s="187"/>
      <c r="F42" s="406"/>
      <c r="G42" s="406"/>
      <c r="H42" s="406"/>
      <c r="I42" s="406"/>
      <c r="J42" s="406"/>
      <c r="K42" s="406"/>
      <c r="L42" s="406"/>
      <c r="M42" s="406"/>
      <c r="N42" s="187"/>
      <c r="O42" s="407" t="s">
        <v>244</v>
      </c>
      <c r="P42" s="341">
        <f>IF(SUM(D39:O39)=P39,0,P39-SUM(D39:O39))</f>
        <v>0</v>
      </c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41"/>
      <c r="AB42" s="407"/>
      <c r="AC42" s="341">
        <f>IF(SUM(Q39:AB39)=AC39,0,AC39-SUM(Q39:AB39))</f>
        <v>0</v>
      </c>
      <c r="AD42" s="408"/>
      <c r="AE42" s="408"/>
      <c r="AF42" s="388"/>
      <c r="AG42" s="187"/>
      <c r="AH42" s="187"/>
      <c r="AI42" s="343"/>
      <c r="AJ42" s="295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</row>
    <row r="43" ht="24.75" customHeight="1">
      <c r="A43" s="180"/>
      <c r="B43" s="181" t="s">
        <v>282</v>
      </c>
      <c r="C43" s="374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3"/>
      <c r="AC43" s="373"/>
      <c r="AD43" s="373"/>
      <c r="AE43" s="373"/>
      <c r="AF43" s="375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</row>
    <row r="44" ht="15.0" hidden="1" customHeight="1" outlineLevel="1">
      <c r="A44" s="308"/>
      <c r="B44" s="450"/>
      <c r="C44" s="228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7"/>
      <c r="P44" s="379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7"/>
      <c r="AC44" s="379">
        <f t="shared" ref="AC44:AC51" si="24">SUM(Q44:AB44)/12</f>
        <v>0</v>
      </c>
      <c r="AD44" s="435"/>
      <c r="AE44" s="451"/>
      <c r="AF44" s="308"/>
      <c r="AG44" s="256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343"/>
      <c r="AU44" s="343"/>
    </row>
    <row r="45" ht="15.0" hidden="1" customHeight="1" outlineLevel="1">
      <c r="A45" s="308"/>
      <c r="B45" s="410"/>
      <c r="C45" s="228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452"/>
      <c r="P45" s="379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452"/>
      <c r="AC45" s="379">
        <f t="shared" si="24"/>
        <v>0</v>
      </c>
      <c r="AD45" s="380"/>
      <c r="AE45" s="226"/>
      <c r="AF45" s="308"/>
      <c r="AG45" s="256"/>
      <c r="AH45" s="308"/>
      <c r="AI45" s="308"/>
      <c r="AJ45" s="308"/>
      <c r="AK45" s="308"/>
      <c r="AL45" s="308"/>
      <c r="AM45" s="308"/>
      <c r="AN45" s="308"/>
      <c r="AO45" s="308"/>
      <c r="AP45" s="308"/>
      <c r="AQ45" s="308"/>
      <c r="AR45" s="308"/>
      <c r="AS45" s="308"/>
      <c r="AT45" s="343"/>
      <c r="AU45" s="343"/>
    </row>
    <row r="46" ht="15.0" hidden="1" customHeight="1" outlineLevel="1">
      <c r="A46" s="308"/>
      <c r="B46" s="410"/>
      <c r="C46" s="228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426"/>
      <c r="P46" s="379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426"/>
      <c r="AC46" s="379">
        <f t="shared" si="24"/>
        <v>0</v>
      </c>
      <c r="AD46" s="380"/>
      <c r="AE46" s="226"/>
      <c r="AF46" s="308"/>
      <c r="AG46" s="256"/>
      <c r="AH46" s="308"/>
      <c r="AI46" s="308"/>
      <c r="AJ46" s="308"/>
      <c r="AK46" s="308"/>
      <c r="AL46" s="308"/>
      <c r="AM46" s="308"/>
      <c r="AN46" s="308"/>
      <c r="AO46" s="308"/>
      <c r="AP46" s="308"/>
      <c r="AQ46" s="308"/>
      <c r="AR46" s="308"/>
      <c r="AS46" s="308"/>
      <c r="AT46" s="343"/>
      <c r="AU46" s="343"/>
    </row>
    <row r="47" ht="15.0" hidden="1" customHeight="1" outlineLevel="1">
      <c r="A47" s="308"/>
      <c r="B47" s="376"/>
      <c r="C47" s="228"/>
      <c r="D47" s="225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426"/>
      <c r="P47" s="379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426"/>
      <c r="AC47" s="379">
        <f t="shared" si="24"/>
        <v>0</v>
      </c>
      <c r="AD47" s="380"/>
      <c r="AE47" s="226"/>
      <c r="AF47" s="308"/>
      <c r="AG47" s="256"/>
      <c r="AH47" s="308"/>
      <c r="AI47" s="308"/>
      <c r="AJ47" s="308"/>
      <c r="AK47" s="308"/>
      <c r="AL47" s="308"/>
      <c r="AM47" s="308"/>
      <c r="AN47" s="308"/>
      <c r="AO47" s="308"/>
      <c r="AP47" s="308"/>
      <c r="AQ47" s="308"/>
      <c r="AR47" s="308"/>
      <c r="AS47" s="308"/>
      <c r="AT47" s="343"/>
      <c r="AU47" s="343"/>
    </row>
    <row r="48" ht="15.0" hidden="1" customHeight="1" outlineLevel="1">
      <c r="A48" s="308"/>
      <c r="B48" s="376"/>
      <c r="C48" s="228"/>
      <c r="D48" s="225"/>
      <c r="E48" s="225"/>
      <c r="F48" s="225"/>
      <c r="G48" s="225"/>
      <c r="H48" s="225"/>
      <c r="I48" s="225"/>
      <c r="J48" s="225"/>
      <c r="K48" s="225"/>
      <c r="L48" s="225"/>
      <c r="M48" s="226"/>
      <c r="N48" s="226"/>
      <c r="O48" s="452"/>
      <c r="P48" s="379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426"/>
      <c r="AC48" s="379">
        <f t="shared" si="24"/>
        <v>0</v>
      </c>
      <c r="AD48" s="435"/>
      <c r="AE48" s="226"/>
      <c r="AF48" s="308"/>
      <c r="AG48" s="256"/>
      <c r="AH48" s="308"/>
      <c r="AI48" s="308"/>
      <c r="AJ48" s="308"/>
      <c r="AK48" s="308"/>
      <c r="AL48" s="308"/>
      <c r="AM48" s="308"/>
      <c r="AN48" s="308"/>
      <c r="AO48" s="308"/>
      <c r="AP48" s="308"/>
      <c r="AQ48" s="308"/>
      <c r="AR48" s="308"/>
      <c r="AS48" s="308"/>
      <c r="AT48" s="343"/>
      <c r="AU48" s="343"/>
    </row>
    <row r="49" ht="15.0" hidden="1" customHeight="1" outlineLevel="1">
      <c r="A49" s="308"/>
      <c r="B49" s="376"/>
      <c r="C49" s="228"/>
      <c r="D49" s="225"/>
      <c r="E49" s="225"/>
      <c r="F49" s="225"/>
      <c r="G49" s="225"/>
      <c r="H49" s="225"/>
      <c r="I49" s="225"/>
      <c r="J49" s="226"/>
      <c r="K49" s="226"/>
      <c r="L49" s="226"/>
      <c r="M49" s="226"/>
      <c r="N49" s="226"/>
      <c r="O49" s="452"/>
      <c r="P49" s="379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452"/>
      <c r="AC49" s="379">
        <f t="shared" si="24"/>
        <v>0</v>
      </c>
      <c r="AD49" s="435"/>
      <c r="AE49" s="226"/>
      <c r="AF49" s="308"/>
      <c r="AG49" s="256"/>
      <c r="AH49" s="308"/>
      <c r="AI49" s="308"/>
      <c r="AJ49" s="308"/>
      <c r="AK49" s="308"/>
      <c r="AL49" s="308"/>
      <c r="AM49" s="308"/>
      <c r="AN49" s="308"/>
      <c r="AO49" s="308"/>
      <c r="AP49" s="308"/>
      <c r="AQ49" s="308"/>
      <c r="AR49" s="308"/>
      <c r="AS49" s="308"/>
      <c r="AT49" s="343"/>
      <c r="AU49" s="343"/>
    </row>
    <row r="50" ht="15.0" hidden="1" customHeight="1" outlineLevel="1">
      <c r="A50" s="308"/>
      <c r="B50" s="450" t="s">
        <v>283</v>
      </c>
      <c r="C50" s="228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452"/>
      <c r="P50" s="379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452"/>
      <c r="AC50" s="379">
        <f t="shared" si="24"/>
        <v>0</v>
      </c>
      <c r="AD50" s="380"/>
      <c r="AE50" s="226"/>
      <c r="AF50" s="308"/>
      <c r="AG50" s="256"/>
      <c r="AH50" s="308"/>
      <c r="AI50" s="308"/>
      <c r="AJ50" s="308"/>
      <c r="AK50" s="308"/>
      <c r="AL50" s="308"/>
      <c r="AM50" s="308"/>
      <c r="AN50" s="308"/>
      <c r="AO50" s="308"/>
      <c r="AP50" s="308"/>
      <c r="AQ50" s="308"/>
      <c r="AR50" s="308"/>
      <c r="AS50" s="308"/>
      <c r="AT50" s="343"/>
      <c r="AU50" s="343"/>
    </row>
    <row r="51" ht="15.0" hidden="1" customHeight="1" outlineLevel="1">
      <c r="A51" s="308"/>
      <c r="B51" s="436" t="s">
        <v>284</v>
      </c>
      <c r="C51" s="235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383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3"/>
      <c r="AC51" s="383">
        <f t="shared" si="24"/>
        <v>0</v>
      </c>
      <c r="AD51" s="439"/>
      <c r="AE51" s="231"/>
      <c r="AF51" s="308"/>
      <c r="AG51" s="256"/>
      <c r="AH51" s="308"/>
      <c r="AI51" s="308"/>
      <c r="AJ51" s="308"/>
      <c r="AK51" s="308"/>
      <c r="AL51" s="308"/>
      <c r="AM51" s="308"/>
      <c r="AN51" s="308"/>
      <c r="AO51" s="308"/>
      <c r="AP51" s="308"/>
      <c r="AQ51" s="308"/>
      <c r="AR51" s="308"/>
      <c r="AS51" s="308"/>
      <c r="AT51" s="343"/>
      <c r="AU51" s="343"/>
    </row>
    <row r="52" ht="15.0" customHeight="1" collapsed="1">
      <c r="A52" s="308"/>
      <c r="B52" s="385" t="s">
        <v>285</v>
      </c>
      <c r="C52" s="216"/>
      <c r="D52" s="217">
        <f t="shared" ref="D52:AE52" si="25">SUM(D44:D51)</f>
        <v>0</v>
      </c>
      <c r="E52" s="217">
        <f t="shared" si="25"/>
        <v>0</v>
      </c>
      <c r="F52" s="217">
        <f t="shared" si="25"/>
        <v>0</v>
      </c>
      <c r="G52" s="217">
        <f t="shared" si="25"/>
        <v>0</v>
      </c>
      <c r="H52" s="217">
        <f t="shared" si="25"/>
        <v>0</v>
      </c>
      <c r="I52" s="217">
        <f t="shared" si="25"/>
        <v>0</v>
      </c>
      <c r="J52" s="217">
        <f t="shared" si="25"/>
        <v>0</v>
      </c>
      <c r="K52" s="217">
        <f t="shared" si="25"/>
        <v>0</v>
      </c>
      <c r="L52" s="217">
        <f t="shared" si="25"/>
        <v>0</v>
      </c>
      <c r="M52" s="217">
        <f t="shared" si="25"/>
        <v>0</v>
      </c>
      <c r="N52" s="217">
        <f t="shared" si="25"/>
        <v>0</v>
      </c>
      <c r="O52" s="386">
        <f t="shared" si="25"/>
        <v>0</v>
      </c>
      <c r="P52" s="216">
        <f t="shared" si="25"/>
        <v>0</v>
      </c>
      <c r="Q52" s="217">
        <f t="shared" si="25"/>
        <v>0</v>
      </c>
      <c r="R52" s="217">
        <f t="shared" si="25"/>
        <v>0</v>
      </c>
      <c r="S52" s="217">
        <f t="shared" si="25"/>
        <v>0</v>
      </c>
      <c r="T52" s="217">
        <f t="shared" si="25"/>
        <v>0</v>
      </c>
      <c r="U52" s="217">
        <f t="shared" si="25"/>
        <v>0</v>
      </c>
      <c r="V52" s="217">
        <f t="shared" si="25"/>
        <v>0</v>
      </c>
      <c r="W52" s="217">
        <f t="shared" si="25"/>
        <v>0</v>
      </c>
      <c r="X52" s="217">
        <f t="shared" si="25"/>
        <v>0</v>
      </c>
      <c r="Y52" s="217">
        <f t="shared" si="25"/>
        <v>0</v>
      </c>
      <c r="Z52" s="217">
        <f t="shared" si="25"/>
        <v>0</v>
      </c>
      <c r="AA52" s="217">
        <f t="shared" si="25"/>
        <v>0</v>
      </c>
      <c r="AB52" s="386">
        <f t="shared" si="25"/>
        <v>0</v>
      </c>
      <c r="AC52" s="216">
        <f t="shared" si="25"/>
        <v>0</v>
      </c>
      <c r="AD52" s="387">
        <f t="shared" si="25"/>
        <v>0</v>
      </c>
      <c r="AE52" s="387">
        <f t="shared" si="25"/>
        <v>0</v>
      </c>
      <c r="AF52" s="388"/>
      <c r="AG52" s="308"/>
      <c r="AH52" s="308"/>
      <c r="AI52" s="308"/>
      <c r="AJ52" s="308"/>
      <c r="AK52" s="308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</row>
    <row r="53" ht="15.0" hidden="1" customHeight="1" outlineLevel="1">
      <c r="A53" s="308"/>
      <c r="B53" s="256" t="s">
        <v>286</v>
      </c>
      <c r="C53" s="389"/>
      <c r="D53" s="221">
        <f t="shared" ref="D53:O53" si="26">SUMPRODUCT($C44:$C50,D44:D50)/12</f>
        <v>0</v>
      </c>
      <c r="E53" s="221">
        <f t="shared" si="26"/>
        <v>0</v>
      </c>
      <c r="F53" s="221">
        <f t="shared" si="26"/>
        <v>0</v>
      </c>
      <c r="G53" s="221">
        <f t="shared" si="26"/>
        <v>0</v>
      </c>
      <c r="H53" s="221">
        <f t="shared" si="26"/>
        <v>0</v>
      </c>
      <c r="I53" s="221">
        <f t="shared" si="26"/>
        <v>0</v>
      </c>
      <c r="J53" s="221">
        <f t="shared" si="26"/>
        <v>0</v>
      </c>
      <c r="K53" s="221">
        <f t="shared" si="26"/>
        <v>0</v>
      </c>
      <c r="L53" s="221">
        <f t="shared" si="26"/>
        <v>0</v>
      </c>
      <c r="M53" s="221">
        <f t="shared" si="26"/>
        <v>0</v>
      </c>
      <c r="N53" s="221">
        <f t="shared" si="26"/>
        <v>0</v>
      </c>
      <c r="O53" s="296">
        <f t="shared" si="26"/>
        <v>0</v>
      </c>
      <c r="P53" s="189">
        <f t="shared" ref="P53:P57" si="27">SUM(D53:O53)</f>
        <v>0</v>
      </c>
      <c r="Q53" s="453">
        <f>SUMPRODUCT($C44:$C50,Q44:Q50)/12*(1+Inflation_salaires)</f>
        <v>0</v>
      </c>
      <c r="R53" s="453">
        <f>SUMPRODUCT($C44:$C50,R44:R50)/12*(1+Inflation_salaires)</f>
        <v>0</v>
      </c>
      <c r="S53" s="453">
        <f>SUMPRODUCT($C44:$C50,S44:S50)/12*(1+Inflation_salaires)</f>
        <v>0</v>
      </c>
      <c r="T53" s="453">
        <f>SUMPRODUCT($C44:$C50,T44:T50)/12*(1+Inflation_salaires)</f>
        <v>0</v>
      </c>
      <c r="U53" s="453">
        <f>SUMPRODUCT($C44:$C50,U44:U50)/12*(1+Inflation_salaires)</f>
        <v>0</v>
      </c>
      <c r="V53" s="453">
        <f>SUMPRODUCT($C44:$C50,V44:V50)/12*(1+Inflation_salaires)</f>
        <v>0</v>
      </c>
      <c r="W53" s="453">
        <f>SUMPRODUCT($C44:$C50,W44:W50)/12*(1+Inflation_salaires)</f>
        <v>0</v>
      </c>
      <c r="X53" s="453">
        <f>SUMPRODUCT($C44:$C50,X44:X50)/12*(1+Inflation_salaires)</f>
        <v>0</v>
      </c>
      <c r="Y53" s="453">
        <f>SUMPRODUCT($C44:$C50,Y44:Y50)/12*(1+Inflation_salaires)</f>
        <v>0</v>
      </c>
      <c r="Z53" s="453">
        <f>SUMPRODUCT($C44:$C50,Z44:Z50)/12*(1+Inflation_salaires)</f>
        <v>0</v>
      </c>
      <c r="AA53" s="453">
        <f>SUMPRODUCT($C44:$C50,AA44:AA50)/12*(1+Inflation_salaires)</f>
        <v>0</v>
      </c>
      <c r="AB53" s="296">
        <f>SUMPRODUCT($C44:$C50,AB44:AB50)/12*(1+Inflation_salaires)</f>
        <v>0</v>
      </c>
      <c r="AC53" s="189">
        <f t="shared" ref="AC53:AC57" si="28">SUM(Q53:AB53)</f>
        <v>0</v>
      </c>
      <c r="AD53" s="444">
        <f>SUMPRODUCT($C44:$C50,AD44:AD50)*(1+Inflation_salaires)^2</f>
        <v>0</v>
      </c>
      <c r="AE53" s="453">
        <f>SUMPRODUCT($C44:$C50,AE44:AE50)*(1+Inflation_salaires)^3</f>
        <v>0</v>
      </c>
      <c r="AF53" s="187"/>
      <c r="AG53" s="308"/>
      <c r="AH53" s="308"/>
      <c r="AI53" s="454"/>
      <c r="AJ53" s="343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</row>
    <row r="54" ht="15.0" hidden="1" customHeight="1" outlineLevel="1">
      <c r="A54" s="308"/>
      <c r="B54" s="256" t="s">
        <v>287</v>
      </c>
      <c r="C54" s="189"/>
      <c r="D54" s="322">
        <f>D53*Taux_de_commission</f>
        <v>0</v>
      </c>
      <c r="E54" s="221">
        <f>E53*Taux_de_commission</f>
        <v>0</v>
      </c>
      <c r="F54" s="221">
        <f>F53*Taux_de_commission</f>
        <v>0</v>
      </c>
      <c r="G54" s="221">
        <f>G53*Taux_de_commission</f>
        <v>0</v>
      </c>
      <c r="H54" s="221">
        <f>H53*Taux_de_commission</f>
        <v>0</v>
      </c>
      <c r="I54" s="221">
        <f>I53*Taux_de_commission</f>
        <v>0</v>
      </c>
      <c r="J54" s="221">
        <f>J53*Taux_de_commission</f>
        <v>0</v>
      </c>
      <c r="K54" s="221">
        <f>K53*Taux_de_commission</f>
        <v>0</v>
      </c>
      <c r="L54" s="221">
        <f>L53*Taux_de_commission</f>
        <v>0</v>
      </c>
      <c r="M54" s="221">
        <f>M53*Taux_de_commission</f>
        <v>0</v>
      </c>
      <c r="N54" s="221">
        <f>N53*Taux_de_commission</f>
        <v>0</v>
      </c>
      <c r="O54" s="296">
        <f>O53*Taux_de_commission</f>
        <v>0</v>
      </c>
      <c r="P54" s="447">
        <f t="shared" si="27"/>
        <v>0</v>
      </c>
      <c r="Q54" s="221">
        <f>Q53*Taux_de_commission</f>
        <v>0</v>
      </c>
      <c r="R54" s="221">
        <f>R53*Taux_de_commission</f>
        <v>0</v>
      </c>
      <c r="S54" s="221">
        <f>S53*Taux_de_commission</f>
        <v>0</v>
      </c>
      <c r="T54" s="221">
        <f>T53*Taux_de_commission</f>
        <v>0</v>
      </c>
      <c r="U54" s="221">
        <f>U53*Taux_de_commission</f>
        <v>0</v>
      </c>
      <c r="V54" s="221">
        <f>V53*Taux_de_commission</f>
        <v>0</v>
      </c>
      <c r="W54" s="221">
        <f>W53*Taux_de_commission</f>
        <v>0</v>
      </c>
      <c r="X54" s="221">
        <f>X53*Taux_de_commission</f>
        <v>0</v>
      </c>
      <c r="Y54" s="221">
        <f>Y53*Taux_de_commission</f>
        <v>0</v>
      </c>
      <c r="Z54" s="221">
        <f>Z53*Taux_de_commission</f>
        <v>0</v>
      </c>
      <c r="AA54" s="221">
        <f>AA53*Taux_de_commission</f>
        <v>0</v>
      </c>
      <c r="AB54" s="296">
        <f>AB53*Taux_de_commission</f>
        <v>0</v>
      </c>
      <c r="AC54" s="447">
        <f t="shared" si="28"/>
        <v>0</v>
      </c>
      <c r="AD54" s="444">
        <f>AD53*Taux_de_commission</f>
        <v>0</v>
      </c>
      <c r="AE54" s="453">
        <f>AE53*Taux_de_commission</f>
        <v>0</v>
      </c>
      <c r="AF54" s="187"/>
      <c r="AG54" s="308"/>
      <c r="AH54" s="308"/>
      <c r="AI54" s="455"/>
      <c r="AJ54" s="343"/>
      <c r="AK54" s="308"/>
      <c r="AL54" s="308"/>
      <c r="AM54" s="308"/>
      <c r="AN54" s="308"/>
      <c r="AO54" s="308"/>
      <c r="AP54" s="308"/>
      <c r="AQ54" s="308"/>
      <c r="AR54" s="308"/>
      <c r="AS54" s="308"/>
      <c r="AT54" s="308"/>
      <c r="AU54" s="308"/>
    </row>
    <row r="55" ht="15.0" hidden="1" customHeight="1" outlineLevel="1">
      <c r="A55" s="308"/>
      <c r="B55" s="256" t="s">
        <v>288</v>
      </c>
      <c r="C55" s="189"/>
      <c r="D55" s="322">
        <f>D53*Taux_charges_sociales</f>
        <v>0</v>
      </c>
      <c r="E55" s="221">
        <f>E53*Taux_charges_sociales</f>
        <v>0</v>
      </c>
      <c r="F55" s="221">
        <f>F53*Taux_charges_sociales</f>
        <v>0</v>
      </c>
      <c r="G55" s="221">
        <f>G53*Taux_charges_sociales</f>
        <v>0</v>
      </c>
      <c r="H55" s="221">
        <f>H53*Taux_charges_sociales</f>
        <v>0</v>
      </c>
      <c r="I55" s="221">
        <f>I53*Taux_charges_sociales</f>
        <v>0</v>
      </c>
      <c r="J55" s="221">
        <f>J53*Taux_charges_sociales</f>
        <v>0</v>
      </c>
      <c r="K55" s="221">
        <f>K53*Taux_charges_sociales</f>
        <v>0</v>
      </c>
      <c r="L55" s="221">
        <f>L53*Taux_charges_sociales</f>
        <v>0</v>
      </c>
      <c r="M55" s="221">
        <f>M53*Taux_charges_sociales</f>
        <v>0</v>
      </c>
      <c r="N55" s="221">
        <f>N53*Taux_charges_sociales</f>
        <v>0</v>
      </c>
      <c r="O55" s="296">
        <f>O53*Taux_charges_sociales</f>
        <v>0</v>
      </c>
      <c r="P55" s="447">
        <f t="shared" si="27"/>
        <v>0</v>
      </c>
      <c r="Q55" s="221">
        <f>Q53*Taux_charges_sociales</f>
        <v>0</v>
      </c>
      <c r="R55" s="221">
        <f>R53*Taux_charges_sociales</f>
        <v>0</v>
      </c>
      <c r="S55" s="221">
        <f>S53*Taux_charges_sociales</f>
        <v>0</v>
      </c>
      <c r="T55" s="221">
        <f>T53*Taux_charges_sociales</f>
        <v>0</v>
      </c>
      <c r="U55" s="221">
        <f>U53*Taux_charges_sociales</f>
        <v>0</v>
      </c>
      <c r="V55" s="221">
        <f>V53*Taux_charges_sociales</f>
        <v>0</v>
      </c>
      <c r="W55" s="221">
        <f>W53*Taux_charges_sociales</f>
        <v>0</v>
      </c>
      <c r="X55" s="221">
        <f>X53*Taux_charges_sociales</f>
        <v>0</v>
      </c>
      <c r="Y55" s="221">
        <f>Y53*Taux_charges_sociales</f>
        <v>0</v>
      </c>
      <c r="Z55" s="221">
        <f>Z53*Taux_charges_sociales</f>
        <v>0</v>
      </c>
      <c r="AA55" s="221">
        <f>AA53*Taux_charges_sociales</f>
        <v>0</v>
      </c>
      <c r="AB55" s="296">
        <f>AB53*Taux_charges_sociales</f>
        <v>0</v>
      </c>
      <c r="AC55" s="447">
        <f t="shared" si="28"/>
        <v>0</v>
      </c>
      <c r="AD55" s="444">
        <f>AD53*Taux_charges_sociales</f>
        <v>0</v>
      </c>
      <c r="AE55" s="453">
        <f>AE53*Taux_charges_sociales</f>
        <v>0</v>
      </c>
      <c r="AF55" s="187"/>
      <c r="AG55" s="308"/>
      <c r="AH55" s="308"/>
      <c r="AI55" s="455"/>
      <c r="AJ55" s="343"/>
      <c r="AK55" s="308"/>
      <c r="AL55" s="308"/>
      <c r="AM55" s="308"/>
      <c r="AN55" s="308"/>
      <c r="AO55" s="308"/>
      <c r="AP55" s="308"/>
      <c r="AQ55" s="308"/>
      <c r="AR55" s="308"/>
      <c r="AS55" s="308"/>
      <c r="AT55" s="308"/>
      <c r="AU55" s="308"/>
    </row>
    <row r="56" ht="15.0" hidden="1" customHeight="1" outlineLevel="1">
      <c r="A56" s="308"/>
      <c r="B56" s="391" t="s">
        <v>289</v>
      </c>
      <c r="C56" s="230"/>
      <c r="D56" s="392">
        <f t="shared" ref="D56:O56" si="29">D51*$C51/12</f>
        <v>0</v>
      </c>
      <c r="E56" s="392">
        <f t="shared" si="29"/>
        <v>0</v>
      </c>
      <c r="F56" s="392">
        <f t="shared" si="29"/>
        <v>0</v>
      </c>
      <c r="G56" s="392">
        <f t="shared" si="29"/>
        <v>0</v>
      </c>
      <c r="H56" s="392">
        <f t="shared" si="29"/>
        <v>0</v>
      </c>
      <c r="I56" s="392">
        <f t="shared" si="29"/>
        <v>0</v>
      </c>
      <c r="J56" s="392">
        <f t="shared" si="29"/>
        <v>0</v>
      </c>
      <c r="K56" s="392">
        <f t="shared" si="29"/>
        <v>0</v>
      </c>
      <c r="L56" s="392">
        <f t="shared" si="29"/>
        <v>0</v>
      </c>
      <c r="M56" s="392">
        <f t="shared" si="29"/>
        <v>0</v>
      </c>
      <c r="N56" s="392">
        <f t="shared" si="29"/>
        <v>0</v>
      </c>
      <c r="O56" s="393">
        <f t="shared" si="29"/>
        <v>0</v>
      </c>
      <c r="P56" s="394">
        <f t="shared" si="27"/>
        <v>0</v>
      </c>
      <c r="Q56" s="392">
        <f>Q51*$C51/12*(1+Inflation_salaires)</f>
        <v>0</v>
      </c>
      <c r="R56" s="392">
        <f>R51*$C51/12*(1+Inflation_salaires)</f>
        <v>0</v>
      </c>
      <c r="S56" s="392">
        <f>S51*$C51/12*(1+Inflation_salaires)</f>
        <v>0</v>
      </c>
      <c r="T56" s="392">
        <f>T51*$C51/12*(1+Inflation_salaires)</f>
        <v>0</v>
      </c>
      <c r="U56" s="392">
        <f>U51*$C51/12*(1+Inflation_salaires)</f>
        <v>0</v>
      </c>
      <c r="V56" s="392">
        <f>V51*$C51/12*(1+Inflation_salaires)</f>
        <v>0</v>
      </c>
      <c r="W56" s="392">
        <f>W51*$C51/12*(1+Inflation_salaires)</f>
        <v>0</v>
      </c>
      <c r="X56" s="392">
        <f>X51*$C51/12*(1+Inflation_salaires)</f>
        <v>0</v>
      </c>
      <c r="Y56" s="392">
        <f>Y51*$C51/12*(1+Inflation_salaires)</f>
        <v>0</v>
      </c>
      <c r="Z56" s="392">
        <f>Z51*$C51/12*(1+Inflation_salaires)</f>
        <v>0</v>
      </c>
      <c r="AA56" s="392">
        <f>AA51*$C51/12*(1+Inflation_salaires)</f>
        <v>0</v>
      </c>
      <c r="AB56" s="393">
        <f>AB51*$C51/12*(1+Inflation_salaires)</f>
        <v>0</v>
      </c>
      <c r="AC56" s="394">
        <f t="shared" si="28"/>
        <v>0</v>
      </c>
      <c r="AD56" s="395">
        <f>AD51*$C51*(1+Inflation_salaires)^2</f>
        <v>0</v>
      </c>
      <c r="AE56" s="396">
        <f>AE51*$C51*(1+Inflation_salaires)^3</f>
        <v>0</v>
      </c>
      <c r="AF56" s="187"/>
      <c r="AG56" s="308"/>
      <c r="AH56" s="308"/>
      <c r="AI56" s="455"/>
      <c r="AJ56" s="343"/>
      <c r="AK56" s="308"/>
      <c r="AL56" s="308"/>
      <c r="AM56" s="308"/>
      <c r="AN56" s="308"/>
      <c r="AO56" s="308"/>
      <c r="AP56" s="308"/>
      <c r="AQ56" s="308"/>
      <c r="AR56" s="308"/>
      <c r="AS56" s="308"/>
      <c r="AT56" s="308"/>
      <c r="AU56" s="308"/>
    </row>
    <row r="57" ht="15.0" customHeight="1" collapsed="1">
      <c r="A57" s="308"/>
      <c r="B57" s="385" t="s">
        <v>290</v>
      </c>
      <c r="C57" s="216"/>
      <c r="D57" s="217">
        <f t="shared" ref="D57:O57" si="30">D53+D54+D55+D56</f>
        <v>0</v>
      </c>
      <c r="E57" s="217">
        <f t="shared" si="30"/>
        <v>0</v>
      </c>
      <c r="F57" s="217">
        <f t="shared" si="30"/>
        <v>0</v>
      </c>
      <c r="G57" s="217">
        <f t="shared" si="30"/>
        <v>0</v>
      </c>
      <c r="H57" s="217">
        <f t="shared" si="30"/>
        <v>0</v>
      </c>
      <c r="I57" s="217">
        <f t="shared" si="30"/>
        <v>0</v>
      </c>
      <c r="J57" s="217">
        <f t="shared" si="30"/>
        <v>0</v>
      </c>
      <c r="K57" s="217">
        <f t="shared" si="30"/>
        <v>0</v>
      </c>
      <c r="L57" s="217">
        <f t="shared" si="30"/>
        <v>0</v>
      </c>
      <c r="M57" s="217">
        <f t="shared" si="30"/>
        <v>0</v>
      </c>
      <c r="N57" s="217">
        <f t="shared" si="30"/>
        <v>0</v>
      </c>
      <c r="O57" s="386">
        <f t="shared" si="30"/>
        <v>0</v>
      </c>
      <c r="P57" s="216">
        <f t="shared" si="27"/>
        <v>0</v>
      </c>
      <c r="Q57" s="217">
        <f t="shared" ref="Q57:AB57" si="31">Q53+Q54+Q55+Q56</f>
        <v>0</v>
      </c>
      <c r="R57" s="217">
        <f t="shared" si="31"/>
        <v>0</v>
      </c>
      <c r="S57" s="217">
        <f t="shared" si="31"/>
        <v>0</v>
      </c>
      <c r="T57" s="217">
        <f t="shared" si="31"/>
        <v>0</v>
      </c>
      <c r="U57" s="217">
        <f t="shared" si="31"/>
        <v>0</v>
      </c>
      <c r="V57" s="217">
        <f t="shared" si="31"/>
        <v>0</v>
      </c>
      <c r="W57" s="217">
        <f t="shared" si="31"/>
        <v>0</v>
      </c>
      <c r="X57" s="217">
        <f t="shared" si="31"/>
        <v>0</v>
      </c>
      <c r="Y57" s="217">
        <f t="shared" si="31"/>
        <v>0</v>
      </c>
      <c r="Z57" s="217">
        <f t="shared" si="31"/>
        <v>0</v>
      </c>
      <c r="AA57" s="217">
        <f t="shared" si="31"/>
        <v>0</v>
      </c>
      <c r="AB57" s="386">
        <f t="shared" si="31"/>
        <v>0</v>
      </c>
      <c r="AC57" s="216">
        <f t="shared" si="28"/>
        <v>0</v>
      </c>
      <c r="AD57" s="387">
        <f t="shared" ref="AD57:AE57" si="32">AD53+AD54+AD55+AD56</f>
        <v>0</v>
      </c>
      <c r="AE57" s="387">
        <f t="shared" si="32"/>
        <v>0</v>
      </c>
      <c r="AF57" s="388"/>
      <c r="AG57" s="308"/>
      <c r="AH57" s="308"/>
      <c r="AI57" s="308"/>
      <c r="AJ57" s="308"/>
      <c r="AK57" s="308"/>
      <c r="AL57" s="308"/>
      <c r="AM57" s="308"/>
      <c r="AN57" s="308"/>
      <c r="AO57" s="308"/>
      <c r="AP57" s="308"/>
      <c r="AQ57" s="308"/>
      <c r="AR57" s="308"/>
      <c r="AS57" s="308"/>
      <c r="AT57" s="308"/>
      <c r="AU57" s="308"/>
    </row>
    <row r="58" ht="12.0" customHeight="1">
      <c r="A58" s="187"/>
      <c r="B58" s="314"/>
      <c r="C58" s="314"/>
      <c r="D58" s="187"/>
      <c r="E58" s="187"/>
      <c r="F58" s="406"/>
      <c r="G58" s="406"/>
      <c r="H58" s="406"/>
      <c r="I58" s="406"/>
      <c r="J58" s="406"/>
      <c r="K58" s="406"/>
      <c r="L58" s="406"/>
      <c r="M58" s="406"/>
      <c r="N58" s="187"/>
      <c r="O58" s="456" t="s">
        <v>244</v>
      </c>
      <c r="P58" s="341">
        <f>IF(SUM(D57:O57)=P57,0,P57-SUM(D57:O57))</f>
        <v>0</v>
      </c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456"/>
      <c r="AC58" s="341">
        <f>IF(SUM(Q57:AB57)=AC57,0,AC57-SUM(Q57:AB57))</f>
        <v>0</v>
      </c>
      <c r="AD58" s="408"/>
      <c r="AE58" s="408"/>
      <c r="AF58" s="388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87"/>
    </row>
    <row r="59" ht="24.75" customHeight="1">
      <c r="A59" s="180"/>
      <c r="B59" s="181" t="s">
        <v>291</v>
      </c>
      <c r="C59" s="374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3"/>
      <c r="AC59" s="373"/>
      <c r="AD59" s="373"/>
      <c r="AE59" s="373"/>
      <c r="AF59" s="375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</row>
    <row r="60" ht="15.0" hidden="1" customHeight="1" outlineLevel="1">
      <c r="A60" s="308"/>
      <c r="B60" s="376" t="s">
        <v>292</v>
      </c>
      <c r="C60" s="457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7"/>
      <c r="P60" s="379">
        <f t="shared" ref="P60:P63" si="33">SUM(D60:O60)/12</f>
        <v>0</v>
      </c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5"/>
      <c r="AB60" s="227"/>
      <c r="AC60" s="379">
        <f t="shared" ref="AC60:AC63" si="34">SUM(Q60:AB60)/12</f>
        <v>0</v>
      </c>
      <c r="AD60" s="435"/>
      <c r="AE60" s="225"/>
      <c r="AF60" s="308"/>
      <c r="AG60" s="308"/>
      <c r="AH60" s="308"/>
      <c r="AI60" s="308"/>
      <c r="AJ60" s="308"/>
      <c r="AK60" s="308"/>
      <c r="AL60" s="308"/>
      <c r="AM60" s="308"/>
      <c r="AN60" s="308"/>
      <c r="AO60" s="308"/>
      <c r="AP60" s="308"/>
      <c r="AQ60" s="308"/>
      <c r="AR60" s="308"/>
      <c r="AS60" s="308"/>
      <c r="AT60" s="343"/>
      <c r="AU60" s="343"/>
    </row>
    <row r="61" ht="15.0" hidden="1" customHeight="1" outlineLevel="1">
      <c r="A61" s="308"/>
      <c r="B61" s="376" t="s">
        <v>293</v>
      </c>
      <c r="C61" s="228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426"/>
      <c r="P61" s="379">
        <f t="shared" si="33"/>
        <v>0</v>
      </c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452"/>
      <c r="AC61" s="379">
        <f t="shared" si="34"/>
        <v>0</v>
      </c>
      <c r="AD61" s="380"/>
      <c r="AE61" s="226"/>
      <c r="AF61" s="308"/>
      <c r="AG61" s="308"/>
      <c r="AH61" s="308"/>
      <c r="AI61" s="308"/>
      <c r="AJ61" s="308"/>
      <c r="AK61" s="308"/>
      <c r="AL61" s="308"/>
      <c r="AM61" s="308"/>
      <c r="AN61" s="308"/>
      <c r="AO61" s="308"/>
      <c r="AP61" s="308"/>
      <c r="AQ61" s="308"/>
      <c r="AR61" s="308"/>
      <c r="AS61" s="308"/>
      <c r="AT61" s="343"/>
      <c r="AU61" s="343"/>
    </row>
    <row r="62" ht="15.0" hidden="1" customHeight="1" outlineLevel="1">
      <c r="A62" s="308"/>
      <c r="B62" s="376" t="s">
        <v>294</v>
      </c>
      <c r="C62" s="228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  <c r="O62" s="426"/>
      <c r="P62" s="379">
        <f t="shared" si="33"/>
        <v>0</v>
      </c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426"/>
      <c r="AC62" s="379">
        <f t="shared" si="34"/>
        <v>0</v>
      </c>
      <c r="AD62" s="380"/>
      <c r="AE62" s="226"/>
      <c r="AF62" s="308"/>
      <c r="AG62" s="308"/>
      <c r="AH62" s="308"/>
      <c r="AI62" s="308"/>
      <c r="AJ62" s="308"/>
      <c r="AK62" s="308"/>
      <c r="AL62" s="308"/>
      <c r="AM62" s="308"/>
      <c r="AN62" s="308"/>
      <c r="AO62" s="308"/>
      <c r="AP62" s="308"/>
      <c r="AQ62" s="308"/>
      <c r="AR62" s="308"/>
      <c r="AS62" s="308"/>
      <c r="AT62" s="343"/>
      <c r="AU62" s="343"/>
    </row>
    <row r="63" ht="15.0" hidden="1" customHeight="1" outlineLevel="1">
      <c r="A63" s="308"/>
      <c r="B63" s="381" t="s">
        <v>295</v>
      </c>
      <c r="C63" s="235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3"/>
      <c r="P63" s="383">
        <f t="shared" si="33"/>
        <v>0</v>
      </c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4"/>
      <c r="AC63" s="383">
        <f t="shared" si="34"/>
        <v>0</v>
      </c>
      <c r="AD63" s="439"/>
      <c r="AE63" s="231"/>
      <c r="AF63" s="308"/>
      <c r="AG63" s="308"/>
      <c r="AH63" s="308"/>
      <c r="AI63" s="308"/>
      <c r="AJ63" s="308"/>
      <c r="AK63" s="308"/>
      <c r="AL63" s="308"/>
      <c r="AM63" s="308"/>
      <c r="AN63" s="308"/>
      <c r="AO63" s="308"/>
      <c r="AP63" s="308"/>
      <c r="AQ63" s="308"/>
      <c r="AR63" s="308"/>
      <c r="AS63" s="308"/>
      <c r="AT63" s="343"/>
      <c r="AU63" s="343"/>
    </row>
    <row r="64" ht="15.0" customHeight="1" collapsed="1">
      <c r="A64" s="187"/>
      <c r="B64" s="385" t="s">
        <v>296</v>
      </c>
      <c r="C64" s="216"/>
      <c r="D64" s="217">
        <f t="shared" ref="D64:AE64" si="35">SUM(D60:D63)</f>
        <v>0</v>
      </c>
      <c r="E64" s="217">
        <f t="shared" si="35"/>
        <v>0</v>
      </c>
      <c r="F64" s="217">
        <f t="shared" si="35"/>
        <v>0</v>
      </c>
      <c r="G64" s="217">
        <f t="shared" si="35"/>
        <v>0</v>
      </c>
      <c r="H64" s="217">
        <f t="shared" si="35"/>
        <v>0</v>
      </c>
      <c r="I64" s="217">
        <f t="shared" si="35"/>
        <v>0</v>
      </c>
      <c r="J64" s="217">
        <f t="shared" si="35"/>
        <v>0</v>
      </c>
      <c r="K64" s="217">
        <f t="shared" si="35"/>
        <v>0</v>
      </c>
      <c r="L64" s="217">
        <f t="shared" si="35"/>
        <v>0</v>
      </c>
      <c r="M64" s="217">
        <f t="shared" si="35"/>
        <v>0</v>
      </c>
      <c r="N64" s="217">
        <f t="shared" si="35"/>
        <v>0</v>
      </c>
      <c r="O64" s="386">
        <f t="shared" si="35"/>
        <v>0</v>
      </c>
      <c r="P64" s="216">
        <f t="shared" si="35"/>
        <v>0</v>
      </c>
      <c r="Q64" s="217">
        <f t="shared" si="35"/>
        <v>0</v>
      </c>
      <c r="R64" s="217">
        <f t="shared" si="35"/>
        <v>0</v>
      </c>
      <c r="S64" s="217">
        <f t="shared" si="35"/>
        <v>0</v>
      </c>
      <c r="T64" s="217">
        <f t="shared" si="35"/>
        <v>0</v>
      </c>
      <c r="U64" s="217">
        <f t="shared" si="35"/>
        <v>0</v>
      </c>
      <c r="V64" s="217">
        <f t="shared" si="35"/>
        <v>0</v>
      </c>
      <c r="W64" s="217">
        <f t="shared" si="35"/>
        <v>0</v>
      </c>
      <c r="X64" s="217">
        <f t="shared" si="35"/>
        <v>0</v>
      </c>
      <c r="Y64" s="217">
        <f t="shared" si="35"/>
        <v>0</v>
      </c>
      <c r="Z64" s="217">
        <f t="shared" si="35"/>
        <v>0</v>
      </c>
      <c r="AA64" s="217">
        <f t="shared" si="35"/>
        <v>0</v>
      </c>
      <c r="AB64" s="386">
        <f t="shared" si="35"/>
        <v>0</v>
      </c>
      <c r="AC64" s="216">
        <f t="shared" si="35"/>
        <v>0</v>
      </c>
      <c r="AD64" s="387">
        <f t="shared" si="35"/>
        <v>0</v>
      </c>
      <c r="AE64" s="387">
        <f t="shared" si="35"/>
        <v>0</v>
      </c>
      <c r="AF64" s="388"/>
      <c r="AG64" s="308"/>
      <c r="AH64" s="308"/>
      <c r="AI64" s="308"/>
      <c r="AJ64" s="308"/>
      <c r="AK64" s="308"/>
      <c r="AL64" s="308"/>
      <c r="AM64" s="308"/>
      <c r="AN64" s="308"/>
      <c r="AO64" s="308"/>
      <c r="AP64" s="308"/>
      <c r="AQ64" s="308"/>
      <c r="AR64" s="308"/>
      <c r="AS64" s="308"/>
      <c r="AT64" s="308"/>
      <c r="AU64" s="308"/>
    </row>
    <row r="65" ht="15.0" hidden="1" customHeight="1" outlineLevel="1">
      <c r="A65" s="187"/>
      <c r="B65" s="256" t="s">
        <v>297</v>
      </c>
      <c r="C65" s="189"/>
      <c r="D65" s="221">
        <f t="shared" ref="D65:O65" si="36">SUMPRODUCT($C60:$C62,D60:D62)/12</f>
        <v>0</v>
      </c>
      <c r="E65" s="221">
        <f t="shared" si="36"/>
        <v>0</v>
      </c>
      <c r="F65" s="221">
        <f t="shared" si="36"/>
        <v>0</v>
      </c>
      <c r="G65" s="221">
        <f t="shared" si="36"/>
        <v>0</v>
      </c>
      <c r="H65" s="221">
        <f t="shared" si="36"/>
        <v>0</v>
      </c>
      <c r="I65" s="221">
        <f t="shared" si="36"/>
        <v>0</v>
      </c>
      <c r="J65" s="221">
        <f t="shared" si="36"/>
        <v>0</v>
      </c>
      <c r="K65" s="221">
        <f t="shared" si="36"/>
        <v>0</v>
      </c>
      <c r="L65" s="221">
        <f t="shared" si="36"/>
        <v>0</v>
      </c>
      <c r="M65" s="221">
        <f t="shared" si="36"/>
        <v>0</v>
      </c>
      <c r="N65" s="221">
        <f t="shared" si="36"/>
        <v>0</v>
      </c>
      <c r="O65" s="296">
        <f t="shared" si="36"/>
        <v>0</v>
      </c>
      <c r="P65" s="189">
        <f t="shared" ref="P65:P68" si="37">SUM(D65:O65)</f>
        <v>0</v>
      </c>
      <c r="Q65" s="453">
        <f>SUMPRODUCT($C60:$C62,Q60:Q62)/12*(1+Inflation_salaires)</f>
        <v>0</v>
      </c>
      <c r="R65" s="453">
        <f>SUMPRODUCT($C60:$C62,R60:R62)/12*(1+Inflation_salaires)</f>
        <v>0</v>
      </c>
      <c r="S65" s="453">
        <f>SUMPRODUCT($C60:$C62,S60:S62)/12*(1+Inflation_salaires)</f>
        <v>0</v>
      </c>
      <c r="T65" s="453">
        <f>SUMPRODUCT($C60:$C62,T60:T62)/12*(1+Inflation_salaires)</f>
        <v>0</v>
      </c>
      <c r="U65" s="453">
        <f>SUMPRODUCT($C60:$C62,U60:U62)/12*(1+Inflation_salaires)</f>
        <v>0</v>
      </c>
      <c r="V65" s="453">
        <f>SUMPRODUCT($C60:$C62,V60:V62)/12*(1+Inflation_salaires)</f>
        <v>0</v>
      </c>
      <c r="W65" s="453">
        <f>SUMPRODUCT($C60:$C62,W60:W62)/12*(1+Inflation_salaires)</f>
        <v>0</v>
      </c>
      <c r="X65" s="453">
        <f>SUMPRODUCT($C60:$C62,X60:X62)/12*(1+Inflation_salaires)</f>
        <v>0</v>
      </c>
      <c r="Y65" s="453">
        <f>SUMPRODUCT($C60:$C62,Y60:Y62)/12*(1+Inflation_salaires)</f>
        <v>0</v>
      </c>
      <c r="Z65" s="453">
        <f>SUMPRODUCT($C60:$C62,Z60:Z62)/12*(1+Inflation_salaires)</f>
        <v>0</v>
      </c>
      <c r="AA65" s="453">
        <f>SUMPRODUCT($C60:$C62,AA60:AA62)/12*(1+Inflation_salaires)</f>
        <v>0</v>
      </c>
      <c r="AB65" s="296">
        <f>SUMPRODUCT($C60:$C62,AB60:AB62)/12*(1+Inflation_salaires)</f>
        <v>0</v>
      </c>
      <c r="AC65" s="189">
        <f t="shared" ref="AC65:AC68" si="38">SUM(Q65:AB65)</f>
        <v>0</v>
      </c>
      <c r="AD65" s="444">
        <f>SUMPRODUCT($C60:$C62,AD60:AD62)*(1+Inflation_salaires)^2</f>
        <v>0</v>
      </c>
      <c r="AE65" s="453">
        <f>SUMPRODUCT($C60:$C62,AE60:AE62)*(1+Inflation_salaires)^3</f>
        <v>0</v>
      </c>
      <c r="AF65" s="187"/>
      <c r="AG65" s="308"/>
      <c r="AH65" s="308"/>
      <c r="AI65" s="308"/>
      <c r="AJ65" s="308"/>
      <c r="AK65" s="308"/>
      <c r="AL65" s="308"/>
      <c r="AM65" s="308"/>
      <c r="AN65" s="308"/>
      <c r="AO65" s="308"/>
      <c r="AP65" s="308"/>
      <c r="AQ65" s="308"/>
      <c r="AR65" s="308"/>
      <c r="AS65" s="308"/>
      <c r="AT65" s="308"/>
      <c r="AU65" s="308"/>
    </row>
    <row r="66" ht="15.0" hidden="1" customHeight="1" outlineLevel="1">
      <c r="A66" s="187"/>
      <c r="B66" s="256" t="s">
        <v>298</v>
      </c>
      <c r="C66" s="189"/>
      <c r="D66" s="322">
        <f>D65*Taux_charges_sociales</f>
        <v>0</v>
      </c>
      <c r="E66" s="221">
        <f>E65*Taux_charges_sociales</f>
        <v>0</v>
      </c>
      <c r="F66" s="221">
        <f>F65*Taux_charges_sociales</f>
        <v>0</v>
      </c>
      <c r="G66" s="221">
        <f>G65*Taux_charges_sociales</f>
        <v>0</v>
      </c>
      <c r="H66" s="221">
        <f>H65*Taux_charges_sociales</f>
        <v>0</v>
      </c>
      <c r="I66" s="221">
        <f>I65*Taux_charges_sociales</f>
        <v>0</v>
      </c>
      <c r="J66" s="221">
        <f>J65*Taux_charges_sociales</f>
        <v>0</v>
      </c>
      <c r="K66" s="221">
        <f>K65*Taux_charges_sociales</f>
        <v>0</v>
      </c>
      <c r="L66" s="221">
        <f>L65*Taux_charges_sociales</f>
        <v>0</v>
      </c>
      <c r="M66" s="221">
        <f>M65*Taux_charges_sociales</f>
        <v>0</v>
      </c>
      <c r="N66" s="221">
        <f>N65*Taux_charges_sociales</f>
        <v>0</v>
      </c>
      <c r="O66" s="296">
        <f>O65*Taux_charges_sociales</f>
        <v>0</v>
      </c>
      <c r="P66" s="447">
        <f t="shared" si="37"/>
        <v>0</v>
      </c>
      <c r="Q66" s="221">
        <f>Q65*Taux_charges_sociales</f>
        <v>0</v>
      </c>
      <c r="R66" s="221">
        <f>R65*Taux_charges_sociales</f>
        <v>0</v>
      </c>
      <c r="S66" s="221">
        <f>S65*Taux_charges_sociales</f>
        <v>0</v>
      </c>
      <c r="T66" s="221">
        <f>T65*Taux_charges_sociales</f>
        <v>0</v>
      </c>
      <c r="U66" s="221">
        <f>U65*Taux_charges_sociales</f>
        <v>0</v>
      </c>
      <c r="V66" s="221">
        <f>V65*Taux_charges_sociales</f>
        <v>0</v>
      </c>
      <c r="W66" s="221">
        <f>W65*Taux_charges_sociales</f>
        <v>0</v>
      </c>
      <c r="X66" s="221">
        <f>X65*Taux_charges_sociales</f>
        <v>0</v>
      </c>
      <c r="Y66" s="221">
        <f>Y65*Taux_charges_sociales</f>
        <v>0</v>
      </c>
      <c r="Z66" s="221">
        <f>Z65*Taux_charges_sociales</f>
        <v>0</v>
      </c>
      <c r="AA66" s="221">
        <f>AA65*Taux_charges_sociales</f>
        <v>0</v>
      </c>
      <c r="AB66" s="296">
        <f>AB65*Taux_charges_sociales</f>
        <v>0</v>
      </c>
      <c r="AC66" s="447">
        <f t="shared" si="38"/>
        <v>0</v>
      </c>
      <c r="AD66" s="444">
        <f>AD65*Taux_charges_sociales</f>
        <v>0</v>
      </c>
      <c r="AE66" s="453">
        <f>AE65*Taux_charges_sociales</f>
        <v>0</v>
      </c>
      <c r="AF66" s="187"/>
      <c r="AG66" s="308"/>
      <c r="AH66" s="308"/>
      <c r="AI66" s="308"/>
      <c r="AJ66" s="308"/>
      <c r="AK66" s="308"/>
      <c r="AL66" s="308"/>
      <c r="AM66" s="308"/>
      <c r="AN66" s="308"/>
      <c r="AO66" s="308"/>
      <c r="AP66" s="308"/>
      <c r="AQ66" s="308"/>
      <c r="AR66" s="308"/>
      <c r="AS66" s="308"/>
      <c r="AT66" s="308"/>
      <c r="AU66" s="308"/>
    </row>
    <row r="67" ht="15.0" hidden="1" customHeight="1" outlineLevel="1">
      <c r="A67" s="187"/>
      <c r="B67" s="391" t="s">
        <v>299</v>
      </c>
      <c r="C67" s="230"/>
      <c r="D67" s="392">
        <f t="shared" ref="D67:O67" si="39">D63*$C$63/12</f>
        <v>0</v>
      </c>
      <c r="E67" s="392">
        <f t="shared" si="39"/>
        <v>0</v>
      </c>
      <c r="F67" s="392">
        <f t="shared" si="39"/>
        <v>0</v>
      </c>
      <c r="G67" s="392">
        <f t="shared" si="39"/>
        <v>0</v>
      </c>
      <c r="H67" s="392">
        <f t="shared" si="39"/>
        <v>0</v>
      </c>
      <c r="I67" s="392">
        <f t="shared" si="39"/>
        <v>0</v>
      </c>
      <c r="J67" s="392">
        <f t="shared" si="39"/>
        <v>0</v>
      </c>
      <c r="K67" s="392">
        <f t="shared" si="39"/>
        <v>0</v>
      </c>
      <c r="L67" s="392">
        <f t="shared" si="39"/>
        <v>0</v>
      </c>
      <c r="M67" s="392">
        <f t="shared" si="39"/>
        <v>0</v>
      </c>
      <c r="N67" s="392">
        <f t="shared" si="39"/>
        <v>0</v>
      </c>
      <c r="O67" s="393">
        <f t="shared" si="39"/>
        <v>0</v>
      </c>
      <c r="P67" s="394">
        <f t="shared" si="37"/>
        <v>0</v>
      </c>
      <c r="Q67" s="392">
        <f>Q63*$C63/12*(1+Inflation_salaires)</f>
        <v>0</v>
      </c>
      <c r="R67" s="392">
        <f>R63*$C63/12*(1+Inflation_salaires)</f>
        <v>0</v>
      </c>
      <c r="S67" s="392">
        <f>S63*$C63/12*(1+Inflation_salaires)</f>
        <v>0</v>
      </c>
      <c r="T67" s="392">
        <f>T63*$C63/12*(1+Inflation_salaires)</f>
        <v>0</v>
      </c>
      <c r="U67" s="392">
        <f>U63*$C63/12*(1+Inflation_salaires)</f>
        <v>0</v>
      </c>
      <c r="V67" s="392">
        <f>V63*$C63/12*(1+Inflation_salaires)</f>
        <v>0</v>
      </c>
      <c r="W67" s="392">
        <f>W63*$C63/12*(1+Inflation_salaires)</f>
        <v>0</v>
      </c>
      <c r="X67" s="392">
        <f>X63*$C63/12*(1+Inflation_salaires)</f>
        <v>0</v>
      </c>
      <c r="Y67" s="392">
        <f>Y63*$C63/12*(1+Inflation_salaires)</f>
        <v>0</v>
      </c>
      <c r="Z67" s="392">
        <f>Z63*$C63/12*(1+Inflation_salaires)</f>
        <v>0</v>
      </c>
      <c r="AA67" s="392">
        <f>AA63*$C63/12*(1+Inflation_salaires)</f>
        <v>0</v>
      </c>
      <c r="AB67" s="393">
        <f>AB63*$C63/12*(1+Inflation_salaires)</f>
        <v>0</v>
      </c>
      <c r="AC67" s="394">
        <f t="shared" si="38"/>
        <v>0</v>
      </c>
      <c r="AD67" s="395">
        <f>AD63*$C63*(1+Inflation_salaires)^2</f>
        <v>0</v>
      </c>
      <c r="AE67" s="396">
        <f>AE62*$C63*(1+Inflation_salaires)^3</f>
        <v>0</v>
      </c>
      <c r="AF67" s="187"/>
      <c r="AG67" s="308"/>
      <c r="AH67" s="308"/>
      <c r="AI67" s="308"/>
      <c r="AJ67" s="308"/>
      <c r="AK67" s="308"/>
      <c r="AL67" s="308"/>
      <c r="AM67" s="308"/>
      <c r="AN67" s="308"/>
      <c r="AO67" s="308"/>
      <c r="AP67" s="308"/>
      <c r="AQ67" s="308"/>
      <c r="AR67" s="308"/>
      <c r="AS67" s="308"/>
      <c r="AT67" s="308"/>
      <c r="AU67" s="308"/>
    </row>
    <row r="68" ht="15.0" customHeight="1" collapsed="1">
      <c r="A68" s="187"/>
      <c r="B68" s="385" t="s">
        <v>300</v>
      </c>
      <c r="C68" s="216"/>
      <c r="D68" s="217">
        <f t="shared" ref="D68:O68" si="40">D65+D66+D67</f>
        <v>0</v>
      </c>
      <c r="E68" s="217">
        <f t="shared" si="40"/>
        <v>0</v>
      </c>
      <c r="F68" s="217">
        <f t="shared" si="40"/>
        <v>0</v>
      </c>
      <c r="G68" s="217">
        <f t="shared" si="40"/>
        <v>0</v>
      </c>
      <c r="H68" s="217">
        <f t="shared" si="40"/>
        <v>0</v>
      </c>
      <c r="I68" s="217">
        <f t="shared" si="40"/>
        <v>0</v>
      </c>
      <c r="J68" s="217">
        <f t="shared" si="40"/>
        <v>0</v>
      </c>
      <c r="K68" s="217">
        <f t="shared" si="40"/>
        <v>0</v>
      </c>
      <c r="L68" s="217">
        <f t="shared" si="40"/>
        <v>0</v>
      </c>
      <c r="M68" s="217">
        <f t="shared" si="40"/>
        <v>0</v>
      </c>
      <c r="N68" s="217">
        <f t="shared" si="40"/>
        <v>0</v>
      </c>
      <c r="O68" s="386">
        <f t="shared" si="40"/>
        <v>0</v>
      </c>
      <c r="P68" s="216">
        <f t="shared" si="37"/>
        <v>0</v>
      </c>
      <c r="Q68" s="217">
        <f t="shared" ref="Q68:AB68" si="41">Q65+Q66+Q67</f>
        <v>0</v>
      </c>
      <c r="R68" s="217">
        <f t="shared" si="41"/>
        <v>0</v>
      </c>
      <c r="S68" s="217">
        <f t="shared" si="41"/>
        <v>0</v>
      </c>
      <c r="T68" s="217">
        <f t="shared" si="41"/>
        <v>0</v>
      </c>
      <c r="U68" s="217">
        <f t="shared" si="41"/>
        <v>0</v>
      </c>
      <c r="V68" s="217">
        <f t="shared" si="41"/>
        <v>0</v>
      </c>
      <c r="W68" s="217">
        <f t="shared" si="41"/>
        <v>0</v>
      </c>
      <c r="X68" s="217">
        <f t="shared" si="41"/>
        <v>0</v>
      </c>
      <c r="Y68" s="217">
        <f t="shared" si="41"/>
        <v>0</v>
      </c>
      <c r="Z68" s="217">
        <f t="shared" si="41"/>
        <v>0</v>
      </c>
      <c r="AA68" s="217">
        <f t="shared" si="41"/>
        <v>0</v>
      </c>
      <c r="AB68" s="386">
        <f t="shared" si="41"/>
        <v>0</v>
      </c>
      <c r="AC68" s="216">
        <f t="shared" si="38"/>
        <v>0</v>
      </c>
      <c r="AD68" s="387">
        <f t="shared" ref="AD68:AE68" si="42">SUM(AD65:AD67)</f>
        <v>0</v>
      </c>
      <c r="AE68" s="387">
        <f t="shared" si="42"/>
        <v>0</v>
      </c>
      <c r="AF68" s="388"/>
      <c r="AG68" s="308"/>
      <c r="AH68" s="308"/>
      <c r="AI68" s="308"/>
      <c r="AJ68" s="308"/>
      <c r="AK68" s="308"/>
      <c r="AL68" s="308"/>
      <c r="AM68" s="308"/>
      <c r="AN68" s="308"/>
      <c r="AO68" s="308"/>
      <c r="AP68" s="308"/>
      <c r="AQ68" s="308"/>
      <c r="AR68" s="308"/>
      <c r="AS68" s="308"/>
      <c r="AT68" s="308"/>
      <c r="AU68" s="308"/>
    </row>
    <row r="69" ht="12.0" customHeight="1">
      <c r="A69" s="187"/>
      <c r="B69" s="314"/>
      <c r="C69" s="314"/>
      <c r="D69" s="187"/>
      <c r="E69" s="187"/>
      <c r="F69" s="406"/>
      <c r="G69" s="406"/>
      <c r="H69" s="406"/>
      <c r="I69" s="406"/>
      <c r="J69" s="406"/>
      <c r="K69" s="406"/>
      <c r="L69" s="406"/>
      <c r="M69" s="406"/>
      <c r="N69" s="187"/>
      <c r="O69" s="456" t="s">
        <v>244</v>
      </c>
      <c r="P69" s="341">
        <f>IF(SUM(D68:O68)=P68,0,P68-SUM(D68:O68))</f>
        <v>0</v>
      </c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456"/>
      <c r="AC69" s="341">
        <f>IF(SUM(Q68:AB68)=AC68,0,AC68-SUM(Q68:AB68))</f>
        <v>0</v>
      </c>
      <c r="AD69" s="408"/>
      <c r="AE69" s="408"/>
      <c r="AF69" s="388"/>
      <c r="AG69" s="187"/>
      <c r="AH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</row>
    <row r="70" ht="24.75" customHeight="1">
      <c r="A70" s="180"/>
      <c r="B70" s="181" t="s">
        <v>301</v>
      </c>
      <c r="C70" s="374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3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3"/>
      <c r="AC70" s="373"/>
      <c r="AD70" s="373"/>
      <c r="AE70" s="373"/>
      <c r="AF70" s="375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</row>
    <row r="71" ht="15.0" customHeight="1">
      <c r="A71" s="308"/>
      <c r="B71" s="388" t="s">
        <v>302</v>
      </c>
      <c r="C71" s="389"/>
      <c r="D71" s="220">
        <f t="shared" ref="D71:O71" si="43">D10+D34+D52+D64</f>
        <v>2</v>
      </c>
      <c r="E71" s="220">
        <f t="shared" si="43"/>
        <v>2</v>
      </c>
      <c r="F71" s="220">
        <f t="shared" si="43"/>
        <v>2</v>
      </c>
      <c r="G71" s="220">
        <f t="shared" si="43"/>
        <v>2</v>
      </c>
      <c r="H71" s="220">
        <f t="shared" si="43"/>
        <v>2</v>
      </c>
      <c r="I71" s="220">
        <f t="shared" si="43"/>
        <v>2</v>
      </c>
      <c r="J71" s="220">
        <f t="shared" si="43"/>
        <v>2</v>
      </c>
      <c r="K71" s="220">
        <f t="shared" si="43"/>
        <v>2</v>
      </c>
      <c r="L71" s="220">
        <f t="shared" si="43"/>
        <v>2</v>
      </c>
      <c r="M71" s="220">
        <f t="shared" si="43"/>
        <v>2</v>
      </c>
      <c r="N71" s="220">
        <f t="shared" si="43"/>
        <v>2</v>
      </c>
      <c r="O71" s="220">
        <f t="shared" si="43"/>
        <v>2</v>
      </c>
      <c r="P71" s="398">
        <f t="shared" ref="P71:P72" si="47">(D71+E71+F71+G71+H71+I71+J71+K71+L71+M71+N71+O71)/12</f>
        <v>2</v>
      </c>
      <c r="Q71" s="220">
        <f t="shared" ref="Q71:AB71" si="44">Q10+Q34+Q52+Q64</f>
        <v>2</v>
      </c>
      <c r="R71" s="220">
        <f t="shared" si="44"/>
        <v>2</v>
      </c>
      <c r="S71" s="220">
        <f t="shared" si="44"/>
        <v>2</v>
      </c>
      <c r="T71" s="220">
        <f t="shared" si="44"/>
        <v>2</v>
      </c>
      <c r="U71" s="220">
        <f t="shared" si="44"/>
        <v>2</v>
      </c>
      <c r="V71" s="220">
        <f t="shared" si="44"/>
        <v>2</v>
      </c>
      <c r="W71" s="220">
        <f t="shared" si="44"/>
        <v>2</v>
      </c>
      <c r="X71" s="220">
        <f t="shared" si="44"/>
        <v>2</v>
      </c>
      <c r="Y71" s="220">
        <f t="shared" si="44"/>
        <v>2</v>
      </c>
      <c r="Z71" s="220">
        <f t="shared" si="44"/>
        <v>2</v>
      </c>
      <c r="AA71" s="220">
        <f t="shared" si="44"/>
        <v>2</v>
      </c>
      <c r="AB71" s="220">
        <f t="shared" si="44"/>
        <v>2</v>
      </c>
      <c r="AC71" s="398">
        <f t="shared" ref="AC71:AC72" si="49">(Q71+R71+S71+T71+U71+V71+W71+X71+Y71+Z71+AA71+AB71)/12</f>
        <v>2</v>
      </c>
      <c r="AD71" s="458">
        <f t="shared" ref="AD71:AE71" si="45">AD10+AD34+AD52+AD64</f>
        <v>2</v>
      </c>
      <c r="AE71" s="406">
        <f t="shared" si="45"/>
        <v>2</v>
      </c>
      <c r="AF71" s="388"/>
      <c r="AG71" s="308"/>
      <c r="AH71" s="308"/>
      <c r="AI71" s="308"/>
      <c r="AJ71" s="308"/>
      <c r="AK71" s="308"/>
      <c r="AL71" s="308"/>
      <c r="AM71" s="308"/>
      <c r="AN71" s="308"/>
      <c r="AO71" s="308"/>
      <c r="AP71" s="308"/>
      <c r="AQ71" s="308"/>
      <c r="AR71" s="308"/>
      <c r="AS71" s="308"/>
      <c r="AT71" s="308"/>
      <c r="AU71" s="308"/>
    </row>
    <row r="72" ht="13.5" customHeight="1">
      <c r="A72" s="459"/>
      <c r="B72" s="460" t="s">
        <v>303</v>
      </c>
      <c r="C72" s="335"/>
      <c r="D72" s="461">
        <f t="shared" ref="D72:O72" si="46">D50+D62</f>
        <v>0</v>
      </c>
      <c r="E72" s="461">
        <f t="shared" si="46"/>
        <v>0</v>
      </c>
      <c r="F72" s="461">
        <f t="shared" si="46"/>
        <v>0</v>
      </c>
      <c r="G72" s="461">
        <f t="shared" si="46"/>
        <v>0</v>
      </c>
      <c r="H72" s="461">
        <f t="shared" si="46"/>
        <v>0</v>
      </c>
      <c r="I72" s="461">
        <f t="shared" si="46"/>
        <v>0</v>
      </c>
      <c r="J72" s="461">
        <f t="shared" si="46"/>
        <v>0</v>
      </c>
      <c r="K72" s="461">
        <f t="shared" si="46"/>
        <v>0</v>
      </c>
      <c r="L72" s="461">
        <f t="shared" si="46"/>
        <v>0</v>
      </c>
      <c r="M72" s="461">
        <f t="shared" si="46"/>
        <v>0</v>
      </c>
      <c r="N72" s="461">
        <f t="shared" si="46"/>
        <v>0</v>
      </c>
      <c r="O72" s="461">
        <f t="shared" si="46"/>
        <v>0</v>
      </c>
      <c r="P72" s="462">
        <f t="shared" si="47"/>
        <v>0</v>
      </c>
      <c r="Q72" s="461">
        <f t="shared" ref="Q72:AB72" si="48">Q50+Q62</f>
        <v>0</v>
      </c>
      <c r="R72" s="461">
        <f t="shared" si="48"/>
        <v>0</v>
      </c>
      <c r="S72" s="461">
        <f t="shared" si="48"/>
        <v>0</v>
      </c>
      <c r="T72" s="461">
        <f t="shared" si="48"/>
        <v>0</v>
      </c>
      <c r="U72" s="461">
        <f t="shared" si="48"/>
        <v>0</v>
      </c>
      <c r="V72" s="461">
        <f t="shared" si="48"/>
        <v>0</v>
      </c>
      <c r="W72" s="461">
        <f t="shared" si="48"/>
        <v>0</v>
      </c>
      <c r="X72" s="461">
        <f t="shared" si="48"/>
        <v>0</v>
      </c>
      <c r="Y72" s="461">
        <f t="shared" si="48"/>
        <v>0</v>
      </c>
      <c r="Z72" s="461">
        <f t="shared" si="48"/>
        <v>0</v>
      </c>
      <c r="AA72" s="461">
        <f t="shared" si="48"/>
        <v>0</v>
      </c>
      <c r="AB72" s="461">
        <f t="shared" si="48"/>
        <v>0</v>
      </c>
      <c r="AC72" s="462">
        <f t="shared" si="49"/>
        <v>0</v>
      </c>
      <c r="AD72" s="463">
        <f t="shared" ref="AD72:AE72" si="50">AD26+AD50+AD62</f>
        <v>0</v>
      </c>
      <c r="AE72" s="186">
        <f t="shared" si="50"/>
        <v>0</v>
      </c>
      <c r="AF72" s="464"/>
      <c r="AG72" s="459"/>
      <c r="AH72" s="459"/>
      <c r="AI72" s="459"/>
      <c r="AJ72" s="459"/>
      <c r="AK72" s="459"/>
      <c r="AL72" s="459"/>
      <c r="AM72" s="459"/>
      <c r="AN72" s="459"/>
      <c r="AO72" s="459"/>
      <c r="AP72" s="459"/>
      <c r="AQ72" s="459"/>
      <c r="AR72" s="459"/>
      <c r="AS72" s="459"/>
      <c r="AT72" s="459"/>
      <c r="AU72" s="459"/>
    </row>
    <row r="73" ht="15.0" customHeight="1" outlineLevel="1">
      <c r="A73" s="308"/>
      <c r="B73" s="187" t="s">
        <v>304</v>
      </c>
      <c r="C73" s="389"/>
      <c r="D73" s="221">
        <f t="shared" ref="D73:O73" si="51">D11+D35+D36+D53+D54+D65</f>
        <v>4283.333333</v>
      </c>
      <c r="E73" s="221">
        <f t="shared" si="51"/>
        <v>4283.333333</v>
      </c>
      <c r="F73" s="221">
        <f t="shared" si="51"/>
        <v>4283.333333</v>
      </c>
      <c r="G73" s="221">
        <f t="shared" si="51"/>
        <v>4283.333333</v>
      </c>
      <c r="H73" s="221">
        <f t="shared" si="51"/>
        <v>4783.333333</v>
      </c>
      <c r="I73" s="221">
        <f t="shared" si="51"/>
        <v>4783.333333</v>
      </c>
      <c r="J73" s="221">
        <f t="shared" si="51"/>
        <v>4783.333333</v>
      </c>
      <c r="K73" s="221">
        <f t="shared" si="51"/>
        <v>4783.333333</v>
      </c>
      <c r="L73" s="221">
        <f t="shared" si="51"/>
        <v>4783.333333</v>
      </c>
      <c r="M73" s="221">
        <f t="shared" si="51"/>
        <v>4783.333333</v>
      </c>
      <c r="N73" s="221">
        <f t="shared" si="51"/>
        <v>4283.333333</v>
      </c>
      <c r="O73" s="221">
        <f t="shared" si="51"/>
        <v>4283.333333</v>
      </c>
      <c r="P73" s="189">
        <f t="shared" ref="P73:P77" si="55">SUM(D73:O73)</f>
        <v>54400</v>
      </c>
      <c r="Q73" s="221">
        <f t="shared" ref="Q73:AB73" si="52">Q11+Q35+Q36+Q53+Q54+Q65</f>
        <v>4283.333333</v>
      </c>
      <c r="R73" s="221">
        <f t="shared" si="52"/>
        <v>4283.333333</v>
      </c>
      <c r="S73" s="221">
        <f t="shared" si="52"/>
        <v>4283.333333</v>
      </c>
      <c r="T73" s="221">
        <f t="shared" si="52"/>
        <v>4283.333333</v>
      </c>
      <c r="U73" s="221">
        <f t="shared" si="52"/>
        <v>4783.333333</v>
      </c>
      <c r="V73" s="221">
        <f t="shared" si="52"/>
        <v>4783.333333</v>
      </c>
      <c r="W73" s="221">
        <f t="shared" si="52"/>
        <v>4783.333333</v>
      </c>
      <c r="X73" s="221">
        <f t="shared" si="52"/>
        <v>4783.333333</v>
      </c>
      <c r="Y73" s="221">
        <f t="shared" si="52"/>
        <v>4783.333333</v>
      </c>
      <c r="Z73" s="221">
        <f t="shared" si="52"/>
        <v>4783.333333</v>
      </c>
      <c r="AA73" s="221">
        <f t="shared" si="52"/>
        <v>4283.333333</v>
      </c>
      <c r="AB73" s="221">
        <f t="shared" si="52"/>
        <v>4283.333333</v>
      </c>
      <c r="AC73" s="189">
        <f>AC11+AC36+AC53+AC54+AC65</f>
        <v>28000</v>
      </c>
      <c r="AD73" s="297">
        <f t="shared" ref="AD73:AE73" si="53">AD11+AD35+AD36+AD53+AD54+AD65</f>
        <v>58432.5</v>
      </c>
      <c r="AE73" s="221">
        <f t="shared" si="53"/>
        <v>61354.125</v>
      </c>
      <c r="AF73" s="187"/>
      <c r="AG73" s="308"/>
      <c r="AH73" s="308"/>
      <c r="AI73" s="308"/>
      <c r="AJ73" s="308"/>
      <c r="AK73" s="308"/>
      <c r="AL73" s="308"/>
      <c r="AM73" s="308"/>
      <c r="AN73" s="308"/>
      <c r="AO73" s="308"/>
      <c r="AP73" s="308"/>
      <c r="AQ73" s="308"/>
      <c r="AR73" s="308"/>
      <c r="AS73" s="308"/>
      <c r="AT73" s="308"/>
      <c r="AU73" s="308"/>
    </row>
    <row r="74" ht="15.0" customHeight="1" outlineLevel="1">
      <c r="A74" s="308"/>
      <c r="B74" s="187" t="s">
        <v>305</v>
      </c>
      <c r="C74" s="189"/>
      <c r="D74" s="221">
        <f t="shared" ref="D74:O74" si="54">D12+D37+D55+D66</f>
        <v>1927.5</v>
      </c>
      <c r="E74" s="221">
        <f t="shared" si="54"/>
        <v>1927.5</v>
      </c>
      <c r="F74" s="221">
        <f t="shared" si="54"/>
        <v>1927.5</v>
      </c>
      <c r="G74" s="221">
        <f t="shared" si="54"/>
        <v>1927.5</v>
      </c>
      <c r="H74" s="221">
        <f t="shared" si="54"/>
        <v>1927.5</v>
      </c>
      <c r="I74" s="221">
        <f t="shared" si="54"/>
        <v>1927.5</v>
      </c>
      <c r="J74" s="221">
        <f t="shared" si="54"/>
        <v>1927.5</v>
      </c>
      <c r="K74" s="221">
        <f t="shared" si="54"/>
        <v>1927.5</v>
      </c>
      <c r="L74" s="221">
        <f t="shared" si="54"/>
        <v>1927.5</v>
      </c>
      <c r="M74" s="221">
        <f t="shared" si="54"/>
        <v>1927.5</v>
      </c>
      <c r="N74" s="221">
        <f t="shared" si="54"/>
        <v>1927.5</v>
      </c>
      <c r="O74" s="221">
        <f t="shared" si="54"/>
        <v>1927.5</v>
      </c>
      <c r="P74" s="189">
        <f t="shared" si="55"/>
        <v>23130</v>
      </c>
      <c r="Q74" s="221">
        <f t="shared" ref="Q74:AB74" si="56">Q12+Q37+Q55+Q66</f>
        <v>1927.5</v>
      </c>
      <c r="R74" s="221">
        <f t="shared" si="56"/>
        <v>1927.5</v>
      </c>
      <c r="S74" s="221">
        <f t="shared" si="56"/>
        <v>1927.5</v>
      </c>
      <c r="T74" s="221">
        <f t="shared" si="56"/>
        <v>1927.5</v>
      </c>
      <c r="U74" s="221">
        <f t="shared" si="56"/>
        <v>1927.5</v>
      </c>
      <c r="V74" s="221">
        <f t="shared" si="56"/>
        <v>1927.5</v>
      </c>
      <c r="W74" s="221">
        <f t="shared" si="56"/>
        <v>1927.5</v>
      </c>
      <c r="X74" s="221">
        <f t="shared" si="56"/>
        <v>1927.5</v>
      </c>
      <c r="Y74" s="221">
        <f t="shared" si="56"/>
        <v>1927.5</v>
      </c>
      <c r="Z74" s="221">
        <f t="shared" si="56"/>
        <v>1927.5</v>
      </c>
      <c r="AA74" s="221">
        <f t="shared" si="56"/>
        <v>1927.5</v>
      </c>
      <c r="AB74" s="221">
        <f t="shared" si="56"/>
        <v>1927.5</v>
      </c>
      <c r="AC74" s="189">
        <f t="shared" ref="AC74:AC77" si="60">SUM(Q74:AB74)</f>
        <v>23130</v>
      </c>
      <c r="AD74" s="297">
        <f t="shared" ref="AD74:AE74" si="57">AD12+AD37+AD55+AD66</f>
        <v>24877.125</v>
      </c>
      <c r="AE74" s="221">
        <f t="shared" si="57"/>
        <v>26120.98125</v>
      </c>
      <c r="AF74" s="187"/>
      <c r="AG74" s="308"/>
      <c r="AH74" s="308"/>
      <c r="AI74" s="308"/>
      <c r="AJ74" s="308"/>
      <c r="AK74" s="308"/>
      <c r="AL74" s="308"/>
      <c r="AM74" s="308"/>
      <c r="AN74" s="308"/>
      <c r="AO74" s="308"/>
      <c r="AP74" s="308"/>
      <c r="AQ74" s="308"/>
      <c r="AR74" s="308"/>
      <c r="AS74" s="308"/>
      <c r="AT74" s="308"/>
      <c r="AU74" s="308"/>
    </row>
    <row r="75" ht="15.0" customHeight="1" outlineLevel="1">
      <c r="A75" s="308"/>
      <c r="B75" s="256" t="s">
        <v>306</v>
      </c>
      <c r="C75" s="189"/>
      <c r="D75" s="221">
        <f t="shared" ref="D75:O75" si="58">D38+D56+D67</f>
        <v>0</v>
      </c>
      <c r="E75" s="221">
        <f t="shared" si="58"/>
        <v>0</v>
      </c>
      <c r="F75" s="221">
        <f t="shared" si="58"/>
        <v>0</v>
      </c>
      <c r="G75" s="221">
        <f t="shared" si="58"/>
        <v>0</v>
      </c>
      <c r="H75" s="221">
        <f t="shared" si="58"/>
        <v>0</v>
      </c>
      <c r="I75" s="221">
        <f t="shared" si="58"/>
        <v>0</v>
      </c>
      <c r="J75" s="221">
        <f t="shared" si="58"/>
        <v>0</v>
      </c>
      <c r="K75" s="221">
        <f t="shared" si="58"/>
        <v>0</v>
      </c>
      <c r="L75" s="221">
        <f t="shared" si="58"/>
        <v>0</v>
      </c>
      <c r="M75" s="221">
        <f t="shared" si="58"/>
        <v>0</v>
      </c>
      <c r="N75" s="221">
        <f t="shared" si="58"/>
        <v>0</v>
      </c>
      <c r="O75" s="221">
        <f t="shared" si="58"/>
        <v>0</v>
      </c>
      <c r="P75" s="189">
        <f t="shared" si="55"/>
        <v>0</v>
      </c>
      <c r="Q75" s="221">
        <f t="shared" ref="Q75:AB75" si="59">Q38+Q56+Q67</f>
        <v>0</v>
      </c>
      <c r="R75" s="221">
        <f t="shared" si="59"/>
        <v>0</v>
      </c>
      <c r="S75" s="221">
        <f t="shared" si="59"/>
        <v>0</v>
      </c>
      <c r="T75" s="221">
        <f t="shared" si="59"/>
        <v>0</v>
      </c>
      <c r="U75" s="221">
        <f t="shared" si="59"/>
        <v>0</v>
      </c>
      <c r="V75" s="221">
        <f t="shared" si="59"/>
        <v>0</v>
      </c>
      <c r="W75" s="221">
        <f t="shared" si="59"/>
        <v>0</v>
      </c>
      <c r="X75" s="221">
        <f t="shared" si="59"/>
        <v>0</v>
      </c>
      <c r="Y75" s="221">
        <f t="shared" si="59"/>
        <v>0</v>
      </c>
      <c r="Z75" s="221">
        <f t="shared" si="59"/>
        <v>0</v>
      </c>
      <c r="AA75" s="221">
        <f t="shared" si="59"/>
        <v>0</v>
      </c>
      <c r="AB75" s="221">
        <f t="shared" si="59"/>
        <v>0</v>
      </c>
      <c r="AC75" s="189">
        <f t="shared" si="60"/>
        <v>0</v>
      </c>
      <c r="AD75" s="297">
        <f t="shared" ref="AD75:AE75" si="61">AD38+AD56+AD67</f>
        <v>0</v>
      </c>
      <c r="AE75" s="221">
        <f t="shared" si="61"/>
        <v>0</v>
      </c>
      <c r="AF75" s="187"/>
      <c r="AG75" s="308"/>
      <c r="AH75" s="308"/>
      <c r="AI75" s="308"/>
      <c r="AJ75" s="308"/>
      <c r="AK75" s="308"/>
      <c r="AL75" s="308"/>
      <c r="AM75" s="308"/>
      <c r="AN75" s="308"/>
      <c r="AO75" s="308"/>
      <c r="AP75" s="308"/>
      <c r="AQ75" s="308"/>
      <c r="AR75" s="308"/>
      <c r="AS75" s="308"/>
      <c r="AT75" s="308"/>
      <c r="AU75" s="308"/>
    </row>
    <row r="76" ht="24.75" customHeight="1">
      <c r="A76" s="187"/>
      <c r="B76" s="299" t="s">
        <v>307</v>
      </c>
      <c r="C76" s="323"/>
      <c r="D76" s="301">
        <f t="shared" ref="D76:O76" si="62">SUM(D73:D75)</f>
        <v>6210.833333</v>
      </c>
      <c r="E76" s="302">
        <f t="shared" si="62"/>
        <v>6210.833333</v>
      </c>
      <c r="F76" s="302">
        <f t="shared" si="62"/>
        <v>6210.833333</v>
      </c>
      <c r="G76" s="302">
        <f t="shared" si="62"/>
        <v>6210.833333</v>
      </c>
      <c r="H76" s="302">
        <f t="shared" si="62"/>
        <v>6710.833333</v>
      </c>
      <c r="I76" s="302">
        <f t="shared" si="62"/>
        <v>6710.833333</v>
      </c>
      <c r="J76" s="302">
        <f t="shared" si="62"/>
        <v>6710.833333</v>
      </c>
      <c r="K76" s="302">
        <f t="shared" si="62"/>
        <v>6710.833333</v>
      </c>
      <c r="L76" s="302">
        <f t="shared" si="62"/>
        <v>6710.833333</v>
      </c>
      <c r="M76" s="302">
        <f t="shared" si="62"/>
        <v>6710.833333</v>
      </c>
      <c r="N76" s="302">
        <f t="shared" si="62"/>
        <v>6210.833333</v>
      </c>
      <c r="O76" s="303">
        <f t="shared" si="62"/>
        <v>6210.833333</v>
      </c>
      <c r="P76" s="465">
        <f t="shared" si="55"/>
        <v>77530</v>
      </c>
      <c r="Q76" s="301">
        <f t="shared" ref="Q76:AB76" si="63">SUM(Q73:Q75)</f>
        <v>6210.833333</v>
      </c>
      <c r="R76" s="302">
        <f t="shared" si="63"/>
        <v>6210.833333</v>
      </c>
      <c r="S76" s="302">
        <f t="shared" si="63"/>
        <v>6210.833333</v>
      </c>
      <c r="T76" s="302">
        <f t="shared" si="63"/>
        <v>6210.833333</v>
      </c>
      <c r="U76" s="302">
        <f t="shared" si="63"/>
        <v>6710.833333</v>
      </c>
      <c r="V76" s="302">
        <f t="shared" si="63"/>
        <v>6710.833333</v>
      </c>
      <c r="W76" s="302">
        <f t="shared" si="63"/>
        <v>6710.833333</v>
      </c>
      <c r="X76" s="302">
        <f t="shared" si="63"/>
        <v>6710.833333</v>
      </c>
      <c r="Y76" s="302">
        <f t="shared" si="63"/>
        <v>6710.833333</v>
      </c>
      <c r="Z76" s="302">
        <f t="shared" si="63"/>
        <v>6710.833333</v>
      </c>
      <c r="AA76" s="302">
        <f t="shared" si="63"/>
        <v>6210.833333</v>
      </c>
      <c r="AB76" s="303">
        <f t="shared" si="63"/>
        <v>6210.833333</v>
      </c>
      <c r="AC76" s="465">
        <f t="shared" si="60"/>
        <v>77530</v>
      </c>
      <c r="AD76" s="300">
        <f t="shared" ref="AD76:AE76" si="64">SUM(AD73:AD75)</f>
        <v>83309.625</v>
      </c>
      <c r="AE76" s="323">
        <f t="shared" si="64"/>
        <v>87475.10625</v>
      </c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7"/>
    </row>
    <row r="77" ht="15.0" customHeight="1">
      <c r="A77" s="308"/>
      <c r="B77" s="402" t="s">
        <v>308</v>
      </c>
      <c r="C77" s="405"/>
      <c r="D77" s="466">
        <f t="shared" ref="D77:O77" si="65">D14+D40</f>
        <v>0</v>
      </c>
      <c r="E77" s="403">
        <f t="shared" si="65"/>
        <v>0</v>
      </c>
      <c r="F77" s="403">
        <f t="shared" si="65"/>
        <v>0</v>
      </c>
      <c r="G77" s="403">
        <f t="shared" si="65"/>
        <v>0</v>
      </c>
      <c r="H77" s="403">
        <f t="shared" si="65"/>
        <v>0</v>
      </c>
      <c r="I77" s="403">
        <f t="shared" si="65"/>
        <v>0</v>
      </c>
      <c r="J77" s="403">
        <f t="shared" si="65"/>
        <v>0</v>
      </c>
      <c r="K77" s="403">
        <f t="shared" si="65"/>
        <v>0</v>
      </c>
      <c r="L77" s="403">
        <f t="shared" si="65"/>
        <v>0</v>
      </c>
      <c r="M77" s="403">
        <f t="shared" si="65"/>
        <v>0</v>
      </c>
      <c r="N77" s="403">
        <f t="shared" si="65"/>
        <v>0</v>
      </c>
      <c r="O77" s="404">
        <f t="shared" si="65"/>
        <v>0</v>
      </c>
      <c r="P77" s="405">
        <f t="shared" si="55"/>
        <v>0</v>
      </c>
      <c r="Q77" s="403">
        <f t="shared" ref="Q77:AB77" si="66">Q14+Q40</f>
        <v>0</v>
      </c>
      <c r="R77" s="403">
        <f t="shared" si="66"/>
        <v>0</v>
      </c>
      <c r="S77" s="403">
        <f t="shared" si="66"/>
        <v>0</v>
      </c>
      <c r="T77" s="403">
        <f t="shared" si="66"/>
        <v>0</v>
      </c>
      <c r="U77" s="403">
        <f t="shared" si="66"/>
        <v>0</v>
      </c>
      <c r="V77" s="403">
        <f t="shared" si="66"/>
        <v>0</v>
      </c>
      <c r="W77" s="403">
        <f t="shared" si="66"/>
        <v>0</v>
      </c>
      <c r="X77" s="403">
        <f t="shared" si="66"/>
        <v>0</v>
      </c>
      <c r="Y77" s="403">
        <f t="shared" si="66"/>
        <v>0</v>
      </c>
      <c r="Z77" s="403">
        <f t="shared" si="66"/>
        <v>0</v>
      </c>
      <c r="AA77" s="403">
        <f t="shared" si="66"/>
        <v>0</v>
      </c>
      <c r="AB77" s="404">
        <f t="shared" si="66"/>
        <v>0</v>
      </c>
      <c r="AC77" s="405">
        <f t="shared" si="60"/>
        <v>0</v>
      </c>
      <c r="AD77" s="467">
        <f t="shared" ref="AD77:AE77" si="67">AD14+AD40</f>
        <v>0</v>
      </c>
      <c r="AE77" s="403">
        <f t="shared" si="67"/>
        <v>0</v>
      </c>
      <c r="AF77" s="187"/>
      <c r="AG77" s="308"/>
      <c r="AH77" s="308"/>
      <c r="AI77" s="308"/>
      <c r="AJ77" s="308"/>
      <c r="AK77" s="308"/>
      <c r="AL77" s="308"/>
      <c r="AM77" s="308"/>
      <c r="AN77" s="308"/>
      <c r="AO77" s="308"/>
      <c r="AP77" s="308"/>
      <c r="AQ77" s="308"/>
      <c r="AR77" s="308"/>
      <c r="AS77" s="308"/>
      <c r="AT77" s="308"/>
      <c r="AU77" s="308"/>
    </row>
    <row r="78" ht="12.0" customHeight="1">
      <c r="A78" s="468"/>
      <c r="B78" s="469"/>
      <c r="C78" s="469"/>
      <c r="D78" s="468"/>
      <c r="E78" s="468"/>
      <c r="F78" s="470"/>
      <c r="G78" s="470"/>
      <c r="H78" s="470"/>
      <c r="I78" s="470"/>
      <c r="J78" s="470"/>
      <c r="K78" s="470"/>
      <c r="L78" s="470"/>
      <c r="M78" s="470"/>
      <c r="N78" s="468"/>
      <c r="O78" s="471" t="s">
        <v>244</v>
      </c>
      <c r="P78" s="472">
        <f>IF(SUM(D76:O76)=P76,0,P76-SUM(D76:O76))</f>
        <v>0</v>
      </c>
      <c r="Q78" s="472"/>
      <c r="R78" s="472"/>
      <c r="S78" s="472"/>
      <c r="T78" s="472"/>
      <c r="U78" s="472"/>
      <c r="V78" s="472"/>
      <c r="W78" s="472"/>
      <c r="X78" s="472"/>
      <c r="Y78" s="472"/>
      <c r="Z78" s="472"/>
      <c r="AA78" s="472"/>
      <c r="AB78" s="472"/>
      <c r="AC78" s="472">
        <f>IF(SUM(Q76:AB76)=AC76,0,AC76-SUM(Q76:AB76))</f>
        <v>0</v>
      </c>
      <c r="AD78" s="473"/>
      <c r="AE78" s="474"/>
      <c r="AF78" s="475"/>
      <c r="AG78" s="468"/>
      <c r="AH78" s="468"/>
      <c r="AI78" s="348"/>
      <c r="AJ78" s="476"/>
      <c r="AK78" s="468"/>
      <c r="AL78" s="468"/>
      <c r="AM78" s="468"/>
      <c r="AN78" s="468"/>
      <c r="AO78" s="468"/>
      <c r="AP78" s="468"/>
      <c r="AQ78" s="468"/>
      <c r="AR78" s="468"/>
      <c r="AS78" s="468"/>
      <c r="AT78" s="468"/>
      <c r="AU78" s="468"/>
    </row>
    <row r="79" ht="15.0" customHeight="1">
      <c r="A79" s="161"/>
      <c r="B79" s="348"/>
      <c r="C79" s="349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477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348"/>
      <c r="AB79" s="348"/>
      <c r="AC79" s="477"/>
      <c r="AD79" s="477"/>
      <c r="AE79" s="477"/>
      <c r="AF79" s="476"/>
      <c r="AG79" s="161"/>
      <c r="AH79" s="161"/>
      <c r="AI79" s="348"/>
      <c r="AJ79" s="348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</row>
    <row r="80" ht="15.0" customHeight="1">
      <c r="A80" s="161"/>
      <c r="B80" s="348"/>
      <c r="C80" s="349"/>
      <c r="D80" s="348"/>
      <c r="E80" s="348"/>
      <c r="F80" s="348"/>
      <c r="G80" s="348"/>
      <c r="H80" s="348"/>
      <c r="I80" s="348"/>
      <c r="J80" s="348"/>
      <c r="K80" s="348"/>
      <c r="L80" s="348"/>
      <c r="M80" s="348"/>
      <c r="N80" s="348"/>
      <c r="O80" s="348"/>
      <c r="P80" s="477"/>
      <c r="Q80" s="348"/>
      <c r="R80" s="348"/>
      <c r="S80" s="348"/>
      <c r="T80" s="348"/>
      <c r="U80" s="348"/>
      <c r="V80" s="348"/>
      <c r="W80" s="348"/>
      <c r="X80" s="348"/>
      <c r="Y80" s="348"/>
      <c r="Z80" s="348"/>
      <c r="AA80" s="348"/>
      <c r="AB80" s="348"/>
      <c r="AC80" s="477"/>
      <c r="AD80" s="477"/>
      <c r="AE80" s="477"/>
      <c r="AF80" s="476"/>
      <c r="AG80" s="161"/>
      <c r="AH80" s="161"/>
      <c r="AI80" s="348"/>
      <c r="AJ80" s="348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</row>
    <row r="81" ht="15.0" customHeight="1">
      <c r="A81" s="161"/>
      <c r="B81" s="348"/>
      <c r="C81" s="349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48"/>
      <c r="P81" s="477"/>
      <c r="Q81" s="348"/>
      <c r="R81" s="348"/>
      <c r="S81" s="348"/>
      <c r="T81" s="348"/>
      <c r="U81" s="348"/>
      <c r="V81" s="348"/>
      <c r="W81" s="348"/>
      <c r="X81" s="348"/>
      <c r="Y81" s="348"/>
      <c r="Z81" s="348"/>
      <c r="AA81" s="348"/>
      <c r="AB81" s="348"/>
      <c r="AC81" s="477"/>
      <c r="AD81" s="477"/>
      <c r="AE81" s="477"/>
      <c r="AF81" s="476"/>
      <c r="AG81" s="161"/>
      <c r="AH81" s="161"/>
      <c r="AI81" s="348"/>
      <c r="AJ81" s="348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</row>
    <row r="82" ht="15.0" customHeight="1">
      <c r="A82" s="161"/>
      <c r="B82" s="348"/>
      <c r="C82" s="349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477"/>
      <c r="Q82" s="348"/>
      <c r="R82" s="348"/>
      <c r="S82" s="348"/>
      <c r="T82" s="348"/>
      <c r="U82" s="348"/>
      <c r="V82" s="348"/>
      <c r="W82" s="348"/>
      <c r="X82" s="348"/>
      <c r="Y82" s="348"/>
      <c r="Z82" s="348"/>
      <c r="AA82" s="348"/>
      <c r="AB82" s="348"/>
      <c r="AC82" s="477"/>
      <c r="AD82" s="477"/>
      <c r="AE82" s="477"/>
      <c r="AF82" s="348"/>
      <c r="AG82" s="161"/>
      <c r="AH82" s="161"/>
      <c r="AI82" s="348"/>
      <c r="AJ82" s="348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</row>
    <row r="83" ht="15.0" customHeight="1">
      <c r="A83" s="161"/>
      <c r="B83" s="348"/>
      <c r="C83" s="349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348"/>
      <c r="P83" s="477"/>
      <c r="Q83" s="348"/>
      <c r="R83" s="348"/>
      <c r="S83" s="348"/>
      <c r="T83" s="348"/>
      <c r="U83" s="348"/>
      <c r="V83" s="348"/>
      <c r="W83" s="348"/>
      <c r="X83" s="348"/>
      <c r="Y83" s="348"/>
      <c r="Z83" s="348"/>
      <c r="AA83" s="348"/>
      <c r="AB83" s="348"/>
      <c r="AC83" s="477"/>
      <c r="AD83" s="477"/>
      <c r="AE83" s="477"/>
      <c r="AF83" s="348"/>
      <c r="AG83" s="161"/>
      <c r="AH83" s="161"/>
      <c r="AI83" s="348"/>
      <c r="AJ83" s="348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</row>
    <row r="84" ht="15.0" customHeight="1">
      <c r="A84" s="161"/>
      <c r="B84" s="348"/>
      <c r="C84" s="349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477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477"/>
      <c r="AD84" s="477"/>
      <c r="AE84" s="477"/>
      <c r="AF84" s="348"/>
      <c r="AG84" s="161"/>
      <c r="AH84" s="161"/>
      <c r="AI84" s="348"/>
      <c r="AJ84" s="348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</row>
    <row r="85" ht="15.0" customHeight="1">
      <c r="A85" s="161"/>
      <c r="B85" s="348"/>
      <c r="C85" s="349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477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348"/>
      <c r="AB85" s="348"/>
      <c r="AC85" s="477"/>
      <c r="AD85" s="477"/>
      <c r="AE85" s="477"/>
      <c r="AF85" s="348"/>
      <c r="AG85" s="161"/>
      <c r="AH85" s="161"/>
      <c r="AI85" s="348"/>
      <c r="AJ85" s="348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</row>
    <row r="86" ht="15.0" customHeight="1">
      <c r="A86" s="161"/>
      <c r="B86" s="348"/>
      <c r="C86" s="349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48"/>
      <c r="P86" s="477"/>
      <c r="Q86" s="348"/>
      <c r="R86" s="348"/>
      <c r="S86" s="348"/>
      <c r="T86" s="348"/>
      <c r="U86" s="348"/>
      <c r="V86" s="348"/>
      <c r="W86" s="348"/>
      <c r="X86" s="348"/>
      <c r="Y86" s="348"/>
      <c r="Z86" s="348"/>
      <c r="AA86" s="348"/>
      <c r="AB86" s="348"/>
      <c r="AC86" s="477"/>
      <c r="AD86" s="477"/>
      <c r="AE86" s="477"/>
      <c r="AF86" s="348"/>
      <c r="AG86" s="161"/>
      <c r="AH86" s="161"/>
      <c r="AI86" s="348"/>
      <c r="AJ86" s="348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</row>
    <row r="87" ht="15.0" customHeight="1">
      <c r="A87" s="161"/>
      <c r="B87" s="348"/>
      <c r="C87" s="349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477"/>
      <c r="Q87" s="348"/>
      <c r="R87" s="348"/>
      <c r="S87" s="348"/>
      <c r="T87" s="348"/>
      <c r="U87" s="348"/>
      <c r="V87" s="348"/>
      <c r="W87" s="348"/>
      <c r="X87" s="348"/>
      <c r="Y87" s="348"/>
      <c r="Z87" s="348"/>
      <c r="AA87" s="348"/>
      <c r="AB87" s="348"/>
      <c r="AC87" s="477"/>
      <c r="AD87" s="477"/>
      <c r="AE87" s="477"/>
      <c r="AF87" s="348"/>
      <c r="AG87" s="161"/>
      <c r="AH87" s="161"/>
      <c r="AI87" s="348"/>
      <c r="AJ87" s="348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</row>
    <row r="88" ht="15.0" customHeight="1">
      <c r="A88" s="161"/>
      <c r="B88" s="348"/>
      <c r="C88" s="349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477"/>
      <c r="Q88" s="348"/>
      <c r="R88" s="348"/>
      <c r="S88" s="348"/>
      <c r="T88" s="348"/>
      <c r="U88" s="348"/>
      <c r="V88" s="348"/>
      <c r="W88" s="348"/>
      <c r="X88" s="348"/>
      <c r="Y88" s="348"/>
      <c r="Z88" s="348"/>
      <c r="AA88" s="348"/>
      <c r="AB88" s="348"/>
      <c r="AC88" s="477"/>
      <c r="AD88" s="477"/>
      <c r="AE88" s="477"/>
      <c r="AF88" s="348"/>
      <c r="AG88" s="161"/>
      <c r="AH88" s="161"/>
      <c r="AI88" s="348"/>
      <c r="AJ88" s="348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</row>
    <row r="89" ht="15.0" customHeight="1">
      <c r="A89" s="161"/>
      <c r="B89" s="348"/>
      <c r="C89" s="349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477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348"/>
      <c r="AB89" s="348"/>
      <c r="AC89" s="477"/>
      <c r="AD89" s="477"/>
      <c r="AE89" s="477"/>
      <c r="AF89" s="348"/>
      <c r="AG89" s="161"/>
      <c r="AH89" s="161"/>
      <c r="AI89" s="348"/>
      <c r="AJ89" s="348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</row>
    <row r="90" ht="15.0" customHeight="1">
      <c r="A90" s="161"/>
      <c r="B90" s="348"/>
      <c r="C90" s="349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477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348"/>
      <c r="AB90" s="348"/>
      <c r="AC90" s="477"/>
      <c r="AD90" s="477"/>
      <c r="AE90" s="477"/>
      <c r="AF90" s="348"/>
      <c r="AG90" s="161"/>
      <c r="AH90" s="161"/>
      <c r="AI90" s="348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</row>
    <row r="91" ht="15.0" customHeight="1">
      <c r="A91" s="161"/>
      <c r="B91" s="348"/>
      <c r="C91" s="349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477"/>
      <c r="Q91" s="348"/>
      <c r="R91" s="348"/>
      <c r="S91" s="348"/>
      <c r="T91" s="348"/>
      <c r="U91" s="348"/>
      <c r="V91" s="348"/>
      <c r="W91" s="348"/>
      <c r="X91" s="348"/>
      <c r="Y91" s="348"/>
      <c r="Z91" s="348"/>
      <c r="AA91" s="348"/>
      <c r="AB91" s="348"/>
      <c r="AC91" s="477"/>
      <c r="AD91" s="477"/>
      <c r="AE91" s="477"/>
      <c r="AF91" s="348"/>
      <c r="AG91" s="161"/>
      <c r="AH91" s="161"/>
      <c r="AI91" s="348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</row>
    <row r="92" ht="12.75" customHeight="1">
      <c r="A92" s="161"/>
      <c r="B92" s="348"/>
      <c r="C92" s="349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477"/>
      <c r="Q92" s="348"/>
      <c r="R92" s="348"/>
      <c r="S92" s="348"/>
      <c r="T92" s="348"/>
      <c r="U92" s="348"/>
      <c r="V92" s="348"/>
      <c r="W92" s="348"/>
      <c r="X92" s="348"/>
      <c r="Y92" s="348"/>
      <c r="Z92" s="348"/>
      <c r="AA92" s="348"/>
      <c r="AB92" s="348"/>
      <c r="AC92" s="477"/>
      <c r="AD92" s="477"/>
      <c r="AE92" s="477"/>
      <c r="AF92" s="348"/>
      <c r="AG92" s="161"/>
      <c r="AH92" s="161"/>
      <c r="AI92" s="348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</row>
    <row r="93" ht="12.75" customHeight="1">
      <c r="A93" s="161"/>
      <c r="B93" s="348"/>
      <c r="C93" s="349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477"/>
      <c r="Q93" s="348"/>
      <c r="R93" s="348"/>
      <c r="S93" s="348"/>
      <c r="T93" s="348"/>
      <c r="U93" s="348"/>
      <c r="V93" s="348"/>
      <c r="W93" s="348"/>
      <c r="X93" s="348"/>
      <c r="Y93" s="348"/>
      <c r="Z93" s="348"/>
      <c r="AA93" s="348"/>
      <c r="AB93" s="348"/>
      <c r="AC93" s="477"/>
      <c r="AD93" s="477"/>
      <c r="AE93" s="477"/>
      <c r="AF93" s="348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</row>
    <row r="94" ht="12.75" customHeight="1">
      <c r="A94" s="161"/>
      <c r="B94" s="348"/>
      <c r="C94" s="349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477"/>
      <c r="Q94" s="348"/>
      <c r="R94" s="348"/>
      <c r="S94" s="348"/>
      <c r="T94" s="348"/>
      <c r="U94" s="348"/>
      <c r="V94" s="348"/>
      <c r="W94" s="348"/>
      <c r="X94" s="348"/>
      <c r="Y94" s="348"/>
      <c r="Z94" s="348"/>
      <c r="AA94" s="348"/>
      <c r="AB94" s="348"/>
      <c r="AC94" s="477"/>
      <c r="AD94" s="477"/>
      <c r="AE94" s="477"/>
      <c r="AF94" s="348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</row>
    <row r="95" ht="12.75" customHeight="1">
      <c r="A95" s="161"/>
      <c r="B95" s="161"/>
      <c r="C95" s="478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35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351"/>
      <c r="AD95" s="351"/>
      <c r="AE95" s="35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</row>
    <row r="96" ht="12.75" customHeight="1">
      <c r="A96" s="161"/>
      <c r="B96" s="161"/>
      <c r="C96" s="478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35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351"/>
      <c r="AD96" s="351"/>
      <c r="AE96" s="35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</row>
    <row r="97" ht="12.75" customHeight="1">
      <c r="A97" s="161"/>
      <c r="B97" s="161"/>
      <c r="C97" s="478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35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351"/>
      <c r="AD97" s="351"/>
      <c r="AE97" s="35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</row>
    <row r="98" ht="12.75" customHeight="1">
      <c r="A98" s="161"/>
      <c r="B98" s="161"/>
      <c r="C98" s="478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35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351"/>
      <c r="AD98" s="351"/>
      <c r="AE98" s="35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</row>
    <row r="99" ht="12.75" customHeight="1">
      <c r="A99" s="161"/>
      <c r="B99" s="161"/>
      <c r="C99" s="478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35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351"/>
      <c r="AD99" s="351"/>
      <c r="AE99" s="35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</row>
    <row r="100" ht="12.75" customHeight="1">
      <c r="A100" s="161"/>
      <c r="B100" s="161"/>
      <c r="C100" s="478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35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351"/>
      <c r="AD100" s="351"/>
      <c r="AE100" s="35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</row>
    <row r="101" ht="12.75" customHeight="1">
      <c r="A101" s="161"/>
      <c r="B101" s="161"/>
      <c r="C101" s="478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35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351"/>
      <c r="AD101" s="351"/>
      <c r="AE101" s="35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</row>
    <row r="102" ht="12.75" customHeight="1">
      <c r="A102" s="161"/>
      <c r="B102" s="161"/>
      <c r="C102" s="478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35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351"/>
      <c r="AD102" s="351"/>
      <c r="AE102" s="35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</row>
    <row r="103" ht="12.75" customHeight="1">
      <c r="A103" s="161"/>
      <c r="B103" s="161"/>
      <c r="C103" s="478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35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351"/>
      <c r="AD103" s="351"/>
      <c r="AE103" s="35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</row>
    <row r="104" ht="12.75" customHeight="1">
      <c r="A104" s="161"/>
      <c r="B104" s="161"/>
      <c r="C104" s="478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35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351"/>
      <c r="AD104" s="351"/>
      <c r="AE104" s="35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</row>
    <row r="105" ht="12.75" customHeight="1">
      <c r="A105" s="161"/>
      <c r="B105" s="161"/>
      <c r="C105" s="478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35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351"/>
      <c r="AD105" s="351"/>
      <c r="AE105" s="35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</row>
    <row r="106" ht="12.75" customHeight="1">
      <c r="A106" s="161"/>
      <c r="B106" s="161"/>
      <c r="C106" s="478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35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351"/>
      <c r="AD106" s="351"/>
      <c r="AE106" s="35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</row>
    <row r="107" ht="12.75" customHeight="1">
      <c r="A107" s="161"/>
      <c r="B107" s="161"/>
      <c r="C107" s="478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35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351"/>
      <c r="AD107" s="351"/>
      <c r="AE107" s="35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</row>
    <row r="108" ht="12.75" customHeight="1">
      <c r="A108" s="161"/>
      <c r="B108" s="161"/>
      <c r="C108" s="478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35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351"/>
      <c r="AD108" s="351"/>
      <c r="AE108" s="35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</row>
    <row r="109" ht="12.75" customHeight="1">
      <c r="A109" s="161"/>
      <c r="B109" s="161"/>
      <c r="C109" s="478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35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351"/>
      <c r="AD109" s="351"/>
      <c r="AE109" s="35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</row>
    <row r="110" ht="12.75" customHeight="1">
      <c r="A110" s="161"/>
      <c r="B110" s="161"/>
      <c r="C110" s="478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35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351"/>
      <c r="AD110" s="351"/>
      <c r="AE110" s="35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</row>
    <row r="111" ht="12.75" customHeight="1">
      <c r="A111" s="161"/>
      <c r="B111" s="161"/>
      <c r="C111" s="478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35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351"/>
      <c r="AD111" s="351"/>
      <c r="AE111" s="35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</row>
    <row r="112" ht="12.75" customHeight="1">
      <c r="A112" s="161"/>
      <c r="B112" s="161"/>
      <c r="C112" s="478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35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351"/>
      <c r="AD112" s="351"/>
      <c r="AE112" s="35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</row>
    <row r="113" ht="12.75" customHeight="1">
      <c r="A113" s="161"/>
      <c r="B113" s="161"/>
      <c r="C113" s="478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35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351"/>
      <c r="AD113" s="351"/>
      <c r="AE113" s="35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</row>
    <row r="114" ht="12.75" customHeight="1">
      <c r="A114" s="161"/>
      <c r="B114" s="161"/>
      <c r="C114" s="478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35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351"/>
      <c r="AD114" s="351"/>
      <c r="AE114" s="35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</row>
    <row r="115" ht="12.75" customHeight="1">
      <c r="A115" s="161"/>
      <c r="B115" s="161"/>
      <c r="C115" s="478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35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351"/>
      <c r="AD115" s="351"/>
      <c r="AE115" s="35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</row>
    <row r="116" ht="12.75" customHeight="1">
      <c r="A116" s="161"/>
      <c r="B116" s="161"/>
      <c r="C116" s="478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35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351"/>
      <c r="AD116" s="351"/>
      <c r="AE116" s="35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</row>
    <row r="117" ht="12.75" customHeight="1">
      <c r="A117" s="161"/>
      <c r="B117" s="161"/>
      <c r="C117" s="478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35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351"/>
      <c r="AD117" s="351"/>
      <c r="AE117" s="35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</row>
    <row r="118" ht="12.75" customHeight="1">
      <c r="A118" s="161"/>
      <c r="B118" s="161"/>
      <c r="C118" s="478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35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351"/>
      <c r="AD118" s="351"/>
      <c r="AE118" s="35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</row>
    <row r="119" ht="12.75" customHeight="1">
      <c r="A119" s="161"/>
      <c r="B119" s="161"/>
      <c r="C119" s="478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35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351"/>
      <c r="AD119" s="351"/>
      <c r="AE119" s="35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</row>
    <row r="120" ht="12.75" customHeight="1">
      <c r="A120" s="161"/>
      <c r="B120" s="161"/>
      <c r="C120" s="478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35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351"/>
      <c r="AD120" s="351"/>
      <c r="AE120" s="35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</row>
    <row r="121" ht="12.75" customHeight="1">
      <c r="A121" s="161"/>
      <c r="B121" s="161"/>
      <c r="C121" s="478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35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351"/>
      <c r="AD121" s="351"/>
      <c r="AE121" s="35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</row>
    <row r="122" ht="12.75" customHeight="1">
      <c r="A122" s="161"/>
      <c r="B122" s="161"/>
      <c r="C122" s="478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35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351"/>
      <c r="AD122" s="351"/>
      <c r="AE122" s="35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</row>
    <row r="123" ht="12.75" customHeight="1">
      <c r="A123" s="161"/>
      <c r="B123" s="161"/>
      <c r="C123" s="478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35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351"/>
      <c r="AD123" s="351"/>
      <c r="AE123" s="35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</row>
    <row r="124" ht="12.75" customHeight="1">
      <c r="A124" s="161"/>
      <c r="B124" s="161"/>
      <c r="C124" s="478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35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351"/>
      <c r="AD124" s="351"/>
      <c r="AE124" s="35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</row>
    <row r="125" ht="12.75" customHeight="1">
      <c r="A125" s="161"/>
      <c r="B125" s="161"/>
      <c r="C125" s="478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35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351"/>
      <c r="AD125" s="351"/>
      <c r="AE125" s="35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</row>
    <row r="126" ht="12.75" customHeight="1">
      <c r="A126" s="161"/>
      <c r="B126" s="161"/>
      <c r="C126" s="478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35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351"/>
      <c r="AD126" s="351"/>
      <c r="AE126" s="35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</row>
    <row r="127" ht="12.75" customHeight="1">
      <c r="A127" s="161"/>
      <c r="B127" s="161"/>
      <c r="C127" s="478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35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351"/>
      <c r="AD127" s="351"/>
      <c r="AE127" s="35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</row>
    <row r="128" ht="12.75" customHeight="1">
      <c r="A128" s="161"/>
      <c r="B128" s="161"/>
      <c r="C128" s="478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35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351"/>
      <c r="AD128" s="351"/>
      <c r="AE128" s="35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</row>
    <row r="129" ht="12.75" customHeight="1">
      <c r="A129" s="161"/>
      <c r="B129" s="161"/>
      <c r="C129" s="478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35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351"/>
      <c r="AD129" s="351"/>
      <c r="AE129" s="35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</row>
    <row r="130" ht="12.75" customHeight="1">
      <c r="A130" s="161"/>
      <c r="B130" s="161"/>
      <c r="C130" s="478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35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351"/>
      <c r="AD130" s="351"/>
      <c r="AE130" s="35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</row>
    <row r="131" ht="12.75" customHeight="1">
      <c r="A131" s="161"/>
      <c r="B131" s="161"/>
      <c r="C131" s="478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35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351"/>
      <c r="AD131" s="351"/>
      <c r="AE131" s="35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</row>
    <row r="132" ht="12.75" customHeight="1">
      <c r="A132" s="161"/>
      <c r="B132" s="161"/>
      <c r="C132" s="478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35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351"/>
      <c r="AD132" s="351"/>
      <c r="AE132" s="35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</row>
    <row r="133" ht="12.75" customHeight="1">
      <c r="A133" s="161"/>
      <c r="B133" s="161"/>
      <c r="C133" s="478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35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351"/>
      <c r="AD133" s="351"/>
      <c r="AE133" s="35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</row>
    <row r="134" ht="12.75" customHeight="1">
      <c r="A134" s="161"/>
      <c r="B134" s="161"/>
      <c r="C134" s="478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35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351"/>
      <c r="AD134" s="351"/>
      <c r="AE134" s="35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</row>
    <row r="135" ht="12.75" customHeight="1">
      <c r="A135" s="161"/>
      <c r="B135" s="161"/>
      <c r="C135" s="478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35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351"/>
      <c r="AD135" s="351"/>
      <c r="AE135" s="35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</row>
    <row r="136" ht="12.75" customHeight="1">
      <c r="A136" s="161"/>
      <c r="B136" s="161"/>
      <c r="C136" s="478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35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351"/>
      <c r="AD136" s="351"/>
      <c r="AE136" s="35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</row>
    <row r="137" ht="12.75" customHeight="1">
      <c r="A137" s="161"/>
      <c r="B137" s="161"/>
      <c r="C137" s="478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35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351"/>
      <c r="AD137" s="351"/>
      <c r="AE137" s="35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</row>
    <row r="138" ht="12.75" customHeight="1">
      <c r="A138" s="161"/>
      <c r="B138" s="161"/>
      <c r="C138" s="478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35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351"/>
      <c r="AD138" s="351"/>
      <c r="AE138" s="35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</row>
    <row r="139" ht="12.75" customHeight="1">
      <c r="A139" s="161"/>
      <c r="B139" s="161"/>
      <c r="C139" s="478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35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351"/>
      <c r="AD139" s="351"/>
      <c r="AE139" s="35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</row>
    <row r="140" ht="12.75" customHeight="1">
      <c r="A140" s="161"/>
      <c r="B140" s="161"/>
      <c r="C140" s="478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35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351"/>
      <c r="AD140" s="351"/>
      <c r="AE140" s="35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</row>
    <row r="141" ht="12.75" customHeight="1">
      <c r="A141" s="161"/>
      <c r="B141" s="161"/>
      <c r="C141" s="478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35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351"/>
      <c r="AD141" s="351"/>
      <c r="AE141" s="35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</row>
    <row r="142" ht="12.75" customHeight="1">
      <c r="A142" s="161"/>
      <c r="B142" s="161"/>
      <c r="C142" s="478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35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351"/>
      <c r="AD142" s="351"/>
      <c r="AE142" s="35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</row>
    <row r="143" ht="12.75" customHeight="1">
      <c r="A143" s="161"/>
      <c r="B143" s="161"/>
      <c r="C143" s="478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35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351"/>
      <c r="AD143" s="351"/>
      <c r="AE143" s="35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</row>
    <row r="144" ht="12.75" customHeight="1">
      <c r="A144" s="161"/>
      <c r="B144" s="161"/>
      <c r="C144" s="478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35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351"/>
      <c r="AD144" s="351"/>
      <c r="AE144" s="35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</row>
    <row r="145" ht="12.75" customHeight="1">
      <c r="A145" s="161"/>
      <c r="B145" s="161"/>
      <c r="C145" s="478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35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351"/>
      <c r="AD145" s="351"/>
      <c r="AE145" s="35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</row>
    <row r="146" ht="12.75" customHeight="1">
      <c r="A146" s="161"/>
      <c r="B146" s="161"/>
      <c r="C146" s="478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35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351"/>
      <c r="AD146" s="351"/>
      <c r="AE146" s="35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</row>
    <row r="147" ht="12.75" customHeight="1">
      <c r="A147" s="161"/>
      <c r="B147" s="161"/>
      <c r="C147" s="478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35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351"/>
      <c r="AD147" s="351"/>
      <c r="AE147" s="35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</row>
    <row r="148" ht="12.75" customHeight="1">
      <c r="A148" s="161"/>
      <c r="B148" s="161"/>
      <c r="C148" s="478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35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351"/>
      <c r="AD148" s="351"/>
      <c r="AE148" s="35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</row>
    <row r="149" ht="12.75" customHeight="1">
      <c r="A149" s="161"/>
      <c r="B149" s="161"/>
      <c r="C149" s="478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35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351"/>
      <c r="AD149" s="351"/>
      <c r="AE149" s="35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</row>
    <row r="150" ht="12.75" customHeight="1">
      <c r="A150" s="161"/>
      <c r="B150" s="161"/>
      <c r="C150" s="478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35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351"/>
      <c r="AD150" s="351"/>
      <c r="AE150" s="35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</row>
    <row r="151" ht="12.75" customHeight="1">
      <c r="A151" s="161"/>
      <c r="B151" s="161"/>
      <c r="C151" s="478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35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351"/>
      <c r="AD151" s="351"/>
      <c r="AE151" s="35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</row>
    <row r="152" ht="12.75" customHeight="1">
      <c r="A152" s="161"/>
      <c r="B152" s="161"/>
      <c r="C152" s="478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35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351"/>
      <c r="AD152" s="351"/>
      <c r="AE152" s="35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</row>
    <row r="153" ht="12.75" customHeight="1">
      <c r="A153" s="161"/>
      <c r="B153" s="161"/>
      <c r="C153" s="478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35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351"/>
      <c r="AD153" s="351"/>
      <c r="AE153" s="35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</row>
    <row r="154" ht="12.75" customHeight="1">
      <c r="A154" s="161"/>
      <c r="B154" s="161"/>
      <c r="C154" s="478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35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351"/>
      <c r="AD154" s="351"/>
      <c r="AE154" s="35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</row>
    <row r="155" ht="12.75" customHeight="1">
      <c r="A155" s="161"/>
      <c r="B155" s="161"/>
      <c r="C155" s="478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35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351"/>
      <c r="AD155" s="351"/>
      <c r="AE155" s="35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</row>
    <row r="156" ht="12.75" customHeight="1">
      <c r="A156" s="161"/>
      <c r="B156" s="161"/>
      <c r="C156" s="478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35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351"/>
      <c r="AD156" s="351"/>
      <c r="AE156" s="35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</row>
    <row r="157" ht="12.75" customHeight="1">
      <c r="A157" s="161"/>
      <c r="B157" s="161"/>
      <c r="C157" s="478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35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351"/>
      <c r="AD157" s="351"/>
      <c r="AE157" s="35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</row>
    <row r="158" ht="12.75" customHeight="1">
      <c r="A158" s="161"/>
      <c r="B158" s="161"/>
      <c r="C158" s="478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35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351"/>
      <c r="AD158" s="351"/>
      <c r="AE158" s="35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</row>
    <row r="159" ht="12.75" customHeight="1">
      <c r="A159" s="161"/>
      <c r="B159" s="161"/>
      <c r="C159" s="478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35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351"/>
      <c r="AD159" s="351"/>
      <c r="AE159" s="35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</row>
    <row r="160" ht="12.75" customHeight="1">
      <c r="A160" s="161"/>
      <c r="B160" s="161"/>
      <c r="C160" s="478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35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351"/>
      <c r="AD160" s="351"/>
      <c r="AE160" s="35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</row>
    <row r="161" ht="12.75" customHeight="1">
      <c r="A161" s="161"/>
      <c r="B161" s="161"/>
      <c r="C161" s="478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35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351"/>
      <c r="AD161" s="351"/>
      <c r="AE161" s="35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</row>
    <row r="162" ht="12.75" customHeight="1">
      <c r="A162" s="161"/>
      <c r="B162" s="161"/>
      <c r="C162" s="478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35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351"/>
      <c r="AD162" s="351"/>
      <c r="AE162" s="35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</row>
    <row r="163" ht="12.75" customHeight="1">
      <c r="A163" s="161"/>
      <c r="B163" s="161"/>
      <c r="C163" s="478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35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351"/>
      <c r="AD163" s="351"/>
      <c r="AE163" s="35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</row>
    <row r="164" ht="12.75" customHeight="1">
      <c r="A164" s="161"/>
      <c r="B164" s="161"/>
      <c r="C164" s="478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35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351"/>
      <c r="AD164" s="351"/>
      <c r="AE164" s="35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</row>
    <row r="165" ht="12.75" customHeight="1">
      <c r="A165" s="161"/>
      <c r="B165" s="161"/>
      <c r="C165" s="478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35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351"/>
      <c r="AD165" s="351"/>
      <c r="AE165" s="35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</row>
    <row r="166" ht="12.75" customHeight="1">
      <c r="A166" s="161"/>
      <c r="B166" s="161"/>
      <c r="C166" s="478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35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351"/>
      <c r="AD166" s="351"/>
      <c r="AE166" s="35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</row>
    <row r="167" ht="12.75" customHeight="1">
      <c r="A167" s="161"/>
      <c r="B167" s="161"/>
      <c r="C167" s="478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35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351"/>
      <c r="AD167" s="351"/>
      <c r="AE167" s="35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</row>
    <row r="168" ht="12.75" customHeight="1">
      <c r="A168" s="161"/>
      <c r="B168" s="161"/>
      <c r="C168" s="478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35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351"/>
      <c r="AD168" s="351"/>
      <c r="AE168" s="35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</row>
    <row r="169" ht="12.75" customHeight="1">
      <c r="A169" s="161"/>
      <c r="B169" s="161"/>
      <c r="C169" s="478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35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351"/>
      <c r="AD169" s="351"/>
      <c r="AE169" s="35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</row>
    <row r="170" ht="12.75" customHeight="1">
      <c r="A170" s="161"/>
      <c r="B170" s="161"/>
      <c r="C170" s="478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35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351"/>
      <c r="AD170" s="351"/>
      <c r="AE170" s="35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</row>
    <row r="171" ht="12.75" customHeight="1">
      <c r="A171" s="161"/>
      <c r="B171" s="161"/>
      <c r="C171" s="478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35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351"/>
      <c r="AD171" s="351"/>
      <c r="AE171" s="35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</row>
    <row r="172" ht="12.75" customHeight="1">
      <c r="A172" s="161"/>
      <c r="B172" s="161"/>
      <c r="C172" s="478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35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351"/>
      <c r="AD172" s="351"/>
      <c r="AE172" s="35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</row>
    <row r="173" ht="12.75" customHeight="1">
      <c r="A173" s="161"/>
      <c r="B173" s="161"/>
      <c r="C173" s="478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35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351"/>
      <c r="AD173" s="351"/>
      <c r="AE173" s="35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</row>
    <row r="174" ht="12.75" customHeight="1">
      <c r="A174" s="161"/>
      <c r="B174" s="161"/>
      <c r="C174" s="478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35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351"/>
      <c r="AD174" s="351"/>
      <c r="AE174" s="35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</row>
    <row r="175" ht="12.75" customHeight="1">
      <c r="A175" s="161"/>
      <c r="B175" s="161"/>
      <c r="C175" s="478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35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351"/>
      <c r="AD175" s="351"/>
      <c r="AE175" s="35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</row>
    <row r="176" ht="12.75" customHeight="1">
      <c r="A176" s="161"/>
      <c r="B176" s="161"/>
      <c r="C176" s="478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35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351"/>
      <c r="AD176" s="351"/>
      <c r="AE176" s="35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</row>
    <row r="177" ht="12.75" customHeight="1">
      <c r="A177" s="161"/>
      <c r="B177" s="161"/>
      <c r="C177" s="478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35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351"/>
      <c r="AD177" s="351"/>
      <c r="AE177" s="35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</row>
    <row r="178" ht="12.75" customHeight="1">
      <c r="A178" s="161"/>
      <c r="B178" s="161"/>
      <c r="C178" s="478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35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351"/>
      <c r="AD178" s="351"/>
      <c r="AE178" s="35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</row>
    <row r="179" ht="12.75" customHeight="1">
      <c r="A179" s="161"/>
      <c r="B179" s="161"/>
      <c r="C179" s="478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35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351"/>
      <c r="AD179" s="351"/>
      <c r="AE179" s="35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</row>
    <row r="180" ht="12.75" customHeight="1">
      <c r="A180" s="161"/>
      <c r="B180" s="161"/>
      <c r="C180" s="478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35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351"/>
      <c r="AD180" s="351"/>
      <c r="AE180" s="35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</row>
    <row r="181" ht="12.75" customHeight="1">
      <c r="A181" s="161"/>
      <c r="B181" s="161"/>
      <c r="C181" s="478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35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351"/>
      <c r="AD181" s="351"/>
      <c r="AE181" s="35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</row>
    <row r="182" ht="12.75" customHeight="1">
      <c r="A182" s="161"/>
      <c r="B182" s="161"/>
      <c r="C182" s="478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35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351"/>
      <c r="AD182" s="351"/>
      <c r="AE182" s="35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</row>
    <row r="183" ht="12.75" customHeight="1">
      <c r="A183" s="161"/>
      <c r="B183" s="161"/>
      <c r="C183" s="478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35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351"/>
      <c r="AD183" s="351"/>
      <c r="AE183" s="35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</row>
    <row r="184" ht="12.75" customHeight="1">
      <c r="A184" s="161"/>
      <c r="B184" s="161"/>
      <c r="C184" s="478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35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351"/>
      <c r="AD184" s="351"/>
      <c r="AE184" s="35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</row>
    <row r="185" ht="12.75" customHeight="1">
      <c r="A185" s="161"/>
      <c r="B185" s="161"/>
      <c r="C185" s="478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35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351"/>
      <c r="AD185" s="351"/>
      <c r="AE185" s="35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</row>
    <row r="186" ht="12.75" customHeight="1">
      <c r="A186" s="161"/>
      <c r="B186" s="161"/>
      <c r="C186" s="478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35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351"/>
      <c r="AD186" s="351"/>
      <c r="AE186" s="35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</row>
    <row r="187" ht="12.75" customHeight="1">
      <c r="A187" s="161"/>
      <c r="B187" s="161"/>
      <c r="C187" s="478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35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351"/>
      <c r="AD187" s="351"/>
      <c r="AE187" s="35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</row>
    <row r="188" ht="12.75" customHeight="1">
      <c r="A188" s="161"/>
      <c r="B188" s="161"/>
      <c r="C188" s="478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35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351"/>
      <c r="AD188" s="351"/>
      <c r="AE188" s="35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</row>
    <row r="189" ht="12.75" customHeight="1">
      <c r="A189" s="161"/>
      <c r="B189" s="161"/>
      <c r="C189" s="478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35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351"/>
      <c r="AD189" s="351"/>
      <c r="AE189" s="35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</row>
    <row r="190" ht="12.75" customHeight="1">
      <c r="A190" s="161"/>
      <c r="B190" s="161"/>
      <c r="C190" s="478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35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351"/>
      <c r="AD190" s="351"/>
      <c r="AE190" s="35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</row>
    <row r="191" ht="12.75" customHeight="1">
      <c r="A191" s="161"/>
      <c r="B191" s="161"/>
      <c r="C191" s="478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35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351"/>
      <c r="AD191" s="351"/>
      <c r="AE191" s="35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</row>
    <row r="192" ht="12.75" customHeight="1">
      <c r="A192" s="161"/>
      <c r="B192" s="161"/>
      <c r="C192" s="478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35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351"/>
      <c r="AD192" s="351"/>
      <c r="AE192" s="35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</row>
    <row r="193" ht="12.75" customHeight="1">
      <c r="A193" s="161"/>
      <c r="B193" s="161"/>
      <c r="C193" s="478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35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351"/>
      <c r="AD193" s="351"/>
      <c r="AE193" s="35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</row>
    <row r="194" ht="12.75" customHeight="1">
      <c r="A194" s="161"/>
      <c r="B194" s="161"/>
      <c r="C194" s="478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35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351"/>
      <c r="AD194" s="351"/>
      <c r="AE194" s="35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</row>
    <row r="195" ht="12.75" customHeight="1">
      <c r="A195" s="161"/>
      <c r="B195" s="161"/>
      <c r="C195" s="478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35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351"/>
      <c r="AD195" s="351"/>
      <c r="AE195" s="35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</row>
    <row r="196" ht="12.75" customHeight="1">
      <c r="A196" s="161"/>
      <c r="B196" s="161"/>
      <c r="C196" s="478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35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351"/>
      <c r="AD196" s="351"/>
      <c r="AE196" s="35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</row>
    <row r="197" ht="12.75" customHeight="1">
      <c r="A197" s="161"/>
      <c r="B197" s="161"/>
      <c r="C197" s="478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35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351"/>
      <c r="AD197" s="351"/>
      <c r="AE197" s="35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</row>
    <row r="198" ht="12.75" customHeight="1">
      <c r="A198" s="161"/>
      <c r="B198" s="161"/>
      <c r="C198" s="478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35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351"/>
      <c r="AD198" s="351"/>
      <c r="AE198" s="35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</row>
    <row r="199" ht="12.75" customHeight="1">
      <c r="A199" s="161"/>
      <c r="B199" s="161"/>
      <c r="C199" s="478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35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351"/>
      <c r="AD199" s="351"/>
      <c r="AE199" s="35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</row>
    <row r="200" ht="12.75" customHeight="1">
      <c r="A200" s="161"/>
      <c r="B200" s="161"/>
      <c r="C200" s="478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35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351"/>
      <c r="AD200" s="351"/>
      <c r="AE200" s="35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</row>
    <row r="201" ht="12.75" customHeight="1">
      <c r="A201" s="161"/>
      <c r="B201" s="161"/>
      <c r="C201" s="478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35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351"/>
      <c r="AD201" s="351"/>
      <c r="AE201" s="35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</row>
    <row r="202" ht="12.75" customHeight="1">
      <c r="A202" s="161"/>
      <c r="B202" s="161"/>
      <c r="C202" s="478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35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351"/>
      <c r="AD202" s="351"/>
      <c r="AE202" s="35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</row>
    <row r="203" ht="12.75" customHeight="1">
      <c r="A203" s="161"/>
      <c r="B203" s="161"/>
      <c r="C203" s="478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35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351"/>
      <c r="AD203" s="351"/>
      <c r="AE203" s="35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</row>
    <row r="204" ht="12.75" customHeight="1">
      <c r="A204" s="161"/>
      <c r="B204" s="161"/>
      <c r="C204" s="478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35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351"/>
      <c r="AD204" s="351"/>
      <c r="AE204" s="35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</row>
    <row r="205" ht="12.75" customHeight="1">
      <c r="A205" s="161"/>
      <c r="B205" s="161"/>
      <c r="C205" s="478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35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351"/>
      <c r="AD205" s="351"/>
      <c r="AE205" s="35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</row>
    <row r="206" ht="12.75" customHeight="1">
      <c r="A206" s="161"/>
      <c r="B206" s="161"/>
      <c r="C206" s="478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35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351"/>
      <c r="AD206" s="351"/>
      <c r="AE206" s="35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</row>
    <row r="207" ht="12.75" customHeight="1">
      <c r="A207" s="161"/>
      <c r="B207" s="161"/>
      <c r="C207" s="478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35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351"/>
      <c r="AD207" s="351"/>
      <c r="AE207" s="35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</row>
    <row r="208" ht="12.75" customHeight="1">
      <c r="A208" s="161"/>
      <c r="B208" s="161"/>
      <c r="C208" s="478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35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351"/>
      <c r="AD208" s="351"/>
      <c r="AE208" s="35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</row>
    <row r="209" ht="12.75" customHeight="1">
      <c r="A209" s="161"/>
      <c r="B209" s="161"/>
      <c r="C209" s="478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35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351"/>
      <c r="AD209" s="351"/>
      <c r="AE209" s="35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</row>
    <row r="210" ht="12.75" customHeight="1">
      <c r="A210" s="161"/>
      <c r="B210" s="161"/>
      <c r="C210" s="478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35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351"/>
      <c r="AD210" s="351"/>
      <c r="AE210" s="35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</row>
    <row r="211" ht="12.75" customHeight="1">
      <c r="A211" s="161"/>
      <c r="B211" s="161"/>
      <c r="C211" s="478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35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351"/>
      <c r="AD211" s="351"/>
      <c r="AE211" s="35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</row>
    <row r="212" ht="12.75" customHeight="1">
      <c r="A212" s="161"/>
      <c r="B212" s="161"/>
      <c r="C212" s="478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35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351"/>
      <c r="AD212" s="351"/>
      <c r="AE212" s="35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</row>
    <row r="213" ht="12.75" customHeight="1">
      <c r="A213" s="161"/>
      <c r="B213" s="161"/>
      <c r="C213" s="478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35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351"/>
      <c r="AD213" s="351"/>
      <c r="AE213" s="35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</row>
    <row r="214" ht="12.75" customHeight="1">
      <c r="A214" s="161"/>
      <c r="B214" s="161"/>
      <c r="C214" s="478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35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351"/>
      <c r="AD214" s="351"/>
      <c r="AE214" s="35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</row>
    <row r="215" ht="12.75" customHeight="1">
      <c r="A215" s="161"/>
      <c r="B215" s="161"/>
      <c r="C215" s="478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35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351"/>
      <c r="AD215" s="351"/>
      <c r="AE215" s="35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</row>
    <row r="216" ht="12.75" customHeight="1">
      <c r="A216" s="161"/>
      <c r="B216" s="161"/>
      <c r="C216" s="478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35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351"/>
      <c r="AD216" s="351"/>
      <c r="AE216" s="35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</row>
    <row r="217" ht="12.75" customHeight="1">
      <c r="A217" s="161"/>
      <c r="B217" s="161"/>
      <c r="C217" s="478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35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351"/>
      <c r="AD217" s="351"/>
      <c r="AE217" s="35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</row>
    <row r="218" ht="12.75" customHeight="1">
      <c r="A218" s="161"/>
      <c r="B218" s="161"/>
      <c r="C218" s="478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35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351"/>
      <c r="AD218" s="351"/>
      <c r="AE218" s="35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</row>
    <row r="219" ht="12.75" customHeight="1">
      <c r="A219" s="161"/>
      <c r="B219" s="161"/>
      <c r="C219" s="478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35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351"/>
      <c r="AD219" s="351"/>
      <c r="AE219" s="35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</row>
    <row r="220" ht="12.75" customHeight="1">
      <c r="A220" s="161"/>
      <c r="B220" s="161"/>
      <c r="C220" s="478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35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351"/>
      <c r="AD220" s="351"/>
      <c r="AE220" s="35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</row>
    <row r="221" ht="12.75" customHeight="1">
      <c r="A221" s="161"/>
      <c r="B221" s="161"/>
      <c r="C221" s="478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35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351"/>
      <c r="AD221" s="351"/>
      <c r="AE221" s="35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</row>
    <row r="222" ht="12.75" customHeight="1">
      <c r="A222" s="161"/>
      <c r="B222" s="161"/>
      <c r="C222" s="478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35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351"/>
      <c r="AD222" s="351"/>
      <c r="AE222" s="35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</row>
    <row r="223" ht="12.75" customHeight="1">
      <c r="A223" s="161"/>
      <c r="B223" s="161"/>
      <c r="C223" s="478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35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351"/>
      <c r="AD223" s="351"/>
      <c r="AE223" s="35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</row>
    <row r="224" ht="12.75" customHeight="1">
      <c r="A224" s="161"/>
      <c r="B224" s="161"/>
      <c r="C224" s="478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35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351"/>
      <c r="AD224" s="351"/>
      <c r="AE224" s="35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</row>
    <row r="225" ht="12.75" customHeight="1">
      <c r="A225" s="161"/>
      <c r="B225" s="161"/>
      <c r="C225" s="478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35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351"/>
      <c r="AD225" s="351"/>
      <c r="AE225" s="35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</row>
    <row r="226" ht="12.75" customHeight="1">
      <c r="A226" s="161"/>
      <c r="B226" s="161"/>
      <c r="C226" s="478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35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351"/>
      <c r="AD226" s="351"/>
      <c r="AE226" s="35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</row>
    <row r="227" ht="12.75" customHeight="1">
      <c r="A227" s="161"/>
      <c r="B227" s="161"/>
      <c r="C227" s="478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35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351"/>
      <c r="AD227" s="351"/>
      <c r="AE227" s="35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</row>
    <row r="228" ht="12.75" customHeight="1">
      <c r="A228" s="161"/>
      <c r="B228" s="161"/>
      <c r="C228" s="478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35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351"/>
      <c r="AD228" s="351"/>
      <c r="AE228" s="35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</row>
    <row r="229" ht="12.75" customHeight="1">
      <c r="A229" s="161"/>
      <c r="B229" s="161"/>
      <c r="C229" s="478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35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351"/>
      <c r="AD229" s="351"/>
      <c r="AE229" s="35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</row>
    <row r="230" ht="12.75" customHeight="1">
      <c r="A230" s="161"/>
      <c r="B230" s="161"/>
      <c r="C230" s="478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35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351"/>
      <c r="AD230" s="351"/>
      <c r="AE230" s="35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</row>
    <row r="231" ht="12.75" customHeight="1">
      <c r="A231" s="161"/>
      <c r="B231" s="161"/>
      <c r="C231" s="478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35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351"/>
      <c r="AD231" s="351"/>
      <c r="AE231" s="35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</row>
    <row r="232" ht="12.75" customHeight="1">
      <c r="A232" s="161"/>
      <c r="B232" s="161"/>
      <c r="C232" s="478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35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351"/>
      <c r="AD232" s="351"/>
      <c r="AE232" s="35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</row>
    <row r="233" ht="12.75" customHeight="1">
      <c r="A233" s="161"/>
      <c r="B233" s="161"/>
      <c r="C233" s="478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35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351"/>
      <c r="AD233" s="351"/>
      <c r="AE233" s="35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</row>
    <row r="234" ht="12.75" customHeight="1">
      <c r="A234" s="161"/>
      <c r="B234" s="161"/>
      <c r="C234" s="478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35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351"/>
      <c r="AD234" s="351"/>
      <c r="AE234" s="35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</row>
    <row r="235" ht="12.75" customHeight="1">
      <c r="A235" s="161"/>
      <c r="B235" s="161"/>
      <c r="C235" s="478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35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351"/>
      <c r="AD235" s="351"/>
      <c r="AE235" s="35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</row>
    <row r="236" ht="12.75" customHeight="1">
      <c r="A236" s="161"/>
      <c r="B236" s="161"/>
      <c r="C236" s="478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35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351"/>
      <c r="AD236" s="351"/>
      <c r="AE236" s="35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</row>
    <row r="237" ht="12.75" customHeight="1">
      <c r="A237" s="161"/>
      <c r="B237" s="161"/>
      <c r="C237" s="478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35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351"/>
      <c r="AD237" s="351"/>
      <c r="AE237" s="35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</row>
    <row r="238" ht="12.75" customHeight="1">
      <c r="A238" s="161"/>
      <c r="B238" s="161"/>
      <c r="C238" s="478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35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351"/>
      <c r="AD238" s="351"/>
      <c r="AE238" s="35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</row>
    <row r="239" ht="12.75" customHeight="1">
      <c r="A239" s="161"/>
      <c r="B239" s="161"/>
      <c r="C239" s="478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35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351"/>
      <c r="AD239" s="351"/>
      <c r="AE239" s="35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</row>
    <row r="240" ht="12.75" customHeight="1">
      <c r="A240" s="161"/>
      <c r="B240" s="161"/>
      <c r="C240" s="478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35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351"/>
      <c r="AD240" s="351"/>
      <c r="AE240" s="35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</row>
    <row r="241" ht="12.75" customHeight="1">
      <c r="A241" s="161"/>
      <c r="B241" s="161"/>
      <c r="C241" s="478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35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351"/>
      <c r="AD241" s="351"/>
      <c r="AE241" s="35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</row>
    <row r="242" ht="12.75" customHeight="1">
      <c r="A242" s="161"/>
      <c r="B242" s="161"/>
      <c r="C242" s="478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35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351"/>
      <c r="AD242" s="351"/>
      <c r="AE242" s="35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</row>
    <row r="243" ht="12.75" customHeight="1">
      <c r="A243" s="161"/>
      <c r="B243" s="161"/>
      <c r="C243" s="478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35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351"/>
      <c r="AD243" s="351"/>
      <c r="AE243" s="35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</row>
    <row r="244" ht="12.75" customHeight="1">
      <c r="A244" s="161"/>
      <c r="B244" s="161"/>
      <c r="C244" s="478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35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351"/>
      <c r="AD244" s="351"/>
      <c r="AE244" s="35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</row>
    <row r="245" ht="12.75" customHeight="1">
      <c r="A245" s="161"/>
      <c r="B245" s="161"/>
      <c r="C245" s="478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35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351"/>
      <c r="AD245" s="351"/>
      <c r="AE245" s="35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</row>
    <row r="246" ht="12.75" customHeight="1">
      <c r="A246" s="161"/>
      <c r="B246" s="161"/>
      <c r="C246" s="478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35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351"/>
      <c r="AD246" s="351"/>
      <c r="AE246" s="35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</row>
    <row r="247" ht="12.75" customHeight="1">
      <c r="A247" s="161"/>
      <c r="B247" s="161"/>
      <c r="C247" s="478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35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351"/>
      <c r="AD247" s="351"/>
      <c r="AE247" s="35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</row>
    <row r="248" ht="12.75" customHeight="1">
      <c r="A248" s="161"/>
      <c r="B248" s="161"/>
      <c r="C248" s="478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35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351"/>
      <c r="AD248" s="351"/>
      <c r="AE248" s="35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</row>
    <row r="249" ht="12.75" customHeight="1">
      <c r="A249" s="161"/>
      <c r="B249" s="161"/>
      <c r="C249" s="478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35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351"/>
      <c r="AD249" s="351"/>
      <c r="AE249" s="35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</row>
    <row r="250" ht="12.75" customHeight="1">
      <c r="A250" s="161"/>
      <c r="B250" s="161"/>
      <c r="C250" s="478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35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351"/>
      <c r="AD250" s="351"/>
      <c r="AE250" s="35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</row>
    <row r="251" ht="12.75" customHeight="1">
      <c r="A251" s="161"/>
      <c r="B251" s="161"/>
      <c r="C251" s="478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35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351"/>
      <c r="AD251" s="351"/>
      <c r="AE251" s="35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</row>
    <row r="252" ht="12.75" customHeight="1">
      <c r="A252" s="161"/>
      <c r="B252" s="161"/>
      <c r="C252" s="478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35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351"/>
      <c r="AD252" s="351"/>
      <c r="AE252" s="35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</row>
    <row r="253" ht="12.75" customHeight="1">
      <c r="A253" s="161"/>
      <c r="B253" s="161"/>
      <c r="C253" s="478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35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351"/>
      <c r="AD253" s="351"/>
      <c r="AE253" s="35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</row>
    <row r="254" ht="12.75" customHeight="1">
      <c r="A254" s="161"/>
      <c r="B254" s="161"/>
      <c r="C254" s="478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35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351"/>
      <c r="AD254" s="351"/>
      <c r="AE254" s="35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</row>
    <row r="255" ht="12.75" customHeight="1">
      <c r="A255" s="161"/>
      <c r="B255" s="161"/>
      <c r="C255" s="478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35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351"/>
      <c r="AD255" s="351"/>
      <c r="AE255" s="35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</row>
    <row r="256" ht="12.75" customHeight="1">
      <c r="A256" s="161"/>
      <c r="B256" s="161"/>
      <c r="C256" s="478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35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351"/>
      <c r="AD256" s="351"/>
      <c r="AE256" s="35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</row>
    <row r="257" ht="12.75" customHeight="1">
      <c r="A257" s="161"/>
      <c r="B257" s="161"/>
      <c r="C257" s="478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35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351"/>
      <c r="AD257" s="351"/>
      <c r="AE257" s="35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</row>
    <row r="258" ht="12.75" customHeight="1">
      <c r="A258" s="161"/>
      <c r="B258" s="161"/>
      <c r="C258" s="478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35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351"/>
      <c r="AD258" s="351"/>
      <c r="AE258" s="35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</row>
    <row r="259" ht="12.75" customHeight="1">
      <c r="A259" s="161"/>
      <c r="B259" s="161"/>
      <c r="C259" s="478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35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351"/>
      <c r="AD259" s="351"/>
      <c r="AE259" s="35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</row>
    <row r="260" ht="12.75" customHeight="1">
      <c r="A260" s="161"/>
      <c r="B260" s="161"/>
      <c r="C260" s="478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35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351"/>
      <c r="AD260" s="351"/>
      <c r="AE260" s="35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</row>
    <row r="261" ht="12.75" customHeight="1">
      <c r="A261" s="161"/>
      <c r="B261" s="161"/>
      <c r="C261" s="478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35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351"/>
      <c r="AD261" s="351"/>
      <c r="AE261" s="35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</row>
    <row r="262" ht="12.75" customHeight="1">
      <c r="A262" s="161"/>
      <c r="B262" s="161"/>
      <c r="C262" s="478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35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351"/>
      <c r="AD262" s="351"/>
      <c r="AE262" s="35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</row>
    <row r="263" ht="12.75" customHeight="1">
      <c r="A263" s="161"/>
      <c r="B263" s="161"/>
      <c r="C263" s="478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35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351"/>
      <c r="AD263" s="351"/>
      <c r="AE263" s="35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</row>
    <row r="264" ht="12.75" customHeight="1">
      <c r="A264" s="161"/>
      <c r="B264" s="161"/>
      <c r="C264" s="478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35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351"/>
      <c r="AD264" s="351"/>
      <c r="AE264" s="35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</row>
    <row r="265" ht="12.75" customHeight="1">
      <c r="A265" s="161"/>
      <c r="B265" s="161"/>
      <c r="C265" s="478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35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351"/>
      <c r="AD265" s="351"/>
      <c r="AE265" s="35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</row>
    <row r="266" ht="12.75" customHeight="1">
      <c r="A266" s="161"/>
      <c r="B266" s="161"/>
      <c r="C266" s="478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35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351"/>
      <c r="AD266" s="351"/>
      <c r="AE266" s="35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</row>
    <row r="267" ht="12.75" customHeight="1">
      <c r="A267" s="161"/>
      <c r="B267" s="161"/>
      <c r="C267" s="478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35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351"/>
      <c r="AD267" s="351"/>
      <c r="AE267" s="35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</row>
    <row r="268" ht="12.75" customHeight="1">
      <c r="A268" s="161"/>
      <c r="B268" s="161"/>
      <c r="C268" s="478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35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351"/>
      <c r="AD268" s="351"/>
      <c r="AE268" s="35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</row>
    <row r="269" ht="12.75" customHeight="1">
      <c r="A269" s="161"/>
      <c r="B269" s="161"/>
      <c r="C269" s="478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35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351"/>
      <c r="AD269" s="351"/>
      <c r="AE269" s="35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</row>
    <row r="270" ht="12.75" customHeight="1">
      <c r="A270" s="161"/>
      <c r="B270" s="161"/>
      <c r="C270" s="478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35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351"/>
      <c r="AD270" s="351"/>
      <c r="AE270" s="35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</row>
    <row r="271" ht="12.75" customHeight="1">
      <c r="A271" s="161"/>
      <c r="B271" s="161"/>
      <c r="C271" s="478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35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351"/>
      <c r="AD271" s="351"/>
      <c r="AE271" s="35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</row>
    <row r="272" ht="12.75" customHeight="1">
      <c r="A272" s="161"/>
      <c r="B272" s="161"/>
      <c r="C272" s="478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35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351"/>
      <c r="AD272" s="351"/>
      <c r="AE272" s="35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</row>
    <row r="273" ht="12.75" customHeight="1">
      <c r="A273" s="161"/>
      <c r="B273" s="161"/>
      <c r="C273" s="478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35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351"/>
      <c r="AD273" s="351"/>
      <c r="AE273" s="35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</row>
    <row r="274" ht="12.75" customHeight="1">
      <c r="A274" s="161"/>
      <c r="B274" s="161"/>
      <c r="C274" s="478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35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351"/>
      <c r="AD274" s="351"/>
      <c r="AE274" s="35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</row>
    <row r="275" ht="12.75" customHeight="1">
      <c r="A275" s="161"/>
      <c r="B275" s="161"/>
      <c r="C275" s="478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35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351"/>
      <c r="AD275" s="351"/>
      <c r="AE275" s="35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</row>
    <row r="276" ht="12.75" customHeight="1">
      <c r="A276" s="161"/>
      <c r="B276" s="161"/>
      <c r="C276" s="478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35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351"/>
      <c r="AD276" s="351"/>
      <c r="AE276" s="35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</row>
    <row r="277" ht="12.75" customHeight="1">
      <c r="A277" s="161"/>
      <c r="B277" s="161"/>
      <c r="C277" s="478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35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351"/>
      <c r="AD277" s="351"/>
      <c r="AE277" s="35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</row>
    <row r="278" ht="12.75" customHeight="1">
      <c r="A278" s="161"/>
      <c r="B278" s="161"/>
      <c r="C278" s="478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35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351"/>
      <c r="AD278" s="351"/>
      <c r="AE278" s="35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">
    <mergeCell ref="D4:P4"/>
    <mergeCell ref="Q4:AC4"/>
    <mergeCell ref="D6:P6"/>
    <mergeCell ref="Q6:AC6"/>
  </mergeCells>
  <conditionalFormatting sqref="P15">
    <cfRule type="cellIs" dxfId="0" priority="1" operator="notBetween">
      <formula>-0.001</formula>
      <formula>0.001</formula>
    </cfRule>
  </conditionalFormatting>
  <conditionalFormatting sqref="P41:AA42 AC41:AC42">
    <cfRule type="cellIs" dxfId="0" priority="2" operator="notBetween">
      <formula>-0.001</formula>
      <formula>0.001</formula>
    </cfRule>
  </conditionalFormatting>
  <conditionalFormatting sqref="P58:AA58 AC58">
    <cfRule type="cellIs" dxfId="0" priority="3" operator="notBetween">
      <formula>-0.001</formula>
      <formula>0.001</formula>
    </cfRule>
  </conditionalFormatting>
  <conditionalFormatting sqref="P69:AA69 AC69">
    <cfRule type="cellIs" dxfId="0" priority="4" operator="notBetween">
      <formula>-0.001</formula>
      <formula>0.001</formula>
    </cfRule>
  </conditionalFormatting>
  <conditionalFormatting sqref="P78:AC78">
    <cfRule type="cellIs" dxfId="0" priority="5" operator="notBetween">
      <formula>-0.001</formula>
      <formula>0.001</formula>
    </cfRule>
  </conditionalFormatting>
  <conditionalFormatting sqref="AC15">
    <cfRule type="cellIs" dxfId="0" priority="6" operator="notBetween">
      <formula>-0.001</formula>
      <formula>0.001</formula>
    </cfRule>
  </conditionalFormatting>
  <printOptions/>
  <pageMargins bottom="0.984251969" footer="0.0" header="0.0" left="0.787401575" right="0.787401575" top="0.984251969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/>
  <cols>
    <col customWidth="1" min="1" max="1" width="3.88"/>
    <col customWidth="1" min="2" max="2" width="43.38"/>
    <col customWidth="1" min="3" max="14" width="8.13" outlineLevel="1"/>
    <col customWidth="1" min="15" max="15" width="12.88"/>
    <col customWidth="1" min="16" max="27" width="9.38" outlineLevel="1"/>
    <col customWidth="1" min="28" max="31" width="12.88"/>
    <col customWidth="1" min="32" max="33" width="10.75"/>
  </cols>
  <sheetData>
    <row r="1" ht="6.75" customHeight="1">
      <c r="B1" s="162"/>
      <c r="C1" s="479"/>
      <c r="P1" s="479"/>
      <c r="Q1" s="479"/>
      <c r="AD1" s="480"/>
      <c r="AE1" s="479"/>
      <c r="AF1" s="481"/>
    </row>
    <row r="2" ht="24.75" customHeight="1">
      <c r="A2" s="482"/>
      <c r="B2" s="36" t="s">
        <v>309</v>
      </c>
      <c r="C2" s="483"/>
      <c r="D2" s="37"/>
      <c r="E2" s="37"/>
      <c r="F2" s="38"/>
      <c r="G2" s="39"/>
      <c r="H2" s="39"/>
      <c r="I2" s="39"/>
      <c r="J2" s="39"/>
      <c r="K2" s="39"/>
      <c r="L2" s="39"/>
      <c r="M2" s="39"/>
      <c r="N2" s="39"/>
      <c r="O2" s="39"/>
      <c r="P2" s="484"/>
      <c r="Q2" s="483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484"/>
      <c r="AE2" s="485"/>
      <c r="AF2" s="482"/>
      <c r="AG2" s="482"/>
    </row>
    <row r="3" ht="6.75" customHeight="1">
      <c r="A3" s="486"/>
      <c r="B3" s="169"/>
      <c r="C3" s="487"/>
      <c r="D3" s="488"/>
      <c r="E3" s="488"/>
      <c r="F3" s="488"/>
      <c r="G3" s="486"/>
      <c r="H3" s="486"/>
      <c r="I3" s="486"/>
      <c r="J3" s="486"/>
      <c r="K3" s="488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9"/>
      <c r="AF3" s="486"/>
      <c r="AG3" s="486"/>
    </row>
    <row r="4" ht="24.75" customHeight="1">
      <c r="A4" s="490"/>
      <c r="B4" s="172"/>
      <c r="C4" s="174">
        <f>YEAR(date_début)</f>
        <v>2025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1"/>
      <c r="P4" s="174">
        <f>YEAR(EDATE(date_début,12))</f>
        <v>2026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75">
        <f>YEAR(EDATE(date_début,24))</f>
        <v>2027</v>
      </c>
      <c r="AD4" s="175">
        <f>YEAR(EDATE(date_début,36))</f>
        <v>2028</v>
      </c>
      <c r="AE4" s="491"/>
      <c r="AF4" s="490"/>
      <c r="AG4" s="490"/>
    </row>
    <row r="5" ht="12.75" customHeight="1">
      <c r="A5" s="490"/>
      <c r="B5" s="177"/>
      <c r="C5" s="178" t="s">
        <v>187</v>
      </c>
      <c r="D5" s="178" t="s">
        <v>188</v>
      </c>
      <c r="E5" s="178" t="s">
        <v>189</v>
      </c>
      <c r="F5" s="178" t="s">
        <v>190</v>
      </c>
      <c r="G5" s="178" t="s">
        <v>191</v>
      </c>
      <c r="H5" s="178" t="s">
        <v>192</v>
      </c>
      <c r="I5" s="178" t="s">
        <v>193</v>
      </c>
      <c r="J5" s="178" t="s">
        <v>194</v>
      </c>
      <c r="K5" s="178" t="s">
        <v>195</v>
      </c>
      <c r="L5" s="178" t="s">
        <v>196</v>
      </c>
      <c r="M5" s="178" t="s">
        <v>197</v>
      </c>
      <c r="N5" s="178" t="s">
        <v>198</v>
      </c>
      <c r="O5" s="492"/>
      <c r="P5" s="178" t="s">
        <v>187</v>
      </c>
      <c r="Q5" s="178" t="s">
        <v>188</v>
      </c>
      <c r="R5" s="178" t="s">
        <v>189</v>
      </c>
      <c r="S5" s="178" t="s">
        <v>190</v>
      </c>
      <c r="T5" s="178" t="s">
        <v>191</v>
      </c>
      <c r="U5" s="178" t="s">
        <v>192</v>
      </c>
      <c r="V5" s="178" t="s">
        <v>193</v>
      </c>
      <c r="W5" s="178" t="s">
        <v>194</v>
      </c>
      <c r="X5" s="178" t="s">
        <v>195</v>
      </c>
      <c r="Y5" s="178" t="s">
        <v>196</v>
      </c>
      <c r="Z5" s="178" t="s">
        <v>197</v>
      </c>
      <c r="AA5" s="178" t="s">
        <v>198</v>
      </c>
      <c r="AB5" s="492"/>
      <c r="AC5" s="490"/>
      <c r="AD5" s="490"/>
      <c r="AE5" s="493"/>
      <c r="AF5" s="490"/>
      <c r="AG5" s="490"/>
    </row>
    <row r="6" ht="24.75" customHeight="1">
      <c r="A6" s="494"/>
      <c r="B6" s="181" t="s">
        <v>309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495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495"/>
      <c r="AD6" s="495"/>
      <c r="AE6" s="496"/>
      <c r="AF6" s="497"/>
      <c r="AG6" s="497"/>
    </row>
    <row r="7" ht="15.0" customHeight="1">
      <c r="A7" s="498"/>
      <c r="B7" s="499" t="s">
        <v>310</v>
      </c>
      <c r="C7" s="500"/>
      <c r="D7" s="501"/>
      <c r="E7" s="501"/>
      <c r="F7" s="501"/>
      <c r="G7" s="501"/>
      <c r="H7" s="501"/>
      <c r="I7" s="501"/>
      <c r="J7" s="501"/>
      <c r="K7" s="501"/>
      <c r="L7" s="501"/>
      <c r="M7" s="501"/>
      <c r="N7" s="502"/>
      <c r="O7" s="503">
        <f t="shared" ref="O7:O9" si="1">SUM(C7:N7)</f>
        <v>0</v>
      </c>
      <c r="P7" s="500"/>
      <c r="Q7" s="501"/>
      <c r="R7" s="501"/>
      <c r="S7" s="501"/>
      <c r="T7" s="501"/>
      <c r="U7" s="501"/>
      <c r="V7" s="501"/>
      <c r="W7" s="501"/>
      <c r="X7" s="501"/>
      <c r="Y7" s="501"/>
      <c r="Z7" s="501"/>
      <c r="AA7" s="502"/>
      <c r="AB7" s="503">
        <f t="shared" ref="AB7:AB9" si="2">SUM(P7:AA7)</f>
        <v>0</v>
      </c>
      <c r="AC7" s="504">
        <v>0.0</v>
      </c>
      <c r="AD7" s="505">
        <v>0.0</v>
      </c>
      <c r="AE7" s="498"/>
      <c r="AF7" s="506"/>
      <c r="AG7" s="506"/>
    </row>
    <row r="8" ht="15.0" customHeight="1">
      <c r="A8" s="498"/>
      <c r="B8" s="507" t="s">
        <v>311</v>
      </c>
      <c r="C8" s="501"/>
      <c r="D8" s="501"/>
      <c r="E8" s="501"/>
      <c r="F8" s="501"/>
      <c r="G8" s="501">
        <v>20.0</v>
      </c>
      <c r="H8" s="501">
        <v>20.0</v>
      </c>
      <c r="I8" s="501">
        <v>20.0</v>
      </c>
      <c r="J8" s="501">
        <v>20.0</v>
      </c>
      <c r="K8" s="501">
        <v>20.0</v>
      </c>
      <c r="L8" s="501">
        <v>20.0</v>
      </c>
      <c r="M8" s="501">
        <v>20.0</v>
      </c>
      <c r="N8" s="502">
        <v>20.0</v>
      </c>
      <c r="O8" s="503">
        <f t="shared" si="1"/>
        <v>160</v>
      </c>
      <c r="P8" s="500">
        <v>20.0</v>
      </c>
      <c r="Q8" s="501">
        <v>20.0</v>
      </c>
      <c r="R8" s="501">
        <v>20.0</v>
      </c>
      <c r="S8" s="501">
        <v>20.0</v>
      </c>
      <c r="T8" s="501">
        <v>20.0</v>
      </c>
      <c r="U8" s="501">
        <v>20.0</v>
      </c>
      <c r="V8" s="501">
        <v>20.0</v>
      </c>
      <c r="W8" s="501">
        <v>20.0</v>
      </c>
      <c r="X8" s="501">
        <v>20.0</v>
      </c>
      <c r="Y8" s="501">
        <v>20.0</v>
      </c>
      <c r="Z8" s="501">
        <v>20.0</v>
      </c>
      <c r="AA8" s="502">
        <v>20.0</v>
      </c>
      <c r="AB8" s="503">
        <f t="shared" si="2"/>
        <v>240</v>
      </c>
      <c r="AC8" s="504">
        <v>240.0</v>
      </c>
      <c r="AD8" s="505">
        <v>240.0</v>
      </c>
      <c r="AE8" s="498"/>
      <c r="AF8" s="506"/>
      <c r="AG8" s="506"/>
    </row>
    <row r="9" ht="15.0" customHeight="1">
      <c r="A9" s="498"/>
      <c r="B9" s="507" t="s">
        <v>312</v>
      </c>
      <c r="C9" s="500"/>
      <c r="D9" s="500"/>
      <c r="E9" s="500"/>
      <c r="F9" s="500"/>
      <c r="G9" s="500">
        <v>200.0</v>
      </c>
      <c r="H9" s="500">
        <v>200.0</v>
      </c>
      <c r="I9" s="500">
        <v>200.0</v>
      </c>
      <c r="J9" s="500">
        <v>200.0</v>
      </c>
      <c r="K9" s="500">
        <v>200.0</v>
      </c>
      <c r="L9" s="500">
        <v>200.0</v>
      </c>
      <c r="M9" s="500">
        <v>200.0</v>
      </c>
      <c r="N9" s="502">
        <v>200.0</v>
      </c>
      <c r="O9" s="503">
        <f t="shared" si="1"/>
        <v>1600</v>
      </c>
      <c r="P9" s="500">
        <v>200.0</v>
      </c>
      <c r="Q9" s="500">
        <v>200.0</v>
      </c>
      <c r="R9" s="500">
        <v>200.0</v>
      </c>
      <c r="S9" s="500">
        <v>200.0</v>
      </c>
      <c r="T9" s="500">
        <v>200.0</v>
      </c>
      <c r="U9" s="500">
        <v>200.0</v>
      </c>
      <c r="V9" s="500">
        <v>200.0</v>
      </c>
      <c r="W9" s="500">
        <v>200.0</v>
      </c>
      <c r="X9" s="500">
        <v>200.0</v>
      </c>
      <c r="Y9" s="500">
        <v>200.0</v>
      </c>
      <c r="Z9" s="500">
        <v>200.0</v>
      </c>
      <c r="AA9" s="500">
        <v>200.0</v>
      </c>
      <c r="AB9" s="503">
        <f t="shared" si="2"/>
        <v>2400</v>
      </c>
      <c r="AC9" s="504">
        <v>2400.0</v>
      </c>
      <c r="AD9" s="505">
        <v>2400.0</v>
      </c>
      <c r="AE9" s="498"/>
      <c r="AF9" s="506"/>
      <c r="AG9" s="506"/>
    </row>
    <row r="10" ht="15.0" customHeight="1">
      <c r="A10" s="498"/>
      <c r="B10" s="507" t="s">
        <v>313</v>
      </c>
      <c r="C10" s="500"/>
      <c r="D10" s="500"/>
      <c r="E10" s="500"/>
      <c r="F10" s="500"/>
      <c r="G10" s="500"/>
      <c r="H10" s="500"/>
      <c r="I10" s="500"/>
      <c r="J10" s="500"/>
      <c r="K10" s="500"/>
      <c r="L10" s="500"/>
      <c r="M10" s="500"/>
      <c r="N10" s="502"/>
      <c r="O10" s="503"/>
      <c r="P10" s="500"/>
      <c r="Q10" s="500"/>
      <c r="R10" s="500"/>
      <c r="S10" s="500"/>
      <c r="T10" s="500"/>
      <c r="U10" s="500"/>
      <c r="V10" s="500"/>
      <c r="W10" s="500"/>
      <c r="X10" s="500"/>
      <c r="Y10" s="500"/>
      <c r="Z10" s="500"/>
      <c r="AA10" s="500"/>
      <c r="AB10" s="503"/>
      <c r="AC10" s="504"/>
      <c r="AD10" s="505"/>
      <c r="AE10" s="498"/>
      <c r="AF10" s="506"/>
      <c r="AG10" s="506"/>
    </row>
    <row r="11" ht="15.0" customHeight="1">
      <c r="A11" s="498"/>
      <c r="B11" s="507" t="s">
        <v>314</v>
      </c>
      <c r="C11" s="500"/>
      <c r="D11" s="500"/>
      <c r="E11" s="500"/>
      <c r="F11" s="500"/>
      <c r="G11" s="500">
        <v>35.0</v>
      </c>
      <c r="H11" s="500">
        <v>35.0</v>
      </c>
      <c r="I11" s="500">
        <v>35.0</v>
      </c>
      <c r="J11" s="500">
        <v>35.0</v>
      </c>
      <c r="K11" s="500">
        <v>35.0</v>
      </c>
      <c r="L11" s="500">
        <v>35.0</v>
      </c>
      <c r="M11" s="500">
        <v>35.0</v>
      </c>
      <c r="N11" s="502">
        <v>35.0</v>
      </c>
      <c r="O11" s="503">
        <f t="shared" ref="O11:O42" si="3">SUM(C11:N11)</f>
        <v>280</v>
      </c>
      <c r="P11" s="500">
        <v>35.0</v>
      </c>
      <c r="Q11" s="500">
        <v>35.0</v>
      </c>
      <c r="R11" s="500">
        <v>35.0</v>
      </c>
      <c r="S11" s="500">
        <v>35.0</v>
      </c>
      <c r="T11" s="500">
        <v>35.0</v>
      </c>
      <c r="U11" s="500">
        <v>35.0</v>
      </c>
      <c r="V11" s="500">
        <v>35.0</v>
      </c>
      <c r="W11" s="500">
        <v>35.0</v>
      </c>
      <c r="X11" s="500">
        <v>35.0</v>
      </c>
      <c r="Y11" s="500">
        <v>35.0</v>
      </c>
      <c r="Z11" s="500">
        <v>35.0</v>
      </c>
      <c r="AA11" s="500">
        <v>35.0</v>
      </c>
      <c r="AB11" s="503">
        <f t="shared" ref="AB11:AB30" si="4">SUM(P11:AA11)</f>
        <v>420</v>
      </c>
      <c r="AC11" s="504">
        <v>420.0</v>
      </c>
      <c r="AD11" s="505">
        <v>420.0</v>
      </c>
      <c r="AE11" s="498"/>
      <c r="AF11" s="506"/>
      <c r="AG11" s="506"/>
    </row>
    <row r="12" ht="15.0" customHeight="1">
      <c r="A12" s="498"/>
      <c r="B12" s="499" t="s">
        <v>315</v>
      </c>
      <c r="C12" s="500"/>
      <c r="D12" s="501"/>
      <c r="E12" s="501"/>
      <c r="F12" s="501"/>
      <c r="G12" s="501"/>
      <c r="H12" s="501"/>
      <c r="I12" s="501"/>
      <c r="J12" s="501"/>
      <c r="K12" s="501"/>
      <c r="L12" s="501"/>
      <c r="M12" s="501"/>
      <c r="N12" s="502"/>
      <c r="O12" s="503">
        <f t="shared" si="3"/>
        <v>0</v>
      </c>
      <c r="P12" s="501"/>
      <c r="Q12" s="501"/>
      <c r="R12" s="501"/>
      <c r="S12" s="501"/>
      <c r="T12" s="501"/>
      <c r="U12" s="501"/>
      <c r="V12" s="501"/>
      <c r="W12" s="501"/>
      <c r="X12" s="501"/>
      <c r="Y12" s="501"/>
      <c r="Z12" s="501"/>
      <c r="AA12" s="502"/>
      <c r="AB12" s="503">
        <f t="shared" si="4"/>
        <v>0</v>
      </c>
      <c r="AC12" s="504"/>
      <c r="AD12" s="505"/>
      <c r="AE12" s="498"/>
      <c r="AF12" s="506"/>
      <c r="AG12" s="506"/>
    </row>
    <row r="13" ht="15.0" customHeight="1">
      <c r="A13" s="498"/>
      <c r="B13" s="507" t="s">
        <v>316</v>
      </c>
      <c r="C13" s="500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2"/>
      <c r="O13" s="503">
        <f t="shared" si="3"/>
        <v>0</v>
      </c>
      <c r="P13" s="501"/>
      <c r="Q13" s="501"/>
      <c r="R13" s="501"/>
      <c r="S13" s="501"/>
      <c r="T13" s="501"/>
      <c r="U13" s="501"/>
      <c r="V13" s="501"/>
      <c r="W13" s="501"/>
      <c r="X13" s="501"/>
      <c r="Y13" s="501"/>
      <c r="Z13" s="501"/>
      <c r="AA13" s="502"/>
      <c r="AB13" s="503">
        <f t="shared" si="4"/>
        <v>0</v>
      </c>
      <c r="AC13" s="504">
        <v>0.0</v>
      </c>
      <c r="AD13" s="505">
        <v>0.0</v>
      </c>
      <c r="AE13" s="498"/>
      <c r="AF13" s="506"/>
      <c r="AG13" s="506"/>
    </row>
    <row r="14" ht="15.0" customHeight="1">
      <c r="A14" s="498"/>
      <c r="B14" s="507" t="s">
        <v>317</v>
      </c>
      <c r="C14" s="501"/>
      <c r="D14" s="501"/>
      <c r="E14" s="501"/>
      <c r="F14" s="501"/>
      <c r="G14" s="501"/>
      <c r="H14" s="501">
        <v>1000.0</v>
      </c>
      <c r="I14" s="501"/>
      <c r="J14" s="501"/>
      <c r="K14" s="501"/>
      <c r="L14" s="500"/>
      <c r="M14" s="500"/>
      <c r="N14" s="502"/>
      <c r="O14" s="503">
        <f t="shared" si="3"/>
        <v>1000</v>
      </c>
      <c r="P14" s="500"/>
      <c r="Q14" s="501"/>
      <c r="R14" s="501"/>
      <c r="S14" s="501"/>
      <c r="T14" s="501"/>
      <c r="U14" s="501"/>
      <c r="V14" s="501"/>
      <c r="W14" s="501"/>
      <c r="X14" s="501"/>
      <c r="Y14" s="501"/>
      <c r="Z14" s="501"/>
      <c r="AA14" s="502"/>
      <c r="AB14" s="503">
        <f t="shared" si="4"/>
        <v>0</v>
      </c>
      <c r="AC14" s="504">
        <v>0.0</v>
      </c>
      <c r="AD14" s="505">
        <v>0.0</v>
      </c>
      <c r="AE14" s="498"/>
      <c r="AF14" s="506"/>
      <c r="AG14" s="506"/>
    </row>
    <row r="15" ht="15.0" customHeight="1">
      <c r="A15" s="498"/>
      <c r="B15" s="499" t="s">
        <v>318</v>
      </c>
      <c r="C15" s="500"/>
      <c r="D15" s="501"/>
      <c r="E15" s="501"/>
      <c r="F15" s="501"/>
      <c r="G15" s="501"/>
      <c r="H15" s="501"/>
      <c r="I15" s="501"/>
      <c r="J15" s="501"/>
      <c r="K15" s="501"/>
      <c r="L15" s="501"/>
      <c r="M15" s="501"/>
      <c r="N15" s="502"/>
      <c r="O15" s="503">
        <f t="shared" si="3"/>
        <v>0</v>
      </c>
      <c r="P15" s="500"/>
      <c r="Q15" s="500"/>
      <c r="R15" s="500"/>
      <c r="S15" s="500"/>
      <c r="T15" s="500"/>
      <c r="U15" s="500"/>
      <c r="V15" s="500"/>
      <c r="W15" s="500"/>
      <c r="X15" s="500"/>
      <c r="Y15" s="500"/>
      <c r="Z15" s="500"/>
      <c r="AA15" s="508"/>
      <c r="AB15" s="503">
        <f t="shared" si="4"/>
        <v>0</v>
      </c>
      <c r="AC15" s="504"/>
      <c r="AD15" s="505"/>
      <c r="AE15" s="498"/>
      <c r="AF15" s="506"/>
      <c r="AG15" s="506"/>
    </row>
    <row r="16" ht="15.0" customHeight="1">
      <c r="A16" s="498"/>
      <c r="B16" s="507" t="s">
        <v>319</v>
      </c>
      <c r="C16" s="500"/>
      <c r="D16" s="500"/>
      <c r="E16" s="500"/>
      <c r="F16" s="500"/>
      <c r="G16" s="509">
        <v>450.0</v>
      </c>
      <c r="H16" s="509">
        <v>450.0</v>
      </c>
      <c r="I16" s="509">
        <v>450.0</v>
      </c>
      <c r="J16" s="509">
        <v>450.0</v>
      </c>
      <c r="K16" s="509">
        <v>450.0</v>
      </c>
      <c r="L16" s="509">
        <v>450.0</v>
      </c>
      <c r="M16" s="509">
        <v>450.0</v>
      </c>
      <c r="N16" s="510">
        <v>900.0</v>
      </c>
      <c r="O16" s="503">
        <f t="shared" si="3"/>
        <v>4050</v>
      </c>
      <c r="P16" s="509">
        <v>450.0</v>
      </c>
      <c r="Q16" s="509">
        <v>450.0</v>
      </c>
      <c r="R16" s="509">
        <v>450.0</v>
      </c>
      <c r="S16" s="509">
        <v>450.0</v>
      </c>
      <c r="T16" s="509">
        <v>450.0</v>
      </c>
      <c r="U16" s="509">
        <v>450.0</v>
      </c>
      <c r="V16" s="509">
        <v>450.0</v>
      </c>
      <c r="W16" s="509">
        <v>450.0</v>
      </c>
      <c r="X16" s="509">
        <v>450.0</v>
      </c>
      <c r="Y16" s="509">
        <v>450.0</v>
      </c>
      <c r="Z16" s="509">
        <v>450.0</v>
      </c>
      <c r="AA16" s="509">
        <v>900.0</v>
      </c>
      <c r="AB16" s="503">
        <f t="shared" si="4"/>
        <v>5850</v>
      </c>
      <c r="AC16" s="511">
        <v>5850.0</v>
      </c>
      <c r="AD16" s="512">
        <v>5850.0</v>
      </c>
      <c r="AE16" s="498"/>
      <c r="AF16" s="506"/>
      <c r="AG16" s="506"/>
    </row>
    <row r="17" ht="15.0" customHeight="1">
      <c r="A17" s="513"/>
      <c r="B17" s="507" t="s">
        <v>320</v>
      </c>
      <c r="C17" s="500"/>
      <c r="D17" s="500"/>
      <c r="E17" s="500"/>
      <c r="F17" s="500"/>
      <c r="G17" s="500"/>
      <c r="H17" s="500"/>
      <c r="I17" s="500"/>
      <c r="J17" s="500"/>
      <c r="K17" s="500"/>
      <c r="L17" s="500"/>
      <c r="M17" s="500"/>
      <c r="N17" s="502"/>
      <c r="O17" s="503">
        <f t="shared" si="3"/>
        <v>0</v>
      </c>
      <c r="P17" s="514"/>
      <c r="Q17" s="514"/>
      <c r="R17" s="514"/>
      <c r="S17" s="514"/>
      <c r="T17" s="514"/>
      <c r="U17" s="514"/>
      <c r="V17" s="514"/>
      <c r="W17" s="514"/>
      <c r="X17" s="514"/>
      <c r="Y17" s="514"/>
      <c r="Z17" s="514"/>
      <c r="AA17" s="514"/>
      <c r="AB17" s="503">
        <f t="shared" si="4"/>
        <v>0</v>
      </c>
      <c r="AC17" s="504">
        <v>520.0</v>
      </c>
      <c r="AD17" s="505">
        <v>520.0</v>
      </c>
      <c r="AE17" s="513"/>
      <c r="AF17" s="513"/>
      <c r="AG17" s="513"/>
    </row>
    <row r="18" ht="15.0" customHeight="1">
      <c r="A18" s="513"/>
      <c r="B18" s="507" t="s">
        <v>321</v>
      </c>
      <c r="C18" s="500"/>
      <c r="D18" s="500"/>
      <c r="E18" s="500"/>
      <c r="F18" s="500"/>
      <c r="G18" s="500">
        <v>187.0</v>
      </c>
      <c r="H18" s="500">
        <v>187.0</v>
      </c>
      <c r="I18" s="500">
        <v>187.0</v>
      </c>
      <c r="J18" s="500">
        <v>187.0</v>
      </c>
      <c r="K18" s="500">
        <v>187.0</v>
      </c>
      <c r="L18" s="500">
        <v>187.0</v>
      </c>
      <c r="M18" s="500">
        <v>187.0</v>
      </c>
      <c r="N18" s="502">
        <v>187.0</v>
      </c>
      <c r="O18" s="503">
        <f t="shared" si="3"/>
        <v>1496</v>
      </c>
      <c r="P18" s="514">
        <v>187.0</v>
      </c>
      <c r="Q18" s="514">
        <v>187.0</v>
      </c>
      <c r="R18" s="514">
        <v>187.0</v>
      </c>
      <c r="S18" s="514">
        <v>187.0</v>
      </c>
      <c r="T18" s="514">
        <v>187.0</v>
      </c>
      <c r="U18" s="514">
        <v>187.0</v>
      </c>
      <c r="V18" s="514">
        <v>187.0</v>
      </c>
      <c r="W18" s="514">
        <v>187.0</v>
      </c>
      <c r="X18" s="514">
        <v>187.0</v>
      </c>
      <c r="Y18" s="514">
        <v>187.0</v>
      </c>
      <c r="Z18" s="514">
        <v>187.0</v>
      </c>
      <c r="AA18" s="514">
        <v>187.0</v>
      </c>
      <c r="AB18" s="503">
        <f t="shared" si="4"/>
        <v>2244</v>
      </c>
      <c r="AC18" s="504">
        <v>2244.0</v>
      </c>
      <c r="AD18" s="505">
        <v>2244.0</v>
      </c>
      <c r="AE18" s="513"/>
      <c r="AF18" s="513"/>
      <c r="AG18" s="513"/>
    </row>
    <row r="19" ht="15.0" customHeight="1">
      <c r="A19" s="513"/>
      <c r="B19" s="515" t="s">
        <v>322</v>
      </c>
      <c r="C19" s="500"/>
      <c r="D19" s="500"/>
      <c r="E19" s="500"/>
      <c r="F19" s="500"/>
      <c r="G19" s="509">
        <v>35.0</v>
      </c>
      <c r="H19" s="509">
        <v>35.0</v>
      </c>
      <c r="I19" s="509">
        <v>35.0</v>
      </c>
      <c r="J19" s="509">
        <v>35.0</v>
      </c>
      <c r="K19" s="509">
        <v>35.0</v>
      </c>
      <c r="L19" s="509">
        <v>35.0</v>
      </c>
      <c r="M19" s="509">
        <v>35.0</v>
      </c>
      <c r="N19" s="502">
        <v>35.0</v>
      </c>
      <c r="O19" s="503">
        <f t="shared" si="3"/>
        <v>280</v>
      </c>
      <c r="P19" s="516">
        <v>40.0</v>
      </c>
      <c r="Q19" s="500">
        <v>40.0</v>
      </c>
      <c r="R19" s="500">
        <v>40.0</v>
      </c>
      <c r="S19" s="500">
        <v>40.0</v>
      </c>
      <c r="T19" s="500">
        <v>40.0</v>
      </c>
      <c r="U19" s="500">
        <v>40.0</v>
      </c>
      <c r="V19" s="500">
        <v>40.0</v>
      </c>
      <c r="W19" s="500">
        <v>40.0</v>
      </c>
      <c r="X19" s="500">
        <v>40.0</v>
      </c>
      <c r="Y19" s="500">
        <v>40.0</v>
      </c>
      <c r="Z19" s="500">
        <v>40.0</v>
      </c>
      <c r="AA19" s="508">
        <v>40.0</v>
      </c>
      <c r="AB19" s="503">
        <f t="shared" si="4"/>
        <v>480</v>
      </c>
      <c r="AC19" s="504">
        <v>500.0</v>
      </c>
      <c r="AD19" s="505">
        <v>500.0</v>
      </c>
      <c r="AE19" s="513"/>
      <c r="AF19" s="513"/>
      <c r="AG19" s="513"/>
    </row>
    <row r="20" ht="15.0" customHeight="1">
      <c r="A20" s="498"/>
      <c r="B20" s="517" t="s">
        <v>323</v>
      </c>
      <c r="C20" s="518"/>
      <c r="D20" s="518"/>
      <c r="E20" s="518"/>
      <c r="F20" s="518"/>
      <c r="G20" s="518">
        <v>111.0</v>
      </c>
      <c r="H20" s="518">
        <v>111.0</v>
      </c>
      <c r="I20" s="518">
        <v>111.0</v>
      </c>
      <c r="J20" s="518">
        <v>111.0</v>
      </c>
      <c r="K20" s="518">
        <v>111.0</v>
      </c>
      <c r="L20" s="518">
        <v>111.0</v>
      </c>
      <c r="M20" s="518">
        <v>111.0</v>
      </c>
      <c r="N20" s="502">
        <v>111.0</v>
      </c>
      <c r="O20" s="503">
        <f t="shared" si="3"/>
        <v>888</v>
      </c>
      <c r="P20" s="519">
        <v>111.0</v>
      </c>
      <c r="Q20" s="519">
        <v>111.0</v>
      </c>
      <c r="R20" s="519">
        <v>111.0</v>
      </c>
      <c r="S20" s="519">
        <v>111.0</v>
      </c>
      <c r="T20" s="519">
        <v>111.0</v>
      </c>
      <c r="U20" s="519">
        <v>111.0</v>
      </c>
      <c r="V20" s="519">
        <v>111.0</v>
      </c>
      <c r="W20" s="519">
        <v>111.0</v>
      </c>
      <c r="X20" s="519">
        <v>111.0</v>
      </c>
      <c r="Y20" s="519">
        <v>111.0</v>
      </c>
      <c r="Z20" s="519">
        <v>111.0</v>
      </c>
      <c r="AA20" s="519">
        <v>111.0</v>
      </c>
      <c r="AB20" s="503">
        <f t="shared" si="4"/>
        <v>1332</v>
      </c>
      <c r="AC20" s="504">
        <v>1332.0</v>
      </c>
      <c r="AD20" s="505">
        <v>1340.0</v>
      </c>
      <c r="AE20" s="498"/>
      <c r="AF20" s="498"/>
      <c r="AG20" s="498"/>
    </row>
    <row r="21" ht="15.0" customHeight="1">
      <c r="A21" s="498"/>
      <c r="B21" s="517" t="s">
        <v>324</v>
      </c>
      <c r="C21" s="520"/>
      <c r="D21" s="520"/>
      <c r="E21" s="520"/>
      <c r="F21" s="520"/>
      <c r="G21" s="520"/>
      <c r="H21" s="520"/>
      <c r="I21" s="520"/>
      <c r="J21" s="520"/>
      <c r="K21" s="520"/>
      <c r="L21" s="520"/>
      <c r="M21" s="520"/>
      <c r="N21" s="502"/>
      <c r="O21" s="503">
        <f t="shared" si="3"/>
        <v>0</v>
      </c>
      <c r="P21" s="520">
        <v>87.0</v>
      </c>
      <c r="Q21" s="520">
        <v>38.0</v>
      </c>
      <c r="R21" s="520">
        <v>38.0</v>
      </c>
      <c r="S21" s="520">
        <v>38.0</v>
      </c>
      <c r="T21" s="520">
        <v>38.0</v>
      </c>
      <c r="U21" s="520">
        <v>76.0</v>
      </c>
      <c r="V21" s="520">
        <v>76.0</v>
      </c>
      <c r="W21" s="520">
        <v>76.0</v>
      </c>
      <c r="X21" s="520">
        <v>38.0</v>
      </c>
      <c r="Y21" s="520">
        <v>38.0</v>
      </c>
      <c r="Z21" s="520">
        <v>38.0</v>
      </c>
      <c r="AA21" s="521">
        <v>38.0</v>
      </c>
      <c r="AB21" s="503">
        <f t="shared" si="4"/>
        <v>619</v>
      </c>
      <c r="AC21" s="504">
        <v>999.0</v>
      </c>
      <c r="AD21" s="505">
        <v>1075.0</v>
      </c>
      <c r="AE21" s="498"/>
      <c r="AF21" s="498"/>
      <c r="AG21" s="498"/>
    </row>
    <row r="22" ht="15.0" customHeight="1">
      <c r="A22" s="498"/>
      <c r="B22" s="507"/>
      <c r="C22" s="501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2"/>
      <c r="O22" s="503">
        <f t="shared" si="3"/>
        <v>0</v>
      </c>
      <c r="P22" s="501"/>
      <c r="Q22" s="501"/>
      <c r="R22" s="501"/>
      <c r="S22" s="501"/>
      <c r="T22" s="501"/>
      <c r="U22" s="501"/>
      <c r="V22" s="501"/>
      <c r="W22" s="501"/>
      <c r="X22" s="501"/>
      <c r="Y22" s="501"/>
      <c r="Z22" s="501"/>
      <c r="AA22" s="502"/>
      <c r="AB22" s="503">
        <f t="shared" si="4"/>
        <v>0</v>
      </c>
      <c r="AC22" s="504">
        <v>0.0</v>
      </c>
      <c r="AD22" s="505">
        <v>0.0</v>
      </c>
      <c r="AE22" s="498"/>
      <c r="AF22" s="448"/>
      <c r="AG22" s="506"/>
    </row>
    <row r="23" ht="15.0" customHeight="1">
      <c r="A23" s="498"/>
      <c r="B23" s="507"/>
      <c r="C23" s="501"/>
      <c r="D23" s="501"/>
      <c r="E23" s="501"/>
      <c r="F23" s="501"/>
      <c r="G23" s="501"/>
      <c r="H23" s="501"/>
      <c r="I23" s="501"/>
      <c r="J23" s="501"/>
      <c r="K23" s="501"/>
      <c r="L23" s="501"/>
      <c r="M23" s="501"/>
      <c r="N23" s="502"/>
      <c r="O23" s="503">
        <f t="shared" si="3"/>
        <v>0</v>
      </c>
      <c r="P23" s="501"/>
      <c r="Q23" s="501"/>
      <c r="R23" s="501"/>
      <c r="S23" s="501"/>
      <c r="T23" s="500"/>
      <c r="U23" s="501"/>
      <c r="V23" s="501"/>
      <c r="W23" s="501"/>
      <c r="X23" s="501"/>
      <c r="Y23" s="501"/>
      <c r="Z23" s="501"/>
      <c r="AA23" s="502"/>
      <c r="AB23" s="503">
        <f t="shared" si="4"/>
        <v>0</v>
      </c>
      <c r="AC23" s="504">
        <v>0.0</v>
      </c>
      <c r="AD23" s="505">
        <v>0.0</v>
      </c>
      <c r="AE23" s="498"/>
      <c r="AF23" s="448"/>
      <c r="AG23" s="506"/>
    </row>
    <row r="24" ht="15.0" customHeight="1">
      <c r="A24" s="498"/>
      <c r="B24" s="499" t="s">
        <v>325</v>
      </c>
      <c r="C24" s="501"/>
      <c r="D24" s="501"/>
      <c r="E24" s="501"/>
      <c r="F24" s="501"/>
      <c r="G24" s="501"/>
      <c r="H24" s="501"/>
      <c r="I24" s="501"/>
      <c r="J24" s="501"/>
      <c r="K24" s="501"/>
      <c r="L24" s="501"/>
      <c r="M24" s="501"/>
      <c r="N24" s="502"/>
      <c r="O24" s="503">
        <f t="shared" si="3"/>
        <v>0</v>
      </c>
      <c r="P24" s="501"/>
      <c r="Q24" s="501"/>
      <c r="R24" s="501"/>
      <c r="S24" s="501"/>
      <c r="T24" s="501"/>
      <c r="U24" s="501"/>
      <c r="V24" s="501"/>
      <c r="W24" s="501"/>
      <c r="X24" s="501"/>
      <c r="Y24" s="501"/>
      <c r="Z24" s="501"/>
      <c r="AA24" s="502"/>
      <c r="AB24" s="503">
        <f t="shared" si="4"/>
        <v>0</v>
      </c>
      <c r="AC24" s="504">
        <v>0.0</v>
      </c>
      <c r="AD24" s="505">
        <v>0.0</v>
      </c>
      <c r="AE24" s="498"/>
      <c r="AF24" s="448"/>
      <c r="AG24" s="506"/>
    </row>
    <row r="25" ht="15.0" customHeight="1">
      <c r="A25" s="498"/>
      <c r="B25" s="515" t="s">
        <v>326</v>
      </c>
      <c r="C25" s="500"/>
      <c r="D25" s="500"/>
      <c r="E25" s="500"/>
      <c r="F25" s="500"/>
      <c r="G25" s="509">
        <v>30.0</v>
      </c>
      <c r="H25" s="509">
        <v>30.0</v>
      </c>
      <c r="I25" s="509">
        <v>30.0</v>
      </c>
      <c r="J25" s="509">
        <v>30.0</v>
      </c>
      <c r="K25" s="509">
        <v>30.0</v>
      </c>
      <c r="L25" s="509">
        <v>30.0</v>
      </c>
      <c r="M25" s="509">
        <v>30.0</v>
      </c>
      <c r="N25" s="509">
        <v>30.0</v>
      </c>
      <c r="O25" s="503">
        <f t="shared" si="3"/>
        <v>240</v>
      </c>
      <c r="P25" s="509">
        <v>30.0</v>
      </c>
      <c r="Q25" s="509">
        <v>30.0</v>
      </c>
      <c r="R25" s="509">
        <v>30.0</v>
      </c>
      <c r="S25" s="509">
        <v>30.0</v>
      </c>
      <c r="T25" s="509">
        <v>30.0</v>
      </c>
      <c r="U25" s="509">
        <v>30.0</v>
      </c>
      <c r="V25" s="509">
        <v>30.0</v>
      </c>
      <c r="W25" s="509">
        <v>30.0</v>
      </c>
      <c r="X25" s="509">
        <v>30.0</v>
      </c>
      <c r="Y25" s="509">
        <v>30.0</v>
      </c>
      <c r="Z25" s="509">
        <v>30.0</v>
      </c>
      <c r="AA25" s="509">
        <v>30.0</v>
      </c>
      <c r="AB25" s="503">
        <f t="shared" si="4"/>
        <v>360</v>
      </c>
      <c r="AC25" s="511">
        <v>360.0</v>
      </c>
      <c r="AD25" s="512">
        <v>360.0</v>
      </c>
      <c r="AE25" s="498"/>
      <c r="AF25" s="448"/>
      <c r="AG25" s="506"/>
    </row>
    <row r="26" ht="15.0" customHeight="1">
      <c r="A26" s="498"/>
      <c r="B26" s="507" t="s">
        <v>327</v>
      </c>
      <c r="C26" s="500"/>
      <c r="D26" s="501"/>
      <c r="E26" s="501"/>
      <c r="F26" s="501"/>
      <c r="G26" s="501"/>
      <c r="H26" s="501"/>
      <c r="I26" s="501"/>
      <c r="J26" s="501"/>
      <c r="K26" s="501"/>
      <c r="L26" s="501"/>
      <c r="M26" s="501"/>
      <c r="N26" s="502"/>
      <c r="O26" s="503">
        <f t="shared" si="3"/>
        <v>0</v>
      </c>
      <c r="P26" s="516"/>
      <c r="Q26" s="500"/>
      <c r="R26" s="500"/>
      <c r="S26" s="500"/>
      <c r="T26" s="500"/>
      <c r="U26" s="500"/>
      <c r="V26" s="500"/>
      <c r="W26" s="500"/>
      <c r="X26" s="500"/>
      <c r="Y26" s="500"/>
      <c r="Z26" s="500"/>
      <c r="AA26" s="508"/>
      <c r="AB26" s="503">
        <f t="shared" si="4"/>
        <v>0</v>
      </c>
      <c r="AC26" s="504"/>
      <c r="AD26" s="505"/>
      <c r="AE26" s="498"/>
      <c r="AF26" s="498"/>
      <c r="AG26" s="498"/>
    </row>
    <row r="27" ht="15.0" customHeight="1">
      <c r="A27" s="498"/>
      <c r="B27" s="507" t="s">
        <v>328</v>
      </c>
      <c r="C27" s="500"/>
      <c r="D27" s="500"/>
      <c r="E27" s="501"/>
      <c r="F27" s="501"/>
      <c r="G27" s="509"/>
      <c r="H27" s="501"/>
      <c r="I27" s="501"/>
      <c r="J27" s="501"/>
      <c r="K27" s="500"/>
      <c r="L27" s="501"/>
      <c r="M27" s="501"/>
      <c r="N27" s="502"/>
      <c r="O27" s="503">
        <f t="shared" si="3"/>
        <v>0</v>
      </c>
      <c r="P27" s="509">
        <v>50.0</v>
      </c>
      <c r="Q27" s="501"/>
      <c r="R27" s="501"/>
      <c r="S27" s="501"/>
      <c r="T27" s="501"/>
      <c r="U27" s="501"/>
      <c r="V27" s="501"/>
      <c r="W27" s="501"/>
      <c r="X27" s="501"/>
      <c r="Y27" s="501"/>
      <c r="Z27" s="501"/>
      <c r="AA27" s="508">
        <v>50.0</v>
      </c>
      <c r="AB27" s="503">
        <f t="shared" si="4"/>
        <v>100</v>
      </c>
      <c r="AC27" s="504"/>
      <c r="AD27" s="505">
        <v>50.0</v>
      </c>
      <c r="AE27" s="498"/>
      <c r="AF27" s="506"/>
      <c r="AG27" s="506"/>
    </row>
    <row r="28" ht="15.0" customHeight="1">
      <c r="A28" s="498"/>
      <c r="B28" s="507" t="s">
        <v>329</v>
      </c>
      <c r="C28" s="501"/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2"/>
      <c r="O28" s="503">
        <f t="shared" si="3"/>
        <v>0</v>
      </c>
      <c r="P28" s="501">
        <v>30.0</v>
      </c>
      <c r="Q28" s="501">
        <v>30.0</v>
      </c>
      <c r="R28" s="501">
        <v>30.0</v>
      </c>
      <c r="S28" s="501">
        <v>30.0</v>
      </c>
      <c r="T28" s="501">
        <v>30.0</v>
      </c>
      <c r="U28" s="501">
        <v>30.0</v>
      </c>
      <c r="V28" s="501">
        <v>30.0</v>
      </c>
      <c r="W28" s="501">
        <v>30.0</v>
      </c>
      <c r="X28" s="501">
        <v>30.0</v>
      </c>
      <c r="Y28" s="501">
        <v>30.0</v>
      </c>
      <c r="Z28" s="501">
        <v>30.0</v>
      </c>
      <c r="AA28" s="502">
        <v>30.0</v>
      </c>
      <c r="AB28" s="503">
        <f t="shared" si="4"/>
        <v>360</v>
      </c>
      <c r="AC28" s="504">
        <v>360.0</v>
      </c>
      <c r="AD28" s="505"/>
      <c r="AE28" s="498"/>
      <c r="AF28" s="506"/>
      <c r="AG28" s="506"/>
    </row>
    <row r="29" ht="15.0" customHeight="1">
      <c r="A29" s="498"/>
      <c r="B29" s="507" t="s">
        <v>330</v>
      </c>
      <c r="C29" s="500"/>
      <c r="D29" s="500"/>
      <c r="E29" s="500"/>
      <c r="F29" s="500"/>
      <c r="G29" s="509">
        <v>15.17</v>
      </c>
      <c r="H29" s="509">
        <v>15.17</v>
      </c>
      <c r="I29" s="509">
        <v>15.17</v>
      </c>
      <c r="J29" s="509">
        <v>15.17</v>
      </c>
      <c r="K29" s="509">
        <v>15.17</v>
      </c>
      <c r="L29" s="509">
        <v>15.17</v>
      </c>
      <c r="M29" s="509">
        <v>15.17</v>
      </c>
      <c r="N29" s="522">
        <v>15.17</v>
      </c>
      <c r="O29" s="503">
        <f t="shared" si="3"/>
        <v>121.36</v>
      </c>
      <c r="P29" s="509">
        <v>15.17</v>
      </c>
      <c r="Q29" s="509">
        <v>15.17</v>
      </c>
      <c r="R29" s="509">
        <v>15.17</v>
      </c>
      <c r="S29" s="509">
        <v>15.17</v>
      </c>
      <c r="T29" s="509">
        <v>15.17</v>
      </c>
      <c r="U29" s="509">
        <v>15.17</v>
      </c>
      <c r="V29" s="509">
        <v>15.17</v>
      </c>
      <c r="W29" s="509">
        <v>15.17</v>
      </c>
      <c r="X29" s="509">
        <v>15.17</v>
      </c>
      <c r="Y29" s="509">
        <v>15.17</v>
      </c>
      <c r="Z29" s="509">
        <v>15.17</v>
      </c>
      <c r="AA29" s="509">
        <v>15.17</v>
      </c>
      <c r="AB29" s="503">
        <f t="shared" si="4"/>
        <v>182.04</v>
      </c>
      <c r="AC29" s="504">
        <v>182.03999999999996</v>
      </c>
      <c r="AD29" s="505">
        <v>182.03999999999996</v>
      </c>
      <c r="AE29" s="498"/>
      <c r="AF29" s="506"/>
      <c r="AG29" s="506"/>
    </row>
    <row r="30" ht="15.0" customHeight="1">
      <c r="A30" s="498"/>
      <c r="B30" s="507" t="s">
        <v>331</v>
      </c>
      <c r="C30" s="500">
        <v>16.33</v>
      </c>
      <c r="D30" s="500">
        <v>16.33</v>
      </c>
      <c r="E30" s="500">
        <v>16.33</v>
      </c>
      <c r="F30" s="500">
        <v>16.33</v>
      </c>
      <c r="G30" s="500">
        <v>16.33</v>
      </c>
      <c r="H30" s="500">
        <v>16.33</v>
      </c>
      <c r="I30" s="500">
        <v>16.33</v>
      </c>
      <c r="J30" s="500">
        <v>16.33</v>
      </c>
      <c r="K30" s="500">
        <v>16.33</v>
      </c>
      <c r="L30" s="500">
        <v>16.33</v>
      </c>
      <c r="M30" s="500">
        <v>16.33</v>
      </c>
      <c r="N30" s="502">
        <v>16.33</v>
      </c>
      <c r="O30" s="503">
        <f t="shared" si="3"/>
        <v>195.96</v>
      </c>
      <c r="P30" s="500">
        <v>16.0</v>
      </c>
      <c r="Q30" s="500">
        <v>16.0</v>
      </c>
      <c r="R30" s="500">
        <v>16.0</v>
      </c>
      <c r="S30" s="500">
        <v>16.0</v>
      </c>
      <c r="T30" s="500">
        <v>16.0</v>
      </c>
      <c r="U30" s="500">
        <v>16.0</v>
      </c>
      <c r="V30" s="500">
        <v>16.0</v>
      </c>
      <c r="W30" s="500">
        <v>16.0</v>
      </c>
      <c r="X30" s="500">
        <v>16.0</v>
      </c>
      <c r="Y30" s="500">
        <v>16.0</v>
      </c>
      <c r="Z30" s="500">
        <v>16.0</v>
      </c>
      <c r="AA30" s="500">
        <v>16.0</v>
      </c>
      <c r="AB30" s="503">
        <f t="shared" si="4"/>
        <v>192</v>
      </c>
      <c r="AC30" s="504">
        <v>200.0</v>
      </c>
      <c r="AD30" s="505">
        <v>200.0</v>
      </c>
      <c r="AE30" s="498"/>
      <c r="AF30" s="506"/>
      <c r="AG30" s="506"/>
    </row>
    <row r="31" ht="15.0" customHeight="1">
      <c r="A31" s="498"/>
      <c r="B31" s="507" t="s">
        <v>332</v>
      </c>
      <c r="C31" s="500">
        <v>9.0</v>
      </c>
      <c r="D31" s="500">
        <v>9.0</v>
      </c>
      <c r="E31" s="500">
        <v>9.0</v>
      </c>
      <c r="F31" s="500">
        <v>9.0</v>
      </c>
      <c r="G31" s="500">
        <v>9.0</v>
      </c>
      <c r="H31" s="500">
        <v>9.0</v>
      </c>
      <c r="I31" s="500">
        <v>9.0</v>
      </c>
      <c r="J31" s="500">
        <v>9.0</v>
      </c>
      <c r="K31" s="500">
        <v>9.0</v>
      </c>
      <c r="L31" s="500">
        <v>9.0</v>
      </c>
      <c r="M31" s="500">
        <v>9.0</v>
      </c>
      <c r="N31" s="502">
        <v>9.0</v>
      </c>
      <c r="O31" s="503">
        <f t="shared" si="3"/>
        <v>108</v>
      </c>
      <c r="P31" s="501"/>
      <c r="Q31" s="501"/>
      <c r="R31" s="501"/>
      <c r="S31" s="501"/>
      <c r="T31" s="501"/>
      <c r="U31" s="501"/>
      <c r="V31" s="501"/>
      <c r="W31" s="501"/>
      <c r="X31" s="501"/>
      <c r="Y31" s="501"/>
      <c r="Z31" s="501"/>
      <c r="AA31" s="502"/>
      <c r="AB31" s="523">
        <v>108.0</v>
      </c>
      <c r="AC31" s="504">
        <v>108.0</v>
      </c>
      <c r="AD31" s="505">
        <v>108.0</v>
      </c>
      <c r="AE31" s="498"/>
      <c r="AF31" s="506"/>
      <c r="AG31" s="506"/>
    </row>
    <row r="32" ht="15.0" customHeight="1">
      <c r="A32" s="498"/>
      <c r="B32" s="499" t="s">
        <v>333</v>
      </c>
      <c r="C32" s="501"/>
      <c r="D32" s="501"/>
      <c r="E32" s="501"/>
      <c r="F32" s="501"/>
      <c r="G32" s="501"/>
      <c r="H32" s="501"/>
      <c r="I32" s="501"/>
      <c r="J32" s="501"/>
      <c r="K32" s="501"/>
      <c r="L32" s="501"/>
      <c r="M32" s="501"/>
      <c r="N32" s="502"/>
      <c r="O32" s="503">
        <f t="shared" si="3"/>
        <v>0</v>
      </c>
      <c r="P32" s="501"/>
      <c r="Q32" s="501"/>
      <c r="R32" s="501"/>
      <c r="S32" s="501"/>
      <c r="T32" s="501"/>
      <c r="U32" s="501"/>
      <c r="V32" s="501"/>
      <c r="W32" s="501"/>
      <c r="X32" s="501"/>
      <c r="Y32" s="501"/>
      <c r="Z32" s="501"/>
      <c r="AA32" s="502"/>
      <c r="AB32" s="503">
        <f t="shared" ref="AB32:AB42" si="5">SUM(P32:AA32)</f>
        <v>0</v>
      </c>
      <c r="AC32" s="504">
        <v>0.0</v>
      </c>
      <c r="AD32" s="505">
        <v>0.0</v>
      </c>
      <c r="AE32" s="498"/>
      <c r="AF32" s="498"/>
      <c r="AG32" s="498"/>
    </row>
    <row r="33" ht="15.0" customHeight="1">
      <c r="A33" s="498"/>
      <c r="B33" s="524" t="s">
        <v>334</v>
      </c>
      <c r="C33" s="500"/>
      <c r="D33" s="501"/>
      <c r="E33" s="501"/>
      <c r="F33" s="501"/>
      <c r="G33" s="501"/>
      <c r="H33" s="501"/>
      <c r="I33" s="501"/>
      <c r="J33" s="501"/>
      <c r="K33" s="501"/>
      <c r="L33" s="501"/>
      <c r="M33" s="501"/>
      <c r="N33" s="502"/>
      <c r="O33" s="503">
        <f t="shared" si="3"/>
        <v>0</v>
      </c>
      <c r="P33" s="501"/>
      <c r="Q33" s="501"/>
      <c r="R33" s="501"/>
      <c r="S33" s="501"/>
      <c r="T33" s="501"/>
      <c r="U33" s="501"/>
      <c r="V33" s="501"/>
      <c r="W33" s="501"/>
      <c r="X33" s="501"/>
      <c r="Y33" s="501"/>
      <c r="Z33" s="501"/>
      <c r="AA33" s="502"/>
      <c r="AB33" s="503">
        <f t="shared" si="5"/>
        <v>0</v>
      </c>
      <c r="AC33" s="504">
        <v>0.0</v>
      </c>
      <c r="AD33" s="505">
        <v>0.0</v>
      </c>
      <c r="AE33" s="498"/>
      <c r="AF33" s="498"/>
      <c r="AG33" s="498"/>
    </row>
    <row r="34" ht="15.0" customHeight="1">
      <c r="A34" s="498"/>
      <c r="B34" s="524" t="s">
        <v>335</v>
      </c>
      <c r="C34" s="500"/>
      <c r="D34" s="501"/>
      <c r="E34" s="501"/>
      <c r="F34" s="501"/>
      <c r="G34" s="501"/>
      <c r="H34" s="501"/>
      <c r="I34" s="501"/>
      <c r="J34" s="501"/>
      <c r="K34" s="501"/>
      <c r="L34" s="501"/>
      <c r="M34" s="501"/>
      <c r="N34" s="502"/>
      <c r="O34" s="503">
        <f t="shared" si="3"/>
        <v>0</v>
      </c>
      <c r="P34" s="501"/>
      <c r="Q34" s="501"/>
      <c r="R34" s="501"/>
      <c r="S34" s="501"/>
      <c r="T34" s="501"/>
      <c r="U34" s="501"/>
      <c r="V34" s="501"/>
      <c r="W34" s="501"/>
      <c r="X34" s="501"/>
      <c r="Y34" s="501"/>
      <c r="Z34" s="501"/>
      <c r="AA34" s="502"/>
      <c r="AB34" s="503">
        <f t="shared" si="5"/>
        <v>0</v>
      </c>
      <c r="AC34" s="504"/>
      <c r="AD34" s="505"/>
      <c r="AE34" s="498"/>
      <c r="AF34" s="498"/>
      <c r="AG34" s="498"/>
    </row>
    <row r="35" ht="15.0" customHeight="1">
      <c r="A35" s="525">
        <f>285000</f>
        <v>285000</v>
      </c>
      <c r="B35" s="524" t="s">
        <v>336</v>
      </c>
      <c r="C35" s="500"/>
      <c r="D35" s="501"/>
      <c r="E35" s="501"/>
      <c r="F35" s="501"/>
      <c r="G35" s="501"/>
      <c r="H35" s="501"/>
      <c r="I35" s="501"/>
      <c r="J35" s="501"/>
      <c r="K35" s="501"/>
      <c r="L35" s="501"/>
      <c r="M35" s="501"/>
      <c r="N35" s="502"/>
      <c r="O35" s="503">
        <f t="shared" si="3"/>
        <v>0</v>
      </c>
      <c r="P35" s="501"/>
      <c r="Q35" s="501"/>
      <c r="R35" s="501"/>
      <c r="S35" s="501"/>
      <c r="T35" s="501"/>
      <c r="U35" s="501"/>
      <c r="V35" s="501"/>
      <c r="W35" s="501"/>
      <c r="X35" s="501"/>
      <c r="Y35" s="501"/>
      <c r="Z35" s="501"/>
      <c r="AA35" s="502"/>
      <c r="AB35" s="503">
        <f t="shared" si="5"/>
        <v>0</v>
      </c>
      <c r="AC35" s="504"/>
      <c r="AD35" s="505"/>
      <c r="AE35" s="498"/>
      <c r="AF35" s="498"/>
      <c r="AG35" s="498"/>
    </row>
    <row r="36" ht="15.0" customHeight="1">
      <c r="A36" s="498"/>
      <c r="B36" s="524" t="s">
        <v>337</v>
      </c>
      <c r="C36" s="500"/>
      <c r="D36" s="501"/>
      <c r="E36" s="501"/>
      <c r="F36" s="501"/>
      <c r="G36" s="501"/>
      <c r="H36" s="501"/>
      <c r="I36" s="501"/>
      <c r="J36" s="501"/>
      <c r="K36" s="501"/>
      <c r="L36" s="501"/>
      <c r="M36" s="501"/>
      <c r="N36" s="502"/>
      <c r="O36" s="503">
        <f t="shared" si="3"/>
        <v>0</v>
      </c>
      <c r="P36" s="501"/>
      <c r="Q36" s="501"/>
      <c r="R36" s="501"/>
      <c r="S36" s="501"/>
      <c r="T36" s="501"/>
      <c r="U36" s="501"/>
      <c r="V36" s="501"/>
      <c r="W36" s="501"/>
      <c r="X36" s="501"/>
      <c r="Y36" s="501"/>
      <c r="Z36" s="501"/>
      <c r="AA36" s="502"/>
      <c r="AB36" s="503">
        <f t="shared" si="5"/>
        <v>0</v>
      </c>
      <c r="AC36" s="504">
        <v>0.0</v>
      </c>
      <c r="AD36" s="505">
        <v>0.0</v>
      </c>
      <c r="AE36" s="498"/>
      <c r="AF36" s="498"/>
      <c r="AG36" s="498"/>
    </row>
    <row r="37" ht="15.0" customHeight="1">
      <c r="A37" s="498"/>
      <c r="B37" s="515" t="s">
        <v>338</v>
      </c>
      <c r="C37" s="500"/>
      <c r="D37" s="500"/>
      <c r="E37" s="500"/>
      <c r="F37" s="500"/>
      <c r="G37" s="500"/>
      <c r="H37" s="500">
        <v>2789.0</v>
      </c>
      <c r="I37" s="500">
        <v>2789.0</v>
      </c>
      <c r="J37" s="500">
        <v>2789.0</v>
      </c>
      <c r="K37" s="500">
        <v>2789.0</v>
      </c>
      <c r="L37" s="500">
        <v>2789.0</v>
      </c>
      <c r="M37" s="500">
        <v>2789.0</v>
      </c>
      <c r="N37" s="502">
        <v>2789.0</v>
      </c>
      <c r="O37" s="503">
        <f t="shared" si="3"/>
        <v>19523</v>
      </c>
      <c r="P37" s="500">
        <v>2789.0</v>
      </c>
      <c r="Q37" s="500">
        <v>2789.0</v>
      </c>
      <c r="R37" s="500">
        <v>2789.0</v>
      </c>
      <c r="S37" s="500">
        <v>2789.0</v>
      </c>
      <c r="T37" s="500">
        <v>2789.0</v>
      </c>
      <c r="U37" s="500">
        <v>2789.0</v>
      </c>
      <c r="V37" s="500">
        <v>2789.0</v>
      </c>
      <c r="W37" s="500">
        <v>2789.0</v>
      </c>
      <c r="X37" s="500">
        <v>2789.0</v>
      </c>
      <c r="Y37" s="500">
        <v>2789.0</v>
      </c>
      <c r="Z37" s="500">
        <v>2789.0</v>
      </c>
      <c r="AA37" s="500">
        <v>2789.0</v>
      </c>
      <c r="AB37" s="503">
        <f t="shared" si="5"/>
        <v>33468</v>
      </c>
      <c r="AC37" s="500">
        <v>33468.0</v>
      </c>
      <c r="AD37" s="500">
        <v>33468.0</v>
      </c>
      <c r="AE37" s="498"/>
      <c r="AF37" s="498"/>
      <c r="AG37" s="498"/>
    </row>
    <row r="38" ht="15.0" customHeight="1">
      <c r="A38" s="498"/>
      <c r="B38" s="515" t="s">
        <v>339</v>
      </c>
      <c r="C38" s="500"/>
      <c r="D38" s="501"/>
      <c r="E38" s="501"/>
      <c r="F38" s="501"/>
      <c r="G38" s="501"/>
      <c r="H38" s="500"/>
      <c r="I38" s="501"/>
      <c r="J38" s="501"/>
      <c r="K38" s="501"/>
      <c r="L38" s="501"/>
      <c r="M38" s="501"/>
      <c r="N38" s="502"/>
      <c r="O38" s="503">
        <f t="shared" si="3"/>
        <v>0</v>
      </c>
      <c r="P38" s="500"/>
      <c r="Q38" s="501"/>
      <c r="R38" s="501"/>
      <c r="S38" s="501"/>
      <c r="T38" s="501"/>
      <c r="U38" s="500">
        <v>200.0</v>
      </c>
      <c r="V38" s="501"/>
      <c r="W38" s="501"/>
      <c r="X38" s="501"/>
      <c r="Y38" s="501"/>
      <c r="Z38" s="501"/>
      <c r="AA38" s="508">
        <v>300.0</v>
      </c>
      <c r="AB38" s="503">
        <f t="shared" si="5"/>
        <v>500</v>
      </c>
      <c r="AC38" s="504">
        <v>500.0</v>
      </c>
      <c r="AD38" s="505">
        <v>500.0</v>
      </c>
      <c r="AE38" s="498"/>
      <c r="AF38" s="498"/>
      <c r="AG38" s="498"/>
    </row>
    <row r="39" ht="15.0" customHeight="1">
      <c r="A39" s="498"/>
      <c r="B39" s="515" t="s">
        <v>340</v>
      </c>
      <c r="C39" s="500"/>
      <c r="D39" s="500"/>
      <c r="E39" s="500"/>
      <c r="F39" s="500"/>
      <c r="G39" s="509">
        <v>99.0</v>
      </c>
      <c r="H39" s="526">
        <v>60.5</v>
      </c>
      <c r="I39" s="526">
        <v>60.5</v>
      </c>
      <c r="J39" s="526">
        <v>60.5</v>
      </c>
      <c r="K39" s="526">
        <v>60.5</v>
      </c>
      <c r="L39" s="526">
        <v>60.5</v>
      </c>
      <c r="M39" s="526">
        <v>60.5</v>
      </c>
      <c r="N39" s="502">
        <v>60.5</v>
      </c>
      <c r="O39" s="503">
        <f t="shared" si="3"/>
        <v>522.5</v>
      </c>
      <c r="P39" s="500">
        <v>73.0</v>
      </c>
      <c r="Q39" s="500">
        <v>73.0</v>
      </c>
      <c r="R39" s="500">
        <v>73.0</v>
      </c>
      <c r="S39" s="500">
        <v>73.0</v>
      </c>
      <c r="T39" s="500">
        <v>73.0</v>
      </c>
      <c r="U39" s="500">
        <v>73.0</v>
      </c>
      <c r="V39" s="500">
        <v>73.0</v>
      </c>
      <c r="W39" s="500">
        <v>73.0</v>
      </c>
      <c r="X39" s="500">
        <v>73.0</v>
      </c>
      <c r="Y39" s="500">
        <v>73.0</v>
      </c>
      <c r="Z39" s="500">
        <v>73.0</v>
      </c>
      <c r="AA39" s="500">
        <v>73.0</v>
      </c>
      <c r="AB39" s="503">
        <f t="shared" si="5"/>
        <v>876</v>
      </c>
      <c r="AC39" s="504">
        <v>984.0</v>
      </c>
      <c r="AD39" s="505">
        <v>984.0</v>
      </c>
      <c r="AE39" s="498"/>
      <c r="AF39" s="498"/>
      <c r="AG39" s="498"/>
    </row>
    <row r="40" ht="15.0" customHeight="1">
      <c r="A40" s="498"/>
      <c r="B40" s="527" t="s">
        <v>341</v>
      </c>
      <c r="C40" s="528"/>
      <c r="D40" s="528"/>
      <c r="E40" s="528"/>
      <c r="F40" s="528"/>
      <c r="G40" s="528"/>
      <c r="H40" s="528"/>
      <c r="I40" s="528"/>
      <c r="J40" s="528"/>
      <c r="K40" s="528"/>
      <c r="L40" s="528"/>
      <c r="M40" s="528"/>
      <c r="N40" s="502"/>
      <c r="O40" s="529">
        <f t="shared" si="3"/>
        <v>0</v>
      </c>
      <c r="P40" s="528">
        <v>50.0</v>
      </c>
      <c r="Q40" s="528">
        <v>50.0</v>
      </c>
      <c r="R40" s="528">
        <v>50.0</v>
      </c>
      <c r="S40" s="528">
        <v>50.0</v>
      </c>
      <c r="T40" s="528">
        <v>50.0</v>
      </c>
      <c r="U40" s="528">
        <v>50.0</v>
      </c>
      <c r="V40" s="528">
        <v>50.0</v>
      </c>
      <c r="W40" s="528">
        <v>50.0</v>
      </c>
      <c r="X40" s="528">
        <v>50.0</v>
      </c>
      <c r="Y40" s="528">
        <v>50.0</v>
      </c>
      <c r="Z40" s="528">
        <v>50.0</v>
      </c>
      <c r="AA40" s="528">
        <v>50.0</v>
      </c>
      <c r="AB40" s="529">
        <f t="shared" si="5"/>
        <v>600</v>
      </c>
      <c r="AC40" s="530">
        <v>700.0</v>
      </c>
      <c r="AD40" s="531">
        <v>700.0</v>
      </c>
      <c r="AE40" s="498"/>
      <c r="AF40" s="498"/>
      <c r="AG40" s="498"/>
    </row>
    <row r="41" ht="15.0" customHeight="1">
      <c r="A41" s="498"/>
      <c r="B41" s="527" t="s">
        <v>342</v>
      </c>
      <c r="C41" s="528"/>
      <c r="D41" s="528"/>
      <c r="E41" s="528"/>
      <c r="F41" s="528"/>
      <c r="G41" s="528"/>
      <c r="H41" s="528"/>
      <c r="I41" s="528"/>
      <c r="J41" s="528"/>
      <c r="K41" s="528"/>
      <c r="L41" s="528"/>
      <c r="M41" s="528"/>
      <c r="N41" s="502"/>
      <c r="O41" s="529">
        <f t="shared" si="3"/>
        <v>0</v>
      </c>
      <c r="P41" s="528">
        <v>285.0</v>
      </c>
      <c r="Q41" s="528">
        <v>285.0</v>
      </c>
      <c r="R41" s="528">
        <v>285.0</v>
      </c>
      <c r="S41" s="528">
        <v>285.0</v>
      </c>
      <c r="T41" s="528">
        <v>285.0</v>
      </c>
      <c r="U41" s="528">
        <v>285.0</v>
      </c>
      <c r="V41" s="528">
        <v>285.0</v>
      </c>
      <c r="W41" s="528">
        <v>285.0</v>
      </c>
      <c r="X41" s="528">
        <v>285.0</v>
      </c>
      <c r="Y41" s="528">
        <v>285.0</v>
      </c>
      <c r="Z41" s="528">
        <v>285.0</v>
      </c>
      <c r="AA41" s="528">
        <v>285.0</v>
      </c>
      <c r="AB41" s="529">
        <f t="shared" si="5"/>
        <v>3420</v>
      </c>
      <c r="AC41" s="530">
        <v>3500.0</v>
      </c>
      <c r="AD41" s="531">
        <v>3500.0</v>
      </c>
      <c r="AE41" s="498"/>
      <c r="AF41" s="498"/>
      <c r="AG41" s="498"/>
    </row>
    <row r="42" ht="15.0" customHeight="1">
      <c r="A42" s="498"/>
      <c r="B42" s="507" t="s">
        <v>343</v>
      </c>
      <c r="C42" s="500"/>
      <c r="D42" s="500"/>
      <c r="E42" s="500"/>
      <c r="F42" s="500"/>
      <c r="G42" s="500"/>
      <c r="H42" s="500">
        <v>46.0</v>
      </c>
      <c r="I42" s="500">
        <v>46.0</v>
      </c>
      <c r="J42" s="500">
        <v>46.0</v>
      </c>
      <c r="K42" s="500">
        <v>46.0</v>
      </c>
      <c r="L42" s="500">
        <v>46.0</v>
      </c>
      <c r="M42" s="500">
        <v>46.0</v>
      </c>
      <c r="N42" s="502">
        <v>46.0</v>
      </c>
      <c r="O42" s="503">
        <f t="shared" si="3"/>
        <v>322</v>
      </c>
      <c r="P42" s="500">
        <v>46.0</v>
      </c>
      <c r="Q42" s="500">
        <v>46.0</v>
      </c>
      <c r="R42" s="500">
        <v>46.0</v>
      </c>
      <c r="S42" s="500">
        <v>46.0</v>
      </c>
      <c r="T42" s="500">
        <v>46.0</v>
      </c>
      <c r="U42" s="500">
        <v>46.0</v>
      </c>
      <c r="V42" s="500">
        <v>46.0</v>
      </c>
      <c r="W42" s="500">
        <v>46.0</v>
      </c>
      <c r="X42" s="500">
        <v>46.0</v>
      </c>
      <c r="Y42" s="500">
        <v>46.0</v>
      </c>
      <c r="Z42" s="500">
        <v>46.0</v>
      </c>
      <c r="AA42" s="500">
        <v>46.0</v>
      </c>
      <c r="AB42" s="503">
        <f t="shared" si="5"/>
        <v>552</v>
      </c>
      <c r="AC42" s="504">
        <v>552.0</v>
      </c>
      <c r="AD42" s="505">
        <v>552.0</v>
      </c>
      <c r="AE42" s="498"/>
      <c r="AF42" s="498"/>
      <c r="AG42" s="498"/>
    </row>
    <row r="43" ht="15.0" customHeight="1">
      <c r="A43" s="515"/>
      <c r="B43" s="507"/>
      <c r="C43" s="500"/>
      <c r="D43" s="501"/>
      <c r="E43" s="501"/>
      <c r="F43" s="501"/>
      <c r="G43" s="501"/>
      <c r="H43" s="501"/>
      <c r="I43" s="501"/>
      <c r="J43" s="500"/>
      <c r="K43" s="501"/>
      <c r="L43" s="501"/>
      <c r="M43" s="501"/>
      <c r="N43" s="502"/>
      <c r="O43" s="503"/>
      <c r="P43" s="500"/>
      <c r="Q43" s="501"/>
      <c r="R43" s="501"/>
      <c r="S43" s="501"/>
      <c r="T43" s="501"/>
      <c r="U43" s="501"/>
      <c r="V43" s="501"/>
      <c r="W43" s="501"/>
      <c r="X43" s="501"/>
      <c r="Y43" s="501"/>
      <c r="Z43" s="501"/>
      <c r="AA43" s="532"/>
      <c r="AB43" s="503"/>
      <c r="AC43" s="504"/>
      <c r="AD43" s="505"/>
      <c r="AE43" s="498"/>
      <c r="AF43" s="498"/>
      <c r="AG43" s="498"/>
    </row>
    <row r="44" ht="15.0" customHeight="1">
      <c r="A44" s="498"/>
      <c r="B44" s="515" t="s">
        <v>344</v>
      </c>
      <c r="C44" s="500"/>
      <c r="D44" s="501"/>
      <c r="E44" s="501"/>
      <c r="F44" s="501"/>
      <c r="G44" s="501"/>
      <c r="H44" s="500">
        <v>100.0</v>
      </c>
      <c r="I44" s="501"/>
      <c r="J44" s="500"/>
      <c r="K44" s="501"/>
      <c r="L44" s="501"/>
      <c r="M44" s="501"/>
      <c r="N44" s="502"/>
      <c r="O44" s="503">
        <f t="shared" ref="O44:O93" si="6">SUM(C44:N44)</f>
        <v>100</v>
      </c>
      <c r="P44" s="500"/>
      <c r="Q44" s="501"/>
      <c r="R44" s="501"/>
      <c r="S44" s="501"/>
      <c r="T44" s="501"/>
      <c r="U44" s="501"/>
      <c r="V44" s="501"/>
      <c r="W44" s="501"/>
      <c r="X44" s="501"/>
      <c r="Y44" s="501"/>
      <c r="Z44" s="501"/>
      <c r="AA44" s="508">
        <v>200.0</v>
      </c>
      <c r="AB44" s="503">
        <f t="shared" ref="AB44:AB50" si="7">SUM(P44:AA44)</f>
        <v>200</v>
      </c>
      <c r="AC44" s="504">
        <v>200.0</v>
      </c>
      <c r="AD44" s="505">
        <v>200.0</v>
      </c>
      <c r="AE44" s="498"/>
      <c r="AF44" s="498"/>
      <c r="AG44" s="498"/>
    </row>
    <row r="45" ht="15.0" customHeight="1">
      <c r="A45" s="498"/>
      <c r="B45" s="499" t="s">
        <v>345</v>
      </c>
      <c r="C45" s="500"/>
      <c r="D45" s="501"/>
      <c r="E45" s="501"/>
      <c r="F45" s="501"/>
      <c r="G45" s="501"/>
      <c r="H45" s="501"/>
      <c r="I45" s="501"/>
      <c r="J45" s="501"/>
      <c r="K45" s="501"/>
      <c r="L45" s="501"/>
      <c r="M45" s="501"/>
      <c r="N45" s="502"/>
      <c r="O45" s="503">
        <f t="shared" si="6"/>
        <v>0</v>
      </c>
      <c r="P45" s="500"/>
      <c r="Q45" s="501"/>
      <c r="R45" s="501"/>
      <c r="S45" s="501"/>
      <c r="T45" s="501"/>
      <c r="U45" s="501"/>
      <c r="V45" s="501"/>
      <c r="W45" s="501"/>
      <c r="X45" s="501"/>
      <c r="Y45" s="501"/>
      <c r="Z45" s="501"/>
      <c r="AA45" s="502"/>
      <c r="AB45" s="503">
        <f t="shared" si="7"/>
        <v>0</v>
      </c>
      <c r="AC45" s="504"/>
      <c r="AD45" s="505"/>
      <c r="AE45" s="498"/>
      <c r="AF45" s="498"/>
      <c r="AG45" s="498"/>
    </row>
    <row r="46" ht="15.0" customHeight="1">
      <c r="A46" s="498"/>
      <c r="B46" s="533"/>
      <c r="C46" s="500"/>
      <c r="D46" s="500"/>
      <c r="E46" s="500"/>
      <c r="F46" s="500"/>
      <c r="G46" s="500"/>
      <c r="H46" s="500"/>
      <c r="I46" s="500"/>
      <c r="J46" s="500"/>
      <c r="K46" s="500"/>
      <c r="L46" s="500"/>
      <c r="M46" s="500"/>
      <c r="N46" s="502"/>
      <c r="O46" s="503">
        <f t="shared" si="6"/>
        <v>0</v>
      </c>
      <c r="P46" s="500"/>
      <c r="Q46" s="500"/>
      <c r="R46" s="500"/>
      <c r="S46" s="500"/>
      <c r="T46" s="500"/>
      <c r="U46" s="500"/>
      <c r="V46" s="500"/>
      <c r="W46" s="500"/>
      <c r="X46" s="500"/>
      <c r="Y46" s="500"/>
      <c r="Z46" s="500"/>
      <c r="AA46" s="500"/>
      <c r="AB46" s="503">
        <f t="shared" si="7"/>
        <v>0</v>
      </c>
      <c r="AC46" s="500"/>
      <c r="AD46" s="500"/>
      <c r="AE46" s="498"/>
      <c r="AF46" s="498"/>
      <c r="AG46" s="498"/>
    </row>
    <row r="47" ht="15.0" customHeight="1">
      <c r="A47" s="498"/>
      <c r="B47" s="507" t="s">
        <v>346</v>
      </c>
      <c r="C47" s="500"/>
      <c r="D47" s="500"/>
      <c r="E47" s="500"/>
      <c r="F47" s="500"/>
      <c r="G47" s="500"/>
      <c r="H47" s="500"/>
      <c r="I47" s="500"/>
      <c r="J47" s="500"/>
      <c r="K47" s="500"/>
      <c r="L47" s="500"/>
      <c r="M47" s="500"/>
      <c r="N47" s="502"/>
      <c r="O47" s="503">
        <f t="shared" si="6"/>
        <v>0</v>
      </c>
      <c r="P47" s="500"/>
      <c r="Q47" s="500"/>
      <c r="R47" s="500"/>
      <c r="S47" s="500"/>
      <c r="T47" s="500"/>
      <c r="U47" s="500"/>
      <c r="V47" s="500"/>
      <c r="W47" s="500"/>
      <c r="X47" s="500"/>
      <c r="Y47" s="500"/>
      <c r="Z47" s="500"/>
      <c r="AA47" s="500"/>
      <c r="AB47" s="503">
        <f t="shared" si="7"/>
        <v>0</v>
      </c>
      <c r="AC47" s="504"/>
      <c r="AD47" s="505"/>
      <c r="AE47" s="498"/>
      <c r="AF47" s="498"/>
      <c r="AG47" s="498"/>
    </row>
    <row r="48" ht="15.0" customHeight="1">
      <c r="A48" s="498"/>
      <c r="B48" s="507" t="s">
        <v>347</v>
      </c>
      <c r="C48" s="500">
        <v>470.0</v>
      </c>
      <c r="D48" s="500">
        <v>470.0</v>
      </c>
      <c r="E48" s="500">
        <v>470.0</v>
      </c>
      <c r="F48" s="500">
        <v>470.0</v>
      </c>
      <c r="G48" s="500">
        <v>470.0</v>
      </c>
      <c r="H48" s="500">
        <v>470.0</v>
      </c>
      <c r="I48" s="500">
        <v>470.0</v>
      </c>
      <c r="J48" s="500">
        <v>470.0</v>
      </c>
      <c r="K48" s="500">
        <v>470.0</v>
      </c>
      <c r="L48" s="500">
        <v>470.0</v>
      </c>
      <c r="M48" s="500">
        <v>470.0</v>
      </c>
      <c r="N48" s="502">
        <v>470.0</v>
      </c>
      <c r="O48" s="503">
        <f t="shared" si="6"/>
        <v>5640</v>
      </c>
      <c r="P48" s="514">
        <v>320.0</v>
      </c>
      <c r="Q48" s="514">
        <v>320.0</v>
      </c>
      <c r="R48" s="514">
        <v>320.0</v>
      </c>
      <c r="S48" s="514">
        <v>320.0</v>
      </c>
      <c r="T48" s="514">
        <v>320.0</v>
      </c>
      <c r="U48" s="514">
        <v>320.0</v>
      </c>
      <c r="V48" s="514">
        <v>320.0</v>
      </c>
      <c r="W48" s="514">
        <v>320.0</v>
      </c>
      <c r="X48" s="514">
        <v>320.0</v>
      </c>
      <c r="Y48" s="514">
        <v>320.0</v>
      </c>
      <c r="Z48" s="514">
        <v>320.0</v>
      </c>
      <c r="AA48" s="514">
        <v>320.0</v>
      </c>
      <c r="AB48" s="503">
        <f t="shared" si="7"/>
        <v>3840</v>
      </c>
      <c r="AC48" s="504">
        <v>4000.0</v>
      </c>
      <c r="AD48" s="505">
        <v>4200.0</v>
      </c>
      <c r="AE48" s="498"/>
      <c r="AF48" s="498"/>
      <c r="AG48" s="498"/>
    </row>
    <row r="49" ht="15.0" customHeight="1">
      <c r="A49" s="498"/>
      <c r="B49" s="507"/>
      <c r="C49" s="500"/>
      <c r="D49" s="500"/>
      <c r="E49" s="500"/>
      <c r="F49" s="500"/>
      <c r="G49" s="500"/>
      <c r="H49" s="500"/>
      <c r="I49" s="500"/>
      <c r="J49" s="500"/>
      <c r="K49" s="500"/>
      <c r="L49" s="500"/>
      <c r="M49" s="500"/>
      <c r="N49" s="502"/>
      <c r="O49" s="503">
        <f t="shared" si="6"/>
        <v>0</v>
      </c>
      <c r="P49" s="514"/>
      <c r="Q49" s="500"/>
      <c r="R49" s="500"/>
      <c r="S49" s="500"/>
      <c r="T49" s="500"/>
      <c r="U49" s="500"/>
      <c r="V49" s="500"/>
      <c r="W49" s="500"/>
      <c r="X49" s="500"/>
      <c r="Y49" s="500"/>
      <c r="Z49" s="500"/>
      <c r="AA49" s="508"/>
      <c r="AB49" s="503">
        <f t="shared" si="7"/>
        <v>0</v>
      </c>
      <c r="AC49" s="504"/>
      <c r="AD49" s="505"/>
      <c r="AE49" s="498"/>
      <c r="AF49" s="498"/>
      <c r="AG49" s="498"/>
    </row>
    <row r="50" ht="15.0" customHeight="1">
      <c r="A50" s="498"/>
      <c r="B50" s="534" t="s">
        <v>348</v>
      </c>
      <c r="C50" s="501"/>
      <c r="D50" s="501"/>
      <c r="E50" s="501"/>
      <c r="F50" s="501"/>
      <c r="G50" s="501"/>
      <c r="H50" s="501"/>
      <c r="I50" s="501"/>
      <c r="J50" s="501"/>
      <c r="K50" s="501"/>
      <c r="L50" s="501"/>
      <c r="M50" s="501"/>
      <c r="N50" s="502"/>
      <c r="O50" s="503">
        <f t="shared" si="6"/>
        <v>0</v>
      </c>
      <c r="P50" s="501"/>
      <c r="Q50" s="501"/>
      <c r="R50" s="501"/>
      <c r="S50" s="501"/>
      <c r="T50" s="501"/>
      <c r="U50" s="501"/>
      <c r="V50" s="501"/>
      <c r="W50" s="501"/>
      <c r="X50" s="501"/>
      <c r="Y50" s="501"/>
      <c r="Z50" s="501"/>
      <c r="AA50" s="508"/>
      <c r="AB50" s="503">
        <f t="shared" si="7"/>
        <v>0</v>
      </c>
      <c r="AC50" s="504"/>
      <c r="AD50" s="505"/>
      <c r="AE50" s="498"/>
      <c r="AF50" s="498"/>
      <c r="AG50" s="498"/>
    </row>
    <row r="51" ht="15.0" customHeight="1">
      <c r="A51" s="498"/>
      <c r="B51" s="507" t="s">
        <v>349</v>
      </c>
      <c r="C51" s="500">
        <v>100.0</v>
      </c>
      <c r="D51" s="500"/>
      <c r="E51" s="500"/>
      <c r="F51" s="500"/>
      <c r="G51" s="500"/>
      <c r="H51" s="500"/>
      <c r="I51" s="500"/>
      <c r="J51" s="500"/>
      <c r="K51" s="500"/>
      <c r="L51" s="500"/>
      <c r="M51" s="500"/>
      <c r="N51" s="502"/>
      <c r="O51" s="503">
        <f t="shared" si="6"/>
        <v>100</v>
      </c>
      <c r="P51" s="500">
        <v>150.0</v>
      </c>
      <c r="Q51" s="501"/>
      <c r="R51" s="501"/>
      <c r="S51" s="501"/>
      <c r="T51" s="500"/>
      <c r="U51" s="500"/>
      <c r="V51" s="500"/>
      <c r="W51" s="500"/>
      <c r="X51" s="500"/>
      <c r="Y51" s="500"/>
      <c r="Z51" s="500"/>
      <c r="AA51" s="508"/>
      <c r="AB51" s="523">
        <v>150.0</v>
      </c>
      <c r="AC51" s="504">
        <v>150.0</v>
      </c>
      <c r="AD51" s="505">
        <v>150.0</v>
      </c>
      <c r="AE51" s="498"/>
      <c r="AF51" s="506"/>
      <c r="AG51" s="506"/>
    </row>
    <row r="52" ht="15.0" customHeight="1">
      <c r="A52" s="498"/>
      <c r="B52" s="515" t="s">
        <v>350</v>
      </c>
      <c r="C52" s="501"/>
      <c r="D52" s="501"/>
      <c r="E52" s="501"/>
      <c r="F52" s="501"/>
      <c r="G52" s="501"/>
      <c r="H52" s="501"/>
      <c r="I52" s="501"/>
      <c r="J52" s="501"/>
      <c r="K52" s="501"/>
      <c r="L52" s="501"/>
      <c r="M52" s="501"/>
      <c r="N52" s="502"/>
      <c r="O52" s="503">
        <f t="shared" si="6"/>
        <v>0</v>
      </c>
      <c r="P52" s="501"/>
      <c r="Q52" s="501"/>
      <c r="R52" s="501"/>
      <c r="S52" s="501"/>
      <c r="T52" s="501"/>
      <c r="U52" s="501"/>
      <c r="V52" s="501"/>
      <c r="W52" s="501"/>
      <c r="X52" s="501"/>
      <c r="Y52" s="501"/>
      <c r="Z52" s="501"/>
      <c r="AA52" s="502"/>
      <c r="AB52" s="503">
        <f t="shared" ref="AB52:AB57" si="8">SUM(P52:AA52)</f>
        <v>0</v>
      </c>
      <c r="AC52" s="504"/>
      <c r="AD52" s="505"/>
      <c r="AE52" s="498"/>
      <c r="AF52" s="498"/>
      <c r="AG52" s="498"/>
    </row>
    <row r="53" ht="15.0" customHeight="1">
      <c r="A53" s="498"/>
      <c r="B53" s="535" t="s">
        <v>351</v>
      </c>
      <c r="C53" s="500">
        <v>26.08</v>
      </c>
      <c r="D53" s="500">
        <v>26.08</v>
      </c>
      <c r="E53" s="500">
        <v>26.08</v>
      </c>
      <c r="F53" s="500">
        <v>26.08</v>
      </c>
      <c r="G53" s="500">
        <v>26.08</v>
      </c>
      <c r="H53" s="500">
        <v>26.08</v>
      </c>
      <c r="I53" s="500">
        <v>26.08</v>
      </c>
      <c r="J53" s="500">
        <v>26.08</v>
      </c>
      <c r="K53" s="500">
        <v>26.08</v>
      </c>
      <c r="L53" s="500">
        <v>26.08</v>
      </c>
      <c r="M53" s="500">
        <v>26.08</v>
      </c>
      <c r="N53" s="502">
        <v>26.08</v>
      </c>
      <c r="O53" s="503">
        <f t="shared" si="6"/>
        <v>312.96</v>
      </c>
      <c r="P53" s="500">
        <v>26.0</v>
      </c>
      <c r="Q53" s="500">
        <v>26.0</v>
      </c>
      <c r="R53" s="500">
        <v>26.0</v>
      </c>
      <c r="S53" s="500">
        <v>26.0</v>
      </c>
      <c r="T53" s="500">
        <v>26.0</v>
      </c>
      <c r="U53" s="500">
        <v>26.0</v>
      </c>
      <c r="V53" s="500">
        <v>26.0</v>
      </c>
      <c r="W53" s="500">
        <v>26.0</v>
      </c>
      <c r="X53" s="500">
        <v>26.0</v>
      </c>
      <c r="Y53" s="500">
        <v>26.0</v>
      </c>
      <c r="Z53" s="500">
        <v>26.0</v>
      </c>
      <c r="AA53" s="500">
        <v>26.0</v>
      </c>
      <c r="AB53" s="503">
        <f t="shared" si="8"/>
        <v>312</v>
      </c>
      <c r="AC53" s="504">
        <v>320.0</v>
      </c>
      <c r="AD53" s="505">
        <v>330.0</v>
      </c>
      <c r="AE53" s="498"/>
      <c r="AF53" s="498"/>
      <c r="AG53" s="498"/>
    </row>
    <row r="54" ht="15.0" customHeight="1">
      <c r="A54" s="498"/>
      <c r="B54" s="535" t="s">
        <v>352</v>
      </c>
      <c r="C54" s="501"/>
      <c r="D54" s="501"/>
      <c r="E54" s="501"/>
      <c r="F54" s="501"/>
      <c r="G54" s="501"/>
      <c r="H54" s="501"/>
      <c r="I54" s="501"/>
      <c r="J54" s="501"/>
      <c r="K54" s="501"/>
      <c r="L54" s="501"/>
      <c r="M54" s="501"/>
      <c r="N54" s="502"/>
      <c r="O54" s="503">
        <f t="shared" si="6"/>
        <v>0</v>
      </c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  <c r="AB54" s="503">
        <f t="shared" si="8"/>
        <v>0</v>
      </c>
      <c r="AC54" s="504"/>
      <c r="AD54" s="505"/>
      <c r="AE54" s="498"/>
      <c r="AF54" s="498"/>
      <c r="AG54" s="498"/>
    </row>
    <row r="55" ht="15.0" customHeight="1">
      <c r="A55" s="498"/>
      <c r="B55" s="535" t="s">
        <v>353</v>
      </c>
      <c r="C55" s="500"/>
      <c r="D55" s="501"/>
      <c r="E55" s="501"/>
      <c r="F55" s="501"/>
      <c r="G55" s="501"/>
      <c r="H55" s="501"/>
      <c r="I55" s="501"/>
      <c r="J55" s="501"/>
      <c r="K55" s="501"/>
      <c r="L55" s="501"/>
      <c r="M55" s="501"/>
      <c r="N55" s="502">
        <v>1350.0</v>
      </c>
      <c r="O55" s="503">
        <f t="shared" si="6"/>
        <v>1350</v>
      </c>
      <c r="P55" s="501"/>
      <c r="Q55" s="501"/>
      <c r="R55" s="501"/>
      <c r="S55" s="501"/>
      <c r="T55" s="501"/>
      <c r="U55" s="501"/>
      <c r="V55" s="501"/>
      <c r="W55" s="501"/>
      <c r="X55" s="501"/>
      <c r="Y55" s="501"/>
      <c r="Z55" s="501"/>
      <c r="AA55" s="508">
        <v>1350.0</v>
      </c>
      <c r="AB55" s="503">
        <f t="shared" si="8"/>
        <v>1350</v>
      </c>
      <c r="AC55" s="504">
        <v>1350.0</v>
      </c>
      <c r="AD55" s="505">
        <v>1350.0</v>
      </c>
      <c r="AE55" s="498"/>
      <c r="AF55" s="498"/>
      <c r="AG55" s="498"/>
    </row>
    <row r="56" ht="15.0" customHeight="1">
      <c r="A56" s="498"/>
      <c r="B56" s="507" t="s">
        <v>354</v>
      </c>
      <c r="C56" s="500"/>
      <c r="D56" s="500"/>
      <c r="E56" s="500"/>
      <c r="F56" s="500"/>
      <c r="G56" s="500"/>
      <c r="H56" s="500"/>
      <c r="I56" s="500"/>
      <c r="J56" s="500"/>
      <c r="K56" s="500"/>
      <c r="L56" s="500"/>
      <c r="M56" s="500"/>
      <c r="N56" s="502">
        <v>100.0</v>
      </c>
      <c r="O56" s="503">
        <f t="shared" si="6"/>
        <v>100</v>
      </c>
      <c r="P56" s="501"/>
      <c r="Q56" s="501"/>
      <c r="R56" s="501"/>
      <c r="S56" s="501"/>
      <c r="T56" s="501"/>
      <c r="U56" s="501"/>
      <c r="V56" s="501"/>
      <c r="W56" s="501"/>
      <c r="X56" s="501"/>
      <c r="Y56" s="501"/>
      <c r="Z56" s="501"/>
      <c r="AA56" s="508">
        <v>100.0</v>
      </c>
      <c r="AB56" s="503">
        <f t="shared" si="8"/>
        <v>100</v>
      </c>
      <c r="AC56" s="504">
        <v>100.0</v>
      </c>
      <c r="AD56" s="505">
        <v>100.0</v>
      </c>
      <c r="AE56" s="498"/>
      <c r="AF56" s="498"/>
      <c r="AG56" s="498"/>
    </row>
    <row r="57" ht="15.0" customHeight="1">
      <c r="A57" s="498"/>
      <c r="B57" s="524" t="s">
        <v>355</v>
      </c>
      <c r="C57" s="500"/>
      <c r="D57" s="501"/>
      <c r="E57" s="501"/>
      <c r="F57" s="501"/>
      <c r="G57" s="501"/>
      <c r="H57" s="501"/>
      <c r="I57" s="501"/>
      <c r="J57" s="501"/>
      <c r="K57" s="501"/>
      <c r="L57" s="501"/>
      <c r="M57" s="501"/>
      <c r="N57" s="502"/>
      <c r="O57" s="503">
        <f t="shared" si="6"/>
        <v>0</v>
      </c>
      <c r="P57" s="501"/>
      <c r="Q57" s="501"/>
      <c r="R57" s="501"/>
      <c r="S57" s="501"/>
      <c r="T57" s="501"/>
      <c r="U57" s="501"/>
      <c r="V57" s="501"/>
      <c r="W57" s="501"/>
      <c r="X57" s="501"/>
      <c r="Y57" s="501"/>
      <c r="Z57" s="501"/>
      <c r="AA57" s="502"/>
      <c r="AB57" s="503">
        <f t="shared" si="8"/>
        <v>0</v>
      </c>
      <c r="AC57" s="504"/>
      <c r="AD57" s="505"/>
      <c r="AE57" s="498"/>
      <c r="AF57" s="498"/>
      <c r="AG57" s="498"/>
    </row>
    <row r="58" ht="15.0" customHeight="1">
      <c r="A58" s="498"/>
      <c r="B58" s="517" t="s">
        <v>356</v>
      </c>
      <c r="C58" s="500">
        <v>56.0</v>
      </c>
      <c r="D58" s="500">
        <v>56.0</v>
      </c>
      <c r="E58" s="500">
        <v>56.0</v>
      </c>
      <c r="F58" s="500">
        <v>56.0</v>
      </c>
      <c r="G58" s="500">
        <v>56.0</v>
      </c>
      <c r="H58" s="500">
        <v>56.0</v>
      </c>
      <c r="I58" s="500">
        <v>56.0</v>
      </c>
      <c r="J58" s="500">
        <v>56.0</v>
      </c>
      <c r="K58" s="500">
        <v>56.0</v>
      </c>
      <c r="L58" s="500">
        <v>56.0</v>
      </c>
      <c r="M58" s="500">
        <v>56.0</v>
      </c>
      <c r="N58" s="502">
        <v>56.0</v>
      </c>
      <c r="O58" s="503">
        <f t="shared" si="6"/>
        <v>672</v>
      </c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8"/>
      <c r="AB58" s="523">
        <v>800.0</v>
      </c>
      <c r="AC58" s="504">
        <v>900.0</v>
      </c>
      <c r="AD58" s="505">
        <v>900.0</v>
      </c>
      <c r="AE58" s="498"/>
      <c r="AF58" s="498"/>
      <c r="AG58" s="498"/>
    </row>
    <row r="59" ht="15.0" customHeight="1">
      <c r="A59" s="498"/>
      <c r="B59" s="535"/>
      <c r="C59" s="501"/>
      <c r="D59" s="501"/>
      <c r="E59" s="501"/>
      <c r="F59" s="501"/>
      <c r="G59" s="501"/>
      <c r="H59" s="501"/>
      <c r="I59" s="501"/>
      <c r="J59" s="501"/>
      <c r="K59" s="501"/>
      <c r="L59" s="501"/>
      <c r="M59" s="501"/>
      <c r="N59" s="502"/>
      <c r="O59" s="503">
        <f t="shared" si="6"/>
        <v>0</v>
      </c>
      <c r="P59" s="501"/>
      <c r="Q59" s="501"/>
      <c r="R59" s="501"/>
      <c r="S59" s="501"/>
      <c r="T59" s="501"/>
      <c r="U59" s="501"/>
      <c r="V59" s="501"/>
      <c r="W59" s="501"/>
      <c r="X59" s="501"/>
      <c r="Y59" s="501"/>
      <c r="Z59" s="501"/>
      <c r="AA59" s="508"/>
      <c r="AB59" s="503">
        <f t="shared" ref="AB59:AB64" si="9">SUM(P59:AA59)</f>
        <v>0</v>
      </c>
      <c r="AC59" s="504"/>
      <c r="AD59" s="505"/>
      <c r="AE59" s="498"/>
      <c r="AF59" s="498"/>
      <c r="AG59" s="498"/>
    </row>
    <row r="60" ht="15.0" customHeight="1">
      <c r="A60" s="498"/>
      <c r="B60" s="507"/>
      <c r="C60" s="500"/>
      <c r="D60" s="501"/>
      <c r="E60" s="501"/>
      <c r="F60" s="501"/>
      <c r="G60" s="501"/>
      <c r="H60" s="501"/>
      <c r="I60" s="501"/>
      <c r="J60" s="501"/>
      <c r="K60" s="501"/>
      <c r="L60" s="501"/>
      <c r="M60" s="501"/>
      <c r="N60" s="502"/>
      <c r="O60" s="503">
        <f t="shared" si="6"/>
        <v>0</v>
      </c>
      <c r="P60" s="501"/>
      <c r="Q60" s="501"/>
      <c r="R60" s="501"/>
      <c r="S60" s="501"/>
      <c r="T60" s="501"/>
      <c r="U60" s="501"/>
      <c r="V60" s="501"/>
      <c r="W60" s="501"/>
      <c r="X60" s="501"/>
      <c r="Y60" s="501"/>
      <c r="Z60" s="501"/>
      <c r="AA60" s="508"/>
      <c r="AB60" s="503">
        <f t="shared" si="9"/>
        <v>0</v>
      </c>
      <c r="AC60" s="504"/>
      <c r="AD60" s="505"/>
      <c r="AE60" s="498"/>
      <c r="AF60" s="498"/>
      <c r="AG60" s="498"/>
    </row>
    <row r="61" ht="15.0" customHeight="1">
      <c r="A61" s="498"/>
      <c r="B61" s="534" t="s">
        <v>357</v>
      </c>
      <c r="C61" s="500"/>
      <c r="D61" s="501"/>
      <c r="E61" s="501"/>
      <c r="F61" s="501"/>
      <c r="G61" s="501"/>
      <c r="H61" s="501"/>
      <c r="I61" s="501"/>
      <c r="J61" s="501"/>
      <c r="K61" s="501"/>
      <c r="L61" s="501"/>
      <c r="M61" s="501"/>
      <c r="N61" s="502"/>
      <c r="O61" s="503">
        <f t="shared" si="6"/>
        <v>0</v>
      </c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8"/>
      <c r="AB61" s="503">
        <f t="shared" si="9"/>
        <v>0</v>
      </c>
      <c r="AC61" s="504">
        <v>0.0</v>
      </c>
      <c r="AD61" s="505">
        <v>0.0</v>
      </c>
      <c r="AE61" s="498"/>
      <c r="AF61" s="498"/>
      <c r="AG61" s="498"/>
    </row>
    <row r="62" ht="15.0" customHeight="1">
      <c r="A62" s="498"/>
      <c r="B62" s="524" t="s">
        <v>358</v>
      </c>
      <c r="C62" s="500"/>
      <c r="D62" s="501"/>
      <c r="E62" s="501"/>
      <c r="F62" s="501"/>
      <c r="G62" s="501"/>
      <c r="H62" s="501"/>
      <c r="I62" s="501"/>
      <c r="J62" s="501"/>
      <c r="K62" s="501"/>
      <c r="L62" s="501"/>
      <c r="M62" s="501"/>
      <c r="N62" s="502"/>
      <c r="O62" s="503">
        <f t="shared" si="6"/>
        <v>0</v>
      </c>
      <c r="P62" s="500">
        <v>1000.0</v>
      </c>
      <c r="Q62" s="501"/>
      <c r="R62" s="501"/>
      <c r="S62" s="501"/>
      <c r="T62" s="501"/>
      <c r="U62" s="501"/>
      <c r="V62" s="501"/>
      <c r="W62" s="501"/>
      <c r="X62" s="501"/>
      <c r="Y62" s="501"/>
      <c r="Z62" s="501"/>
      <c r="AA62" s="508"/>
      <c r="AB62" s="503">
        <f t="shared" si="9"/>
        <v>1000</v>
      </c>
      <c r="AC62" s="504">
        <v>1000.0</v>
      </c>
      <c r="AD62" s="505">
        <v>1000.0</v>
      </c>
      <c r="AE62" s="498"/>
      <c r="AF62" s="498"/>
      <c r="AG62" s="498"/>
    </row>
    <row r="63" ht="15.0" customHeight="1">
      <c r="A63" s="498"/>
      <c r="B63" s="524" t="s">
        <v>359</v>
      </c>
      <c r="C63" s="500"/>
      <c r="D63" s="501"/>
      <c r="E63" s="501"/>
      <c r="F63" s="501"/>
      <c r="G63" s="501"/>
      <c r="H63" s="501"/>
      <c r="I63" s="501"/>
      <c r="J63" s="501"/>
      <c r="K63" s="501"/>
      <c r="L63" s="501"/>
      <c r="M63" s="501"/>
      <c r="N63" s="502"/>
      <c r="O63" s="503">
        <f t="shared" si="6"/>
        <v>0</v>
      </c>
      <c r="P63" s="500">
        <v>1000.0</v>
      </c>
      <c r="Q63" s="501"/>
      <c r="R63" s="501"/>
      <c r="S63" s="501"/>
      <c r="T63" s="501"/>
      <c r="U63" s="501"/>
      <c r="V63" s="501"/>
      <c r="W63" s="501"/>
      <c r="X63" s="501"/>
      <c r="Y63" s="501"/>
      <c r="Z63" s="501"/>
      <c r="AA63" s="508"/>
      <c r="AB63" s="503">
        <f t="shared" si="9"/>
        <v>1000</v>
      </c>
      <c r="AC63" s="504">
        <v>1000.0</v>
      </c>
      <c r="AD63" s="505">
        <v>1000.0</v>
      </c>
      <c r="AE63" s="498"/>
      <c r="AF63" s="498"/>
      <c r="AG63" s="498"/>
    </row>
    <row r="64" ht="15.0" customHeight="1">
      <c r="A64" s="498"/>
      <c r="B64" s="524" t="s">
        <v>360</v>
      </c>
      <c r="C64" s="500"/>
      <c r="D64" s="501"/>
      <c r="E64" s="501"/>
      <c r="F64" s="501"/>
      <c r="G64" s="501"/>
      <c r="H64" s="501"/>
      <c r="I64" s="501"/>
      <c r="J64" s="501"/>
      <c r="K64" s="501"/>
      <c r="L64" s="501"/>
      <c r="M64" s="501"/>
      <c r="N64" s="502"/>
      <c r="O64" s="503">
        <f t="shared" si="6"/>
        <v>0</v>
      </c>
      <c r="P64" s="500">
        <v>200.0</v>
      </c>
      <c r="Q64" s="501"/>
      <c r="R64" s="501"/>
      <c r="S64" s="501"/>
      <c r="T64" s="501"/>
      <c r="U64" s="501"/>
      <c r="V64" s="501"/>
      <c r="W64" s="501"/>
      <c r="X64" s="501"/>
      <c r="Y64" s="501"/>
      <c r="Z64" s="501"/>
      <c r="AA64" s="508"/>
      <c r="AB64" s="503">
        <f t="shared" si="9"/>
        <v>200</v>
      </c>
      <c r="AC64" s="504"/>
      <c r="AD64" s="505"/>
      <c r="AE64" s="498"/>
      <c r="AF64" s="498"/>
      <c r="AG64" s="498"/>
    </row>
    <row r="65" ht="15.0" customHeight="1">
      <c r="A65" s="498"/>
      <c r="B65" s="524" t="s">
        <v>361</v>
      </c>
      <c r="C65" s="500"/>
      <c r="D65" s="501"/>
      <c r="E65" s="501"/>
      <c r="F65" s="501"/>
      <c r="G65" s="501"/>
      <c r="H65" s="501"/>
      <c r="I65" s="501"/>
      <c r="J65" s="501"/>
      <c r="K65" s="501"/>
      <c r="L65" s="501"/>
      <c r="M65" s="501"/>
      <c r="N65" s="502"/>
      <c r="O65" s="503">
        <f t="shared" si="6"/>
        <v>0</v>
      </c>
      <c r="P65" s="500">
        <v>400.0</v>
      </c>
      <c r="Q65" s="501"/>
      <c r="R65" s="501"/>
      <c r="S65" s="501"/>
      <c r="T65" s="501"/>
      <c r="U65" s="501"/>
      <c r="V65" s="501"/>
      <c r="W65" s="501"/>
      <c r="X65" s="501"/>
      <c r="Y65" s="501"/>
      <c r="Z65" s="501"/>
      <c r="AA65" s="508"/>
      <c r="AB65" s="503"/>
      <c r="AC65" s="504"/>
      <c r="AD65" s="505"/>
      <c r="AE65" s="498"/>
      <c r="AF65" s="498"/>
      <c r="AG65" s="498"/>
    </row>
    <row r="66" ht="15.0" customHeight="1">
      <c r="A66" s="498"/>
      <c r="B66" s="527"/>
      <c r="C66" s="501"/>
      <c r="D66" s="501"/>
      <c r="E66" s="501"/>
      <c r="F66" s="501"/>
      <c r="G66" s="501"/>
      <c r="H66" s="501"/>
      <c r="I66" s="501"/>
      <c r="J66" s="501"/>
      <c r="K66" s="501"/>
      <c r="L66" s="501"/>
      <c r="M66" s="501"/>
      <c r="N66" s="502"/>
      <c r="O66" s="503">
        <f t="shared" si="6"/>
        <v>0</v>
      </c>
      <c r="P66" s="501"/>
      <c r="Q66" s="501"/>
      <c r="R66" s="501"/>
      <c r="S66" s="501"/>
      <c r="T66" s="501"/>
      <c r="U66" s="501"/>
      <c r="V66" s="501"/>
      <c r="W66" s="501"/>
      <c r="X66" s="501"/>
      <c r="Y66" s="501"/>
      <c r="Z66" s="501"/>
      <c r="AA66" s="508"/>
      <c r="AB66" s="503">
        <f t="shared" ref="AB66:AB93" si="10">SUM(P66:AA66)</f>
        <v>0</v>
      </c>
      <c r="AC66" s="504"/>
      <c r="AD66" s="505"/>
      <c r="AE66" s="498"/>
      <c r="AF66" s="498"/>
      <c r="AG66" s="498"/>
    </row>
    <row r="67" ht="15.0" customHeight="1">
      <c r="A67" s="498"/>
      <c r="B67" s="507"/>
      <c r="C67" s="501"/>
      <c r="D67" s="501"/>
      <c r="E67" s="501"/>
      <c r="F67" s="501"/>
      <c r="G67" s="501"/>
      <c r="H67" s="501"/>
      <c r="I67" s="501"/>
      <c r="J67" s="501"/>
      <c r="K67" s="501"/>
      <c r="L67" s="501"/>
      <c r="M67" s="501"/>
      <c r="N67" s="502"/>
      <c r="O67" s="503">
        <f t="shared" si="6"/>
        <v>0</v>
      </c>
      <c r="P67" s="501"/>
      <c r="Q67" s="501"/>
      <c r="R67" s="501"/>
      <c r="S67" s="501"/>
      <c r="T67" s="501"/>
      <c r="U67" s="501"/>
      <c r="V67" s="501"/>
      <c r="W67" s="501"/>
      <c r="X67" s="501"/>
      <c r="Y67" s="501"/>
      <c r="Z67" s="501"/>
      <c r="AA67" s="508"/>
      <c r="AB67" s="503">
        <f t="shared" si="10"/>
        <v>0</v>
      </c>
      <c r="AC67" s="504"/>
      <c r="AD67" s="505"/>
      <c r="AE67" s="498"/>
      <c r="AF67" s="498"/>
      <c r="AG67" s="498"/>
    </row>
    <row r="68" ht="15.0" customHeight="1">
      <c r="A68" s="498"/>
      <c r="B68" s="507"/>
      <c r="C68" s="501"/>
      <c r="D68" s="501"/>
      <c r="E68" s="501"/>
      <c r="F68" s="501"/>
      <c r="G68" s="501"/>
      <c r="H68" s="501"/>
      <c r="I68" s="501"/>
      <c r="J68" s="501"/>
      <c r="K68" s="501"/>
      <c r="L68" s="501"/>
      <c r="M68" s="501"/>
      <c r="N68" s="502"/>
      <c r="O68" s="503">
        <f t="shared" si="6"/>
        <v>0</v>
      </c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8"/>
      <c r="AB68" s="503">
        <f t="shared" si="10"/>
        <v>0</v>
      </c>
      <c r="AC68" s="504"/>
      <c r="AD68" s="505"/>
      <c r="AE68" s="498"/>
      <c r="AF68" s="498"/>
      <c r="AG68" s="498"/>
    </row>
    <row r="69" ht="15.0" customHeight="1">
      <c r="A69" s="498"/>
      <c r="B69" s="534" t="s">
        <v>362</v>
      </c>
      <c r="C69" s="501"/>
      <c r="D69" s="501"/>
      <c r="E69" s="501"/>
      <c r="F69" s="501"/>
      <c r="G69" s="501"/>
      <c r="H69" s="501"/>
      <c r="I69" s="501"/>
      <c r="J69" s="501"/>
      <c r="K69" s="501"/>
      <c r="L69" s="501"/>
      <c r="M69" s="501"/>
      <c r="N69" s="502"/>
      <c r="O69" s="503">
        <f t="shared" si="6"/>
        <v>0</v>
      </c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8"/>
      <c r="AB69" s="503">
        <f t="shared" si="10"/>
        <v>0</v>
      </c>
      <c r="AC69" s="504"/>
      <c r="AD69" s="505"/>
      <c r="AE69" s="498"/>
      <c r="AF69" s="498"/>
      <c r="AG69" s="498"/>
    </row>
    <row r="70" ht="15.0" customHeight="1">
      <c r="A70" s="498"/>
      <c r="B70" s="507"/>
      <c r="C70" s="500"/>
      <c r="D70" s="501"/>
      <c r="E70" s="501"/>
      <c r="F70" s="501"/>
      <c r="G70" s="501"/>
      <c r="H70" s="501"/>
      <c r="I70" s="501"/>
      <c r="J70" s="501"/>
      <c r="K70" s="501"/>
      <c r="L70" s="501"/>
      <c r="M70" s="501"/>
      <c r="N70" s="502"/>
      <c r="O70" s="503">
        <f t="shared" si="6"/>
        <v>0</v>
      </c>
      <c r="P70" s="501"/>
      <c r="Q70" s="501"/>
      <c r="R70" s="501"/>
      <c r="S70" s="501"/>
      <c r="T70" s="501"/>
      <c r="U70" s="501"/>
      <c r="V70" s="501"/>
      <c r="W70" s="501"/>
      <c r="X70" s="501"/>
      <c r="Y70" s="501"/>
      <c r="Z70" s="501"/>
      <c r="AA70" s="508"/>
      <c r="AB70" s="503">
        <f t="shared" si="10"/>
        <v>0</v>
      </c>
      <c r="AC70" s="504"/>
      <c r="AD70" s="505"/>
      <c r="AE70" s="498"/>
      <c r="AF70" s="498"/>
      <c r="AG70" s="498"/>
    </row>
    <row r="71" ht="15.0" customHeight="1">
      <c r="A71" s="498"/>
      <c r="B71" s="507" t="s">
        <v>320</v>
      </c>
      <c r="C71" s="500">
        <v>159.0</v>
      </c>
      <c r="D71" s="500">
        <v>159.0</v>
      </c>
      <c r="E71" s="500">
        <v>159.0</v>
      </c>
      <c r="F71" s="500">
        <v>159.0</v>
      </c>
      <c r="G71" s="500">
        <v>159.0</v>
      </c>
      <c r="H71" s="500">
        <v>159.0</v>
      </c>
      <c r="I71" s="500">
        <v>159.0</v>
      </c>
      <c r="J71" s="500">
        <v>159.0</v>
      </c>
      <c r="K71" s="500">
        <v>159.0</v>
      </c>
      <c r="L71" s="500">
        <v>159.0</v>
      </c>
      <c r="M71" s="500">
        <v>159.0</v>
      </c>
      <c r="N71" s="502">
        <v>159.0</v>
      </c>
      <c r="O71" s="503">
        <f t="shared" si="6"/>
        <v>1908</v>
      </c>
      <c r="P71" s="500">
        <v>159.0</v>
      </c>
      <c r="Q71" s="500">
        <v>159.0</v>
      </c>
      <c r="R71" s="500">
        <v>159.0</v>
      </c>
      <c r="S71" s="500">
        <v>159.0</v>
      </c>
      <c r="T71" s="500">
        <v>159.0</v>
      </c>
      <c r="U71" s="500">
        <v>159.0</v>
      </c>
      <c r="V71" s="500">
        <v>159.0</v>
      </c>
      <c r="W71" s="500">
        <v>159.0</v>
      </c>
      <c r="X71" s="500">
        <v>159.0</v>
      </c>
      <c r="Y71" s="500">
        <v>159.0</v>
      </c>
      <c r="Z71" s="500">
        <v>159.0</v>
      </c>
      <c r="AA71" s="500">
        <v>159.0</v>
      </c>
      <c r="AB71" s="503">
        <f t="shared" si="10"/>
        <v>1908</v>
      </c>
      <c r="AC71" s="504">
        <v>2000.0</v>
      </c>
      <c r="AD71" s="505">
        <v>2200.0</v>
      </c>
      <c r="AE71" s="498"/>
      <c r="AF71" s="498"/>
      <c r="AG71" s="498"/>
    </row>
    <row r="72" ht="15.0" customHeight="1">
      <c r="A72" s="498"/>
      <c r="B72" s="536" t="s">
        <v>363</v>
      </c>
      <c r="C72" s="500">
        <v>14.0</v>
      </c>
      <c r="D72" s="500">
        <v>14.0</v>
      </c>
      <c r="E72" s="500">
        <v>14.0</v>
      </c>
      <c r="F72" s="500">
        <v>14.0</v>
      </c>
      <c r="G72" s="500">
        <v>14.0</v>
      </c>
      <c r="H72" s="500">
        <v>14.0</v>
      </c>
      <c r="I72" s="500">
        <v>14.0</v>
      </c>
      <c r="J72" s="500">
        <v>14.0</v>
      </c>
      <c r="K72" s="500">
        <v>14.0</v>
      </c>
      <c r="L72" s="500">
        <v>14.0</v>
      </c>
      <c r="M72" s="500">
        <v>14.0</v>
      </c>
      <c r="N72" s="502">
        <v>14.0</v>
      </c>
      <c r="O72" s="503">
        <f t="shared" si="6"/>
        <v>168</v>
      </c>
      <c r="P72" s="500">
        <v>14.0</v>
      </c>
      <c r="Q72" s="500">
        <v>14.0</v>
      </c>
      <c r="R72" s="500">
        <v>14.0</v>
      </c>
      <c r="S72" s="500">
        <v>14.0</v>
      </c>
      <c r="T72" s="500">
        <v>14.0</v>
      </c>
      <c r="U72" s="500">
        <v>14.0</v>
      </c>
      <c r="V72" s="500">
        <v>14.0</v>
      </c>
      <c r="W72" s="500">
        <v>14.0</v>
      </c>
      <c r="X72" s="500">
        <v>14.0</v>
      </c>
      <c r="Y72" s="500">
        <v>14.0</v>
      </c>
      <c r="Z72" s="500">
        <v>14.0</v>
      </c>
      <c r="AA72" s="500">
        <v>14.0</v>
      </c>
      <c r="AB72" s="503">
        <f t="shared" si="10"/>
        <v>168</v>
      </c>
      <c r="AC72" s="504">
        <v>168.0</v>
      </c>
      <c r="AD72" s="505">
        <v>168.0</v>
      </c>
      <c r="AE72" s="498"/>
      <c r="AF72" s="498"/>
      <c r="AG72" s="498"/>
    </row>
    <row r="73" ht="15.0" customHeight="1">
      <c r="A73" s="498"/>
      <c r="B73" s="507" t="s">
        <v>364</v>
      </c>
      <c r="C73" s="500">
        <v>60.0</v>
      </c>
      <c r="D73" s="500">
        <v>60.0</v>
      </c>
      <c r="E73" s="500">
        <v>60.0</v>
      </c>
      <c r="F73" s="500">
        <v>60.0</v>
      </c>
      <c r="G73" s="500">
        <v>60.0</v>
      </c>
      <c r="H73" s="500">
        <v>60.0</v>
      </c>
      <c r="I73" s="500">
        <v>60.0</v>
      </c>
      <c r="J73" s="500">
        <v>60.0</v>
      </c>
      <c r="K73" s="500">
        <v>60.0</v>
      </c>
      <c r="L73" s="500">
        <v>60.0</v>
      </c>
      <c r="M73" s="500">
        <v>60.0</v>
      </c>
      <c r="N73" s="502">
        <v>60.0</v>
      </c>
      <c r="O73" s="503">
        <f t="shared" si="6"/>
        <v>720</v>
      </c>
      <c r="P73" s="500">
        <v>60.0</v>
      </c>
      <c r="Q73" s="500">
        <v>60.0</v>
      </c>
      <c r="R73" s="500">
        <v>60.0</v>
      </c>
      <c r="S73" s="500">
        <v>60.0</v>
      </c>
      <c r="T73" s="500">
        <v>60.0</v>
      </c>
      <c r="U73" s="500">
        <v>60.0</v>
      </c>
      <c r="V73" s="500">
        <v>60.0</v>
      </c>
      <c r="W73" s="500">
        <v>60.0</v>
      </c>
      <c r="X73" s="500">
        <v>60.0</v>
      </c>
      <c r="Y73" s="500">
        <v>60.0</v>
      </c>
      <c r="Z73" s="500">
        <v>60.0</v>
      </c>
      <c r="AA73" s="500">
        <v>60.0</v>
      </c>
      <c r="AB73" s="503">
        <f t="shared" si="10"/>
        <v>720</v>
      </c>
      <c r="AC73" s="504">
        <v>720.0</v>
      </c>
      <c r="AD73" s="505">
        <v>720.0</v>
      </c>
      <c r="AE73" s="498"/>
      <c r="AF73" s="498"/>
      <c r="AG73" s="498"/>
    </row>
    <row r="74" ht="15.0" customHeight="1">
      <c r="A74" s="498"/>
      <c r="B74" s="507" t="s">
        <v>365</v>
      </c>
      <c r="C74" s="500"/>
      <c r="D74" s="500"/>
      <c r="E74" s="500"/>
      <c r="F74" s="500"/>
      <c r="G74" s="500"/>
      <c r="H74" s="500"/>
      <c r="I74" s="500"/>
      <c r="J74" s="500"/>
      <c r="K74" s="500"/>
      <c r="L74" s="500"/>
      <c r="M74" s="500"/>
      <c r="N74" s="502"/>
      <c r="O74" s="503">
        <f t="shared" si="6"/>
        <v>0</v>
      </c>
      <c r="P74" s="500">
        <v>110.0</v>
      </c>
      <c r="Q74" s="500">
        <v>110.0</v>
      </c>
      <c r="R74" s="500">
        <v>110.0</v>
      </c>
      <c r="S74" s="500">
        <v>110.0</v>
      </c>
      <c r="T74" s="500">
        <v>110.0</v>
      </c>
      <c r="U74" s="500">
        <v>110.0</v>
      </c>
      <c r="V74" s="500">
        <v>110.0</v>
      </c>
      <c r="W74" s="500">
        <v>110.0</v>
      </c>
      <c r="X74" s="500">
        <v>110.0</v>
      </c>
      <c r="Y74" s="500">
        <v>110.0</v>
      </c>
      <c r="Z74" s="500">
        <v>110.0</v>
      </c>
      <c r="AA74" s="500">
        <v>110.0</v>
      </c>
      <c r="AB74" s="503">
        <f t="shared" si="10"/>
        <v>1320</v>
      </c>
      <c r="AC74" s="504">
        <v>1360.0</v>
      </c>
      <c r="AD74" s="505">
        <v>1360.0</v>
      </c>
      <c r="AE74" s="498"/>
      <c r="AF74" s="498"/>
      <c r="AG74" s="498"/>
    </row>
    <row r="75" ht="15.0" customHeight="1">
      <c r="A75" s="498"/>
      <c r="B75" s="534" t="s">
        <v>366</v>
      </c>
      <c r="C75" s="501"/>
      <c r="D75" s="501"/>
      <c r="E75" s="501"/>
      <c r="F75" s="501"/>
      <c r="G75" s="501"/>
      <c r="H75" s="501"/>
      <c r="I75" s="501"/>
      <c r="J75" s="501"/>
      <c r="K75" s="501"/>
      <c r="L75" s="500"/>
      <c r="M75" s="500"/>
      <c r="N75" s="502"/>
      <c r="O75" s="503">
        <f t="shared" si="6"/>
        <v>0</v>
      </c>
      <c r="P75" s="501"/>
      <c r="Q75" s="501"/>
      <c r="R75" s="501"/>
      <c r="S75" s="501"/>
      <c r="T75" s="501"/>
      <c r="U75" s="501"/>
      <c r="V75" s="501"/>
      <c r="W75" s="501"/>
      <c r="X75" s="501"/>
      <c r="Y75" s="501"/>
      <c r="Z75" s="501"/>
      <c r="AA75" s="502"/>
      <c r="AB75" s="503">
        <f t="shared" si="10"/>
        <v>0</v>
      </c>
      <c r="AC75" s="504"/>
      <c r="AD75" s="505"/>
      <c r="AE75" s="498"/>
      <c r="AF75" s="498"/>
      <c r="AG75" s="498"/>
    </row>
    <row r="76" ht="15.0" customHeight="1">
      <c r="A76" s="498"/>
      <c r="B76" s="507" t="s">
        <v>367</v>
      </c>
      <c r="C76" s="500"/>
      <c r="D76" s="501"/>
      <c r="E76" s="501"/>
      <c r="F76" s="501"/>
      <c r="G76" s="501"/>
      <c r="H76" s="501"/>
      <c r="I76" s="501"/>
      <c r="J76" s="501"/>
      <c r="K76" s="501"/>
      <c r="L76" s="500"/>
      <c r="M76" s="500"/>
      <c r="N76" s="502">
        <v>400.0</v>
      </c>
      <c r="O76" s="503">
        <f t="shared" si="6"/>
        <v>400</v>
      </c>
      <c r="P76" s="501"/>
      <c r="Q76" s="501"/>
      <c r="R76" s="501"/>
      <c r="S76" s="501"/>
      <c r="T76" s="501"/>
      <c r="U76" s="501"/>
      <c r="V76" s="501"/>
      <c r="W76" s="501"/>
      <c r="X76" s="501"/>
      <c r="Y76" s="501"/>
      <c r="Z76" s="501"/>
      <c r="AA76" s="508">
        <v>400.0</v>
      </c>
      <c r="AB76" s="503">
        <f t="shared" si="10"/>
        <v>400</v>
      </c>
      <c r="AC76" s="504">
        <v>400.0</v>
      </c>
      <c r="AD76" s="505">
        <v>400.0</v>
      </c>
      <c r="AE76" s="498"/>
      <c r="AF76" s="498"/>
      <c r="AG76" s="498"/>
    </row>
    <row r="77" ht="15.0" customHeight="1">
      <c r="A77" s="498"/>
      <c r="B77" s="507" t="s">
        <v>368</v>
      </c>
      <c r="C77" s="501"/>
      <c r="D77" s="501"/>
      <c r="E77" s="501"/>
      <c r="F77" s="501"/>
      <c r="G77" s="501"/>
      <c r="H77" s="501"/>
      <c r="I77" s="501"/>
      <c r="J77" s="501"/>
      <c r="K77" s="501"/>
      <c r="L77" s="500"/>
      <c r="M77" s="500"/>
      <c r="N77" s="502">
        <v>200.0</v>
      </c>
      <c r="O77" s="503">
        <f t="shared" si="6"/>
        <v>200</v>
      </c>
      <c r="P77" s="501"/>
      <c r="Q77" s="501"/>
      <c r="R77" s="501"/>
      <c r="S77" s="501"/>
      <c r="T77" s="501"/>
      <c r="U77" s="501"/>
      <c r="V77" s="501"/>
      <c r="W77" s="501"/>
      <c r="X77" s="501"/>
      <c r="Y77" s="501"/>
      <c r="Z77" s="501"/>
      <c r="AA77" s="508">
        <v>200.0</v>
      </c>
      <c r="AB77" s="503">
        <f t="shared" si="10"/>
        <v>200</v>
      </c>
      <c r="AC77" s="504">
        <v>200.0</v>
      </c>
      <c r="AD77" s="505">
        <v>200.0</v>
      </c>
      <c r="AE77" s="498"/>
      <c r="AF77" s="498"/>
      <c r="AG77" s="498"/>
    </row>
    <row r="78" ht="15.0" customHeight="1">
      <c r="A78" s="498"/>
      <c r="B78" s="507" t="s">
        <v>369</v>
      </c>
      <c r="C78" s="500">
        <v>100.0</v>
      </c>
      <c r="D78" s="500"/>
      <c r="E78" s="500"/>
      <c r="F78" s="500"/>
      <c r="G78" s="500"/>
      <c r="H78" s="500"/>
      <c r="I78" s="500"/>
      <c r="J78" s="500"/>
      <c r="K78" s="500"/>
      <c r="L78" s="500"/>
      <c r="M78" s="500"/>
      <c r="N78" s="502"/>
      <c r="O78" s="503">
        <f t="shared" si="6"/>
        <v>100</v>
      </c>
      <c r="P78" s="500">
        <v>100.0</v>
      </c>
      <c r="Q78" s="500"/>
      <c r="R78" s="500"/>
      <c r="S78" s="500"/>
      <c r="T78" s="500"/>
      <c r="U78" s="500"/>
      <c r="V78" s="500"/>
      <c r="W78" s="500"/>
      <c r="X78" s="500"/>
      <c r="Y78" s="500"/>
      <c r="Z78" s="500"/>
      <c r="AA78" s="500"/>
      <c r="AB78" s="503">
        <f t="shared" si="10"/>
        <v>100</v>
      </c>
      <c r="AC78" s="504">
        <v>100.0</v>
      </c>
      <c r="AD78" s="505">
        <v>100.0</v>
      </c>
      <c r="AE78" s="498"/>
      <c r="AF78" s="498"/>
      <c r="AG78" s="498"/>
    </row>
    <row r="79" ht="15.0" customHeight="1">
      <c r="A79" s="498"/>
      <c r="B79" s="507" t="s">
        <v>370</v>
      </c>
      <c r="C79" s="501"/>
      <c r="D79" s="501"/>
      <c r="E79" s="501"/>
      <c r="F79" s="501"/>
      <c r="G79" s="501"/>
      <c r="H79" s="501"/>
      <c r="I79" s="501"/>
      <c r="J79" s="501"/>
      <c r="K79" s="501"/>
      <c r="L79" s="500"/>
      <c r="M79" s="500"/>
      <c r="N79" s="502">
        <v>200.0</v>
      </c>
      <c r="O79" s="503">
        <f t="shared" si="6"/>
        <v>200</v>
      </c>
      <c r="P79" s="501"/>
      <c r="Q79" s="501"/>
      <c r="R79" s="501"/>
      <c r="S79" s="501"/>
      <c r="T79" s="501"/>
      <c r="U79" s="501"/>
      <c r="V79" s="501"/>
      <c r="W79" s="501"/>
      <c r="X79" s="501"/>
      <c r="Y79" s="501"/>
      <c r="Z79" s="501"/>
      <c r="AA79" s="508">
        <v>100.0</v>
      </c>
      <c r="AB79" s="503">
        <f t="shared" si="10"/>
        <v>100</v>
      </c>
      <c r="AC79" s="504">
        <v>100.0</v>
      </c>
      <c r="AD79" s="505">
        <v>100.0</v>
      </c>
      <c r="AE79" s="498"/>
      <c r="AF79" s="498"/>
      <c r="AG79" s="498"/>
    </row>
    <row r="80" ht="15.0" customHeight="1">
      <c r="A80" s="498"/>
      <c r="B80" s="534" t="s">
        <v>371</v>
      </c>
      <c r="C80" s="501"/>
      <c r="D80" s="501"/>
      <c r="E80" s="501"/>
      <c r="F80" s="501"/>
      <c r="G80" s="501"/>
      <c r="H80" s="501"/>
      <c r="I80" s="501"/>
      <c r="J80" s="501"/>
      <c r="K80" s="501"/>
      <c r="L80" s="500"/>
      <c r="M80" s="500"/>
      <c r="N80" s="502"/>
      <c r="O80" s="503">
        <f t="shared" si="6"/>
        <v>0</v>
      </c>
      <c r="P80" s="501"/>
      <c r="Q80" s="501"/>
      <c r="R80" s="501"/>
      <c r="S80" s="501"/>
      <c r="T80" s="501"/>
      <c r="U80" s="501"/>
      <c r="V80" s="501"/>
      <c r="W80" s="501"/>
      <c r="X80" s="501"/>
      <c r="Y80" s="501"/>
      <c r="Z80" s="501"/>
      <c r="AA80" s="502"/>
      <c r="AB80" s="503">
        <f t="shared" si="10"/>
        <v>0</v>
      </c>
      <c r="AC80" s="504"/>
      <c r="AD80" s="505"/>
      <c r="AE80" s="498"/>
      <c r="AF80" s="498"/>
      <c r="AG80" s="498"/>
    </row>
    <row r="81" ht="15.0" customHeight="1">
      <c r="A81" s="498"/>
      <c r="B81" s="524" t="s">
        <v>372</v>
      </c>
      <c r="C81" s="500"/>
      <c r="D81" s="501"/>
      <c r="E81" s="501"/>
      <c r="F81" s="501"/>
      <c r="G81" s="501"/>
      <c r="H81" s="501"/>
      <c r="I81" s="501"/>
      <c r="J81" s="501"/>
      <c r="K81" s="501"/>
      <c r="L81" s="500"/>
      <c r="M81" s="500"/>
      <c r="N81" s="502"/>
      <c r="O81" s="503">
        <f t="shared" si="6"/>
        <v>0</v>
      </c>
      <c r="P81" s="500">
        <v>1000.0</v>
      </c>
      <c r="Q81" s="501"/>
      <c r="R81" s="501"/>
      <c r="S81" s="501"/>
      <c r="T81" s="501"/>
      <c r="U81" s="501"/>
      <c r="V81" s="501"/>
      <c r="W81" s="501"/>
      <c r="X81" s="501"/>
      <c r="Y81" s="501"/>
      <c r="Z81" s="501"/>
      <c r="AA81" s="502"/>
      <c r="AB81" s="503">
        <f t="shared" si="10"/>
        <v>1000</v>
      </c>
      <c r="AC81" s="504">
        <v>1000.0</v>
      </c>
      <c r="AD81" s="505">
        <v>1000.0</v>
      </c>
      <c r="AE81" s="498"/>
      <c r="AF81" s="498"/>
      <c r="AG81" s="498"/>
    </row>
    <row r="82" ht="15.0" customHeight="1">
      <c r="A82" s="498"/>
      <c r="B82" s="524" t="s">
        <v>373</v>
      </c>
      <c r="C82" s="500"/>
      <c r="D82" s="501"/>
      <c r="E82" s="501"/>
      <c r="F82" s="501"/>
      <c r="G82" s="501"/>
      <c r="H82" s="501"/>
      <c r="I82" s="501"/>
      <c r="J82" s="501"/>
      <c r="K82" s="501"/>
      <c r="L82" s="500"/>
      <c r="M82" s="500"/>
      <c r="N82" s="502"/>
      <c r="O82" s="503">
        <f t="shared" si="6"/>
        <v>0</v>
      </c>
      <c r="P82" s="500">
        <v>1000.0</v>
      </c>
      <c r="Q82" s="500"/>
      <c r="R82" s="500"/>
      <c r="S82" s="500"/>
      <c r="T82" s="500"/>
      <c r="U82" s="500"/>
      <c r="V82" s="500"/>
      <c r="W82" s="500"/>
      <c r="X82" s="500"/>
      <c r="Y82" s="500"/>
      <c r="Z82" s="500"/>
      <c r="AA82" s="508"/>
      <c r="AB82" s="503">
        <f t="shared" si="10"/>
        <v>1000</v>
      </c>
      <c r="AC82" s="504">
        <v>1000.0</v>
      </c>
      <c r="AD82" s="505">
        <v>1000.0</v>
      </c>
      <c r="AE82" s="498"/>
      <c r="AF82" s="498"/>
      <c r="AG82" s="498"/>
    </row>
    <row r="83" ht="15.0" customHeight="1">
      <c r="A83" s="498"/>
      <c r="B83" s="524" t="s">
        <v>374</v>
      </c>
      <c r="C83" s="500"/>
      <c r="D83" s="501"/>
      <c r="E83" s="501"/>
      <c r="F83" s="501"/>
      <c r="G83" s="501"/>
      <c r="H83" s="501"/>
      <c r="I83" s="501"/>
      <c r="J83" s="501"/>
      <c r="K83" s="501"/>
      <c r="L83" s="501"/>
      <c r="M83" s="501"/>
      <c r="N83" s="502"/>
      <c r="O83" s="503">
        <f t="shared" si="6"/>
        <v>0</v>
      </c>
      <c r="P83" s="500">
        <v>500.0</v>
      </c>
      <c r="Q83" s="501"/>
      <c r="R83" s="501"/>
      <c r="S83" s="501"/>
      <c r="T83" s="501"/>
      <c r="U83" s="501"/>
      <c r="V83" s="501"/>
      <c r="W83" s="501"/>
      <c r="X83" s="501"/>
      <c r="Y83" s="501"/>
      <c r="Z83" s="501"/>
      <c r="AA83" s="502"/>
      <c r="AB83" s="503">
        <f t="shared" si="10"/>
        <v>500</v>
      </c>
      <c r="AC83" s="504">
        <v>500.0</v>
      </c>
      <c r="AD83" s="505">
        <v>500.0</v>
      </c>
      <c r="AE83" s="498"/>
      <c r="AF83" s="498"/>
      <c r="AG83" s="498"/>
    </row>
    <row r="84" ht="15.0" customHeight="1">
      <c r="A84" s="498"/>
      <c r="B84" s="507"/>
      <c r="C84" s="501"/>
      <c r="D84" s="501"/>
      <c r="E84" s="501"/>
      <c r="F84" s="501"/>
      <c r="G84" s="501"/>
      <c r="H84" s="501"/>
      <c r="I84" s="501"/>
      <c r="J84" s="501"/>
      <c r="K84" s="501"/>
      <c r="L84" s="501"/>
      <c r="M84" s="501"/>
      <c r="N84" s="502"/>
      <c r="O84" s="503">
        <f t="shared" si="6"/>
        <v>0</v>
      </c>
      <c r="P84" s="501"/>
      <c r="Q84" s="501"/>
      <c r="R84" s="501"/>
      <c r="S84" s="501"/>
      <c r="T84" s="501"/>
      <c r="U84" s="501"/>
      <c r="V84" s="501"/>
      <c r="W84" s="501"/>
      <c r="X84" s="501"/>
      <c r="Y84" s="501"/>
      <c r="Z84" s="501"/>
      <c r="AA84" s="502"/>
      <c r="AB84" s="503">
        <f t="shared" si="10"/>
        <v>0</v>
      </c>
      <c r="AC84" s="504"/>
      <c r="AD84" s="505"/>
      <c r="AE84" s="498"/>
      <c r="AF84" s="498"/>
      <c r="AG84" s="498"/>
    </row>
    <row r="85" ht="15.0" customHeight="1">
      <c r="A85" s="498"/>
      <c r="B85" s="524" t="s">
        <v>375</v>
      </c>
      <c r="C85" s="500"/>
      <c r="D85" s="501"/>
      <c r="E85" s="501"/>
      <c r="F85" s="501"/>
      <c r="G85" s="501"/>
      <c r="H85" s="501"/>
      <c r="I85" s="501"/>
      <c r="J85" s="501"/>
      <c r="K85" s="501"/>
      <c r="L85" s="501"/>
      <c r="M85" s="501"/>
      <c r="N85" s="502"/>
      <c r="O85" s="503">
        <f t="shared" si="6"/>
        <v>0</v>
      </c>
      <c r="P85" s="501"/>
      <c r="Q85" s="501"/>
      <c r="R85" s="501"/>
      <c r="S85" s="501"/>
      <c r="T85" s="501"/>
      <c r="U85" s="501"/>
      <c r="V85" s="501"/>
      <c r="W85" s="501"/>
      <c r="X85" s="501"/>
      <c r="Y85" s="501"/>
      <c r="Z85" s="501"/>
      <c r="AA85" s="502"/>
      <c r="AB85" s="503">
        <f t="shared" si="10"/>
        <v>0</v>
      </c>
      <c r="AC85" s="504"/>
      <c r="AD85" s="505"/>
      <c r="AE85" s="498"/>
      <c r="AF85" s="498"/>
      <c r="AG85" s="498"/>
    </row>
    <row r="86" ht="15.0" customHeight="1">
      <c r="A86" s="498"/>
      <c r="B86" s="524" t="s">
        <v>376</v>
      </c>
      <c r="C86" s="501"/>
      <c r="D86" s="501"/>
      <c r="E86" s="501"/>
      <c r="F86" s="501"/>
      <c r="G86" s="501"/>
      <c r="H86" s="501"/>
      <c r="I86" s="501"/>
      <c r="J86" s="501"/>
      <c r="K86" s="501"/>
      <c r="L86" s="501"/>
      <c r="M86" s="501"/>
      <c r="N86" s="502"/>
      <c r="O86" s="503">
        <f t="shared" si="6"/>
        <v>0</v>
      </c>
      <c r="P86" s="501"/>
      <c r="Q86" s="501"/>
      <c r="R86" s="501"/>
      <c r="S86" s="501"/>
      <c r="T86" s="501"/>
      <c r="U86" s="501"/>
      <c r="V86" s="501"/>
      <c r="W86" s="501"/>
      <c r="X86" s="501"/>
      <c r="Y86" s="501"/>
      <c r="Z86" s="501"/>
      <c r="AA86" s="502"/>
      <c r="AB86" s="503">
        <f t="shared" si="10"/>
        <v>0</v>
      </c>
      <c r="AC86" s="504"/>
      <c r="AD86" s="505"/>
      <c r="AE86" s="498"/>
      <c r="AF86" s="498"/>
      <c r="AG86" s="498"/>
    </row>
    <row r="87" ht="15.0" customHeight="1">
      <c r="A87" s="498"/>
      <c r="B87" s="524" t="s">
        <v>377</v>
      </c>
      <c r="C87" s="501"/>
      <c r="D87" s="501"/>
      <c r="E87" s="501"/>
      <c r="F87" s="501"/>
      <c r="G87" s="501"/>
      <c r="H87" s="501"/>
      <c r="I87" s="501"/>
      <c r="J87" s="501"/>
      <c r="K87" s="501"/>
      <c r="L87" s="501"/>
      <c r="M87" s="501"/>
      <c r="N87" s="502"/>
      <c r="O87" s="503">
        <f t="shared" si="6"/>
        <v>0</v>
      </c>
      <c r="P87" s="501"/>
      <c r="Q87" s="501"/>
      <c r="R87" s="501"/>
      <c r="S87" s="501"/>
      <c r="T87" s="501"/>
      <c r="U87" s="501"/>
      <c r="V87" s="501"/>
      <c r="W87" s="501"/>
      <c r="X87" s="501"/>
      <c r="Y87" s="501"/>
      <c r="Z87" s="501"/>
      <c r="AA87" s="502"/>
      <c r="AB87" s="503">
        <f t="shared" si="10"/>
        <v>0</v>
      </c>
      <c r="AC87" s="504"/>
      <c r="AD87" s="505"/>
      <c r="AE87" s="498"/>
      <c r="AF87" s="498"/>
      <c r="AG87" s="498"/>
    </row>
    <row r="88" ht="15.0" customHeight="1">
      <c r="A88" s="498"/>
      <c r="B88" s="524" t="s">
        <v>378</v>
      </c>
      <c r="C88" s="501"/>
      <c r="D88" s="501"/>
      <c r="E88" s="501"/>
      <c r="F88" s="501"/>
      <c r="G88" s="501"/>
      <c r="H88" s="501"/>
      <c r="I88" s="501"/>
      <c r="J88" s="501"/>
      <c r="K88" s="501"/>
      <c r="L88" s="501"/>
      <c r="M88" s="501"/>
      <c r="N88" s="502"/>
      <c r="O88" s="503">
        <f t="shared" si="6"/>
        <v>0</v>
      </c>
      <c r="P88" s="501"/>
      <c r="Q88" s="501"/>
      <c r="R88" s="501"/>
      <c r="S88" s="501"/>
      <c r="T88" s="501"/>
      <c r="U88" s="501"/>
      <c r="V88" s="501"/>
      <c r="W88" s="501"/>
      <c r="X88" s="501"/>
      <c r="Y88" s="501"/>
      <c r="Z88" s="501"/>
      <c r="AA88" s="502"/>
      <c r="AB88" s="503">
        <f t="shared" si="10"/>
        <v>0</v>
      </c>
      <c r="AC88" s="504"/>
      <c r="AD88" s="505"/>
      <c r="AE88" s="498"/>
      <c r="AF88" s="498"/>
      <c r="AG88" s="498"/>
    </row>
    <row r="89" ht="15.0" customHeight="1">
      <c r="A89" s="498"/>
      <c r="B89" s="524" t="s">
        <v>379</v>
      </c>
      <c r="C89" s="501"/>
      <c r="D89" s="501"/>
      <c r="E89" s="501"/>
      <c r="F89" s="501"/>
      <c r="G89" s="501"/>
      <c r="H89" s="501"/>
      <c r="I89" s="501"/>
      <c r="J89" s="501"/>
      <c r="K89" s="501"/>
      <c r="L89" s="500"/>
      <c r="M89" s="500"/>
      <c r="N89" s="502"/>
      <c r="O89" s="503">
        <f t="shared" si="6"/>
        <v>0</v>
      </c>
      <c r="P89" s="500"/>
      <c r="Q89" s="500"/>
      <c r="R89" s="500"/>
      <c r="S89" s="500"/>
      <c r="T89" s="500"/>
      <c r="U89" s="500"/>
      <c r="V89" s="500"/>
      <c r="W89" s="500"/>
      <c r="X89" s="500"/>
      <c r="Y89" s="500"/>
      <c r="Z89" s="500"/>
      <c r="AA89" s="508"/>
      <c r="AB89" s="503">
        <f t="shared" si="10"/>
        <v>0</v>
      </c>
      <c r="AC89" s="504"/>
      <c r="AD89" s="505"/>
      <c r="AE89" s="498"/>
      <c r="AF89" s="498"/>
      <c r="AG89" s="498"/>
    </row>
    <row r="90" ht="15.0" customHeight="1">
      <c r="A90" s="498"/>
      <c r="B90" s="524" t="s">
        <v>380</v>
      </c>
      <c r="C90" s="501"/>
      <c r="D90" s="501"/>
      <c r="E90" s="501"/>
      <c r="F90" s="501"/>
      <c r="G90" s="501"/>
      <c r="H90" s="501"/>
      <c r="I90" s="501"/>
      <c r="J90" s="501"/>
      <c r="K90" s="501"/>
      <c r="L90" s="500"/>
      <c r="M90" s="500"/>
      <c r="N90" s="502"/>
      <c r="O90" s="503">
        <f t="shared" si="6"/>
        <v>0</v>
      </c>
      <c r="P90" s="501"/>
      <c r="Q90" s="501"/>
      <c r="R90" s="501"/>
      <c r="S90" s="501"/>
      <c r="T90" s="501"/>
      <c r="U90" s="501"/>
      <c r="V90" s="501"/>
      <c r="W90" s="501"/>
      <c r="X90" s="501"/>
      <c r="Y90" s="500"/>
      <c r="Z90" s="500"/>
      <c r="AA90" s="508"/>
      <c r="AB90" s="503">
        <f t="shared" si="10"/>
        <v>0</v>
      </c>
      <c r="AC90" s="504"/>
      <c r="AD90" s="505"/>
      <c r="AE90" s="498"/>
      <c r="AF90" s="498"/>
      <c r="AG90" s="498"/>
    </row>
    <row r="91" ht="15.0" customHeight="1">
      <c r="A91" s="498"/>
      <c r="B91" s="524" t="s">
        <v>381</v>
      </c>
      <c r="C91" s="500"/>
      <c r="D91" s="501"/>
      <c r="E91" s="501"/>
      <c r="F91" s="501"/>
      <c r="G91" s="501"/>
      <c r="H91" s="501"/>
      <c r="I91" s="501"/>
      <c r="J91" s="501"/>
      <c r="K91" s="501"/>
      <c r="L91" s="501"/>
      <c r="M91" s="501"/>
      <c r="N91" s="502"/>
      <c r="O91" s="503">
        <f t="shared" si="6"/>
        <v>0</v>
      </c>
      <c r="P91" s="500"/>
      <c r="Q91" s="500"/>
      <c r="R91" s="500"/>
      <c r="S91" s="500"/>
      <c r="T91" s="500"/>
      <c r="U91" s="500"/>
      <c r="V91" s="500"/>
      <c r="W91" s="500"/>
      <c r="X91" s="500"/>
      <c r="Y91" s="500"/>
      <c r="Z91" s="500"/>
      <c r="AA91" s="502"/>
      <c r="AB91" s="503">
        <f t="shared" si="10"/>
        <v>0</v>
      </c>
      <c r="AC91" s="504"/>
      <c r="AD91" s="505"/>
      <c r="AE91" s="498"/>
      <c r="AF91" s="498"/>
      <c r="AG91" s="498"/>
    </row>
    <row r="92" ht="15.0" customHeight="1">
      <c r="A92" s="498"/>
      <c r="B92" s="537"/>
      <c r="C92" s="501"/>
      <c r="D92" s="501"/>
      <c r="E92" s="501"/>
      <c r="F92" s="501"/>
      <c r="G92" s="501"/>
      <c r="H92" s="501"/>
      <c r="I92" s="501"/>
      <c r="J92" s="501"/>
      <c r="K92" s="501"/>
      <c r="L92" s="501"/>
      <c r="M92" s="501"/>
      <c r="N92" s="502"/>
      <c r="O92" s="503">
        <f t="shared" si="6"/>
        <v>0</v>
      </c>
      <c r="P92" s="501"/>
      <c r="Q92" s="501"/>
      <c r="R92" s="501"/>
      <c r="S92" s="501"/>
      <c r="T92" s="501"/>
      <c r="U92" s="501"/>
      <c r="V92" s="501"/>
      <c r="W92" s="501"/>
      <c r="X92" s="501"/>
      <c r="Y92" s="501"/>
      <c r="Z92" s="501"/>
      <c r="AA92" s="502"/>
      <c r="AB92" s="503">
        <f t="shared" si="10"/>
        <v>0</v>
      </c>
      <c r="AC92" s="504"/>
      <c r="AD92" s="505"/>
      <c r="AE92" s="498"/>
      <c r="AF92" s="498"/>
      <c r="AG92" s="498"/>
    </row>
    <row r="93" ht="15.0" customHeight="1">
      <c r="A93" s="498"/>
      <c r="B93" s="538"/>
      <c r="C93" s="539"/>
      <c r="D93" s="540"/>
      <c r="E93" s="540"/>
      <c r="F93" s="540"/>
      <c r="G93" s="540"/>
      <c r="H93" s="540"/>
      <c r="I93" s="540"/>
      <c r="J93" s="540"/>
      <c r="K93" s="540"/>
      <c r="L93" s="540"/>
      <c r="M93" s="540"/>
      <c r="N93" s="541"/>
      <c r="O93" s="503">
        <f t="shared" si="6"/>
        <v>0</v>
      </c>
      <c r="P93" s="540"/>
      <c r="Q93" s="540"/>
      <c r="R93" s="540"/>
      <c r="S93" s="540"/>
      <c r="T93" s="540"/>
      <c r="U93" s="540"/>
      <c r="V93" s="540"/>
      <c r="W93" s="540"/>
      <c r="X93" s="540"/>
      <c r="Y93" s="540"/>
      <c r="Z93" s="540"/>
      <c r="AA93" s="541"/>
      <c r="AB93" s="503">
        <f t="shared" si="10"/>
        <v>0</v>
      </c>
      <c r="AC93" s="504"/>
      <c r="AD93" s="505"/>
      <c r="AE93" s="498"/>
      <c r="AF93" s="498"/>
      <c r="AG93" s="498"/>
    </row>
    <row r="94" ht="15.0" customHeight="1">
      <c r="A94" s="542"/>
      <c r="B94" s="543" t="s">
        <v>382</v>
      </c>
      <c r="C94" s="544">
        <f t="shared" ref="C94:AD94" si="11">SUM(C7:C93)</f>
        <v>1010.41</v>
      </c>
      <c r="D94" s="545">
        <f t="shared" si="11"/>
        <v>810.41</v>
      </c>
      <c r="E94" s="545">
        <f t="shared" si="11"/>
        <v>810.41</v>
      </c>
      <c r="F94" s="545">
        <f t="shared" si="11"/>
        <v>810.41</v>
      </c>
      <c r="G94" s="545">
        <f t="shared" si="11"/>
        <v>1992.58</v>
      </c>
      <c r="H94" s="545">
        <f t="shared" si="11"/>
        <v>5889.08</v>
      </c>
      <c r="I94" s="545">
        <f t="shared" si="11"/>
        <v>4789.08</v>
      </c>
      <c r="J94" s="545">
        <f t="shared" si="11"/>
        <v>4789.08</v>
      </c>
      <c r="K94" s="545">
        <f t="shared" si="11"/>
        <v>4789.08</v>
      </c>
      <c r="L94" s="545">
        <f t="shared" si="11"/>
        <v>4789.08</v>
      </c>
      <c r="M94" s="545">
        <f t="shared" si="11"/>
        <v>4789.08</v>
      </c>
      <c r="N94" s="546">
        <f t="shared" si="11"/>
        <v>7489.08</v>
      </c>
      <c r="O94" s="547">
        <f t="shared" si="11"/>
        <v>42757.78</v>
      </c>
      <c r="P94" s="545">
        <f t="shared" si="11"/>
        <v>10553.17</v>
      </c>
      <c r="Q94" s="545">
        <f t="shared" si="11"/>
        <v>5104.17</v>
      </c>
      <c r="R94" s="545">
        <f t="shared" si="11"/>
        <v>5104.17</v>
      </c>
      <c r="S94" s="545">
        <f t="shared" si="11"/>
        <v>5104.17</v>
      </c>
      <c r="T94" s="545">
        <f t="shared" si="11"/>
        <v>5104.17</v>
      </c>
      <c r="U94" s="545">
        <f t="shared" si="11"/>
        <v>5342.17</v>
      </c>
      <c r="V94" s="545">
        <f t="shared" si="11"/>
        <v>5142.17</v>
      </c>
      <c r="W94" s="545">
        <f t="shared" si="11"/>
        <v>5142.17</v>
      </c>
      <c r="X94" s="545">
        <f t="shared" si="11"/>
        <v>5104.17</v>
      </c>
      <c r="Y94" s="545">
        <f t="shared" si="11"/>
        <v>5104.17</v>
      </c>
      <c r="Z94" s="545">
        <f t="shared" si="11"/>
        <v>5104.17</v>
      </c>
      <c r="AA94" s="546">
        <f t="shared" si="11"/>
        <v>8254.17</v>
      </c>
      <c r="AB94" s="547">
        <f t="shared" si="11"/>
        <v>70671.04</v>
      </c>
      <c r="AC94" s="548">
        <f t="shared" si="11"/>
        <v>71987.04</v>
      </c>
      <c r="AD94" s="20">
        <f t="shared" si="11"/>
        <v>72171.04</v>
      </c>
      <c r="AE94" s="549"/>
      <c r="AF94" s="498"/>
      <c r="AG94" s="498"/>
    </row>
    <row r="95" ht="13.5" customHeight="1">
      <c r="A95" s="498"/>
      <c r="B95" s="550"/>
      <c r="C95" s="498"/>
      <c r="D95" s="498"/>
      <c r="E95" s="498"/>
      <c r="F95" s="498"/>
      <c r="G95" s="498"/>
      <c r="H95" s="498"/>
      <c r="I95" s="498"/>
      <c r="J95" s="498"/>
      <c r="K95" s="498"/>
      <c r="L95" s="498"/>
      <c r="M95" s="498"/>
      <c r="N95" s="551" t="s">
        <v>244</v>
      </c>
      <c r="O95" s="341">
        <f>IF(SUM(C94:N94)=O94,0,O94-SUM(C94:N94))</f>
        <v>0</v>
      </c>
      <c r="P95" s="552"/>
      <c r="Q95" s="552"/>
      <c r="R95" s="552"/>
      <c r="S95" s="552"/>
      <c r="T95" s="552"/>
      <c r="U95" s="552"/>
      <c r="V95" s="552"/>
      <c r="W95" s="552"/>
      <c r="X95" s="552"/>
      <c r="Y95" s="552"/>
      <c r="Z95" s="552"/>
      <c r="AA95" s="552"/>
      <c r="AB95" s="341">
        <f>IF(SUM(P94:AA94)=AB94,0,AB94-SUM(P94:AA94))</f>
        <v>508</v>
      </c>
      <c r="AC95" s="498"/>
      <c r="AD95" s="498"/>
      <c r="AE95" s="498"/>
      <c r="AF95" s="498"/>
      <c r="AG95" s="498"/>
    </row>
    <row r="96" ht="12.75" customHeight="1">
      <c r="A96" s="498"/>
      <c r="B96" s="308"/>
      <c r="C96" s="498"/>
      <c r="D96" s="498"/>
      <c r="E96" s="498"/>
      <c r="F96" s="498"/>
      <c r="G96" s="498"/>
      <c r="H96" s="498"/>
      <c r="I96" s="498"/>
      <c r="J96" s="498"/>
      <c r="K96" s="498"/>
      <c r="L96" s="498"/>
      <c r="M96" s="498"/>
      <c r="N96" s="498"/>
      <c r="O96" s="498"/>
      <c r="P96" s="498"/>
      <c r="Q96" s="498"/>
      <c r="R96" s="498"/>
      <c r="S96" s="498"/>
      <c r="T96" s="498"/>
      <c r="U96" s="498"/>
      <c r="V96" s="498"/>
      <c r="W96" s="498"/>
      <c r="X96" s="498"/>
      <c r="Y96" s="498"/>
      <c r="Z96" s="498"/>
      <c r="AA96" s="498"/>
      <c r="AB96" s="498"/>
      <c r="AC96" s="498"/>
      <c r="AD96" s="498"/>
      <c r="AE96" s="498"/>
      <c r="AF96" s="498"/>
      <c r="AG96" s="498"/>
    </row>
    <row r="97" ht="12.75" customHeight="1">
      <c r="A97" s="498"/>
      <c r="B97" s="308"/>
      <c r="C97" s="498"/>
      <c r="D97" s="498"/>
      <c r="E97" s="498"/>
      <c r="F97" s="498"/>
      <c r="G97" s="498"/>
      <c r="H97" s="498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498"/>
      <c r="X97" s="498"/>
      <c r="Y97" s="498"/>
      <c r="Z97" s="498"/>
      <c r="AA97" s="498"/>
      <c r="AB97" s="498"/>
      <c r="AC97" s="498"/>
      <c r="AD97" s="498"/>
      <c r="AE97" s="498"/>
      <c r="AF97" s="498"/>
      <c r="AG97" s="498"/>
    </row>
    <row r="98" ht="12.75" customHeight="1">
      <c r="A98" s="498"/>
      <c r="B98" s="308"/>
      <c r="C98" s="498"/>
      <c r="D98" s="498"/>
      <c r="E98" s="498"/>
      <c r="F98" s="498"/>
      <c r="G98" s="498"/>
      <c r="H98" s="498"/>
      <c r="I98" s="498"/>
      <c r="J98" s="498"/>
      <c r="K98" s="498"/>
      <c r="L98" s="498"/>
      <c r="M98" s="498"/>
      <c r="N98" s="498"/>
      <c r="O98" s="498"/>
      <c r="P98" s="498"/>
      <c r="Q98" s="498"/>
      <c r="R98" s="498"/>
      <c r="S98" s="498"/>
      <c r="T98" s="498"/>
      <c r="U98" s="498"/>
      <c r="V98" s="498"/>
      <c r="W98" s="498"/>
      <c r="X98" s="498"/>
      <c r="Y98" s="498"/>
      <c r="Z98" s="498"/>
      <c r="AA98" s="498"/>
      <c r="AB98" s="498"/>
      <c r="AC98" s="498"/>
      <c r="AD98" s="498"/>
      <c r="AE98" s="498"/>
      <c r="AF98" s="498"/>
      <c r="AG98" s="498"/>
    </row>
    <row r="99" ht="12.75" customHeight="1">
      <c r="B99" s="161"/>
    </row>
    <row r="100" ht="12.75" customHeight="1">
      <c r="B100" s="161"/>
    </row>
    <row r="101" ht="12.75" customHeight="1">
      <c r="B101" s="161"/>
    </row>
    <row r="102" ht="12.75" customHeight="1">
      <c r="B102" s="161"/>
    </row>
    <row r="103" ht="12.75" customHeight="1">
      <c r="B103" s="161"/>
    </row>
    <row r="104" ht="12.75" customHeight="1">
      <c r="B104" s="161"/>
    </row>
    <row r="105" ht="12.75" customHeight="1">
      <c r="B105" s="161"/>
    </row>
    <row r="106" ht="12.75" customHeight="1">
      <c r="B106" s="161"/>
    </row>
    <row r="107" ht="12.75" customHeight="1">
      <c r="B107" s="161"/>
    </row>
    <row r="108" ht="12.75" customHeight="1">
      <c r="B108" s="161"/>
    </row>
    <row r="109" ht="12.75" customHeight="1">
      <c r="B109" s="161"/>
    </row>
    <row r="110" ht="12.75" customHeight="1">
      <c r="B110" s="161"/>
    </row>
    <row r="111" ht="12.75" customHeight="1">
      <c r="B111" s="161"/>
    </row>
    <row r="112" ht="12.75" customHeight="1">
      <c r="B112" s="161"/>
    </row>
    <row r="113" ht="12.75" customHeight="1">
      <c r="B113" s="161"/>
    </row>
    <row r="114" ht="12.75" customHeight="1">
      <c r="B114" s="161"/>
    </row>
    <row r="115" ht="12.75" customHeight="1">
      <c r="B115" s="161"/>
    </row>
    <row r="116" ht="12.75" customHeight="1">
      <c r="B116" s="161"/>
    </row>
    <row r="117" ht="12.75" customHeight="1">
      <c r="B117" s="161"/>
    </row>
    <row r="118" ht="12.75" customHeight="1">
      <c r="B118" s="161"/>
    </row>
    <row r="119" ht="12.75" customHeight="1">
      <c r="B119" s="161"/>
    </row>
    <row r="120" ht="12.75" customHeight="1">
      <c r="B120" s="161"/>
    </row>
    <row r="121" ht="12.75" customHeight="1">
      <c r="B121" s="161"/>
    </row>
    <row r="122" ht="12.75" customHeight="1">
      <c r="B122" s="161"/>
    </row>
    <row r="123" ht="12.75" customHeight="1">
      <c r="B123" s="161"/>
    </row>
    <row r="124" ht="12.75" customHeight="1">
      <c r="B124" s="161"/>
    </row>
    <row r="125" ht="12.75" customHeight="1">
      <c r="B125" s="161"/>
    </row>
    <row r="126" ht="12.75" customHeight="1">
      <c r="B126" s="161"/>
    </row>
    <row r="127" ht="12.75" customHeight="1">
      <c r="B127" s="161"/>
    </row>
    <row r="128" ht="12.75" customHeight="1">
      <c r="B128" s="161"/>
    </row>
    <row r="129" ht="12.75" customHeight="1">
      <c r="B129" s="161"/>
    </row>
    <row r="130" ht="12.75" customHeight="1">
      <c r="B130" s="161"/>
    </row>
    <row r="131" ht="12.75" customHeight="1">
      <c r="B131" s="161"/>
    </row>
    <row r="132" ht="12.75" customHeight="1">
      <c r="B132" s="161"/>
    </row>
    <row r="133" ht="12.75" customHeight="1">
      <c r="B133" s="161"/>
    </row>
    <row r="134" ht="12.75" customHeight="1">
      <c r="B134" s="161"/>
    </row>
    <row r="135" ht="12.75" customHeight="1">
      <c r="B135" s="161"/>
    </row>
    <row r="136" ht="12.75" customHeight="1">
      <c r="B136" s="161"/>
    </row>
    <row r="137" ht="12.75" customHeight="1">
      <c r="B137" s="161"/>
    </row>
    <row r="138" ht="12.75" customHeight="1">
      <c r="B138" s="161"/>
    </row>
    <row r="139" ht="12.75" customHeight="1">
      <c r="B139" s="161"/>
    </row>
    <row r="140" ht="12.75" customHeight="1">
      <c r="B140" s="161"/>
    </row>
    <row r="141" ht="12.75" customHeight="1">
      <c r="B141" s="161"/>
    </row>
    <row r="142" ht="12.75" customHeight="1">
      <c r="B142" s="161"/>
    </row>
    <row r="143" ht="12.75" customHeight="1">
      <c r="B143" s="161"/>
    </row>
    <row r="144" ht="12.75" customHeight="1">
      <c r="B144" s="161"/>
    </row>
    <row r="145" ht="12.75" customHeight="1">
      <c r="B145" s="161"/>
    </row>
    <row r="146" ht="12.75" customHeight="1">
      <c r="B146" s="161"/>
    </row>
    <row r="147" ht="12.75" customHeight="1">
      <c r="B147" s="161"/>
    </row>
    <row r="148" ht="12.75" customHeight="1">
      <c r="B148" s="161"/>
    </row>
    <row r="149" ht="12.75" customHeight="1">
      <c r="B149" s="161"/>
    </row>
    <row r="150" ht="12.75" customHeight="1">
      <c r="B150" s="161"/>
    </row>
    <row r="151" ht="12.75" customHeight="1">
      <c r="B151" s="161"/>
    </row>
    <row r="152" ht="12.75" customHeight="1">
      <c r="B152" s="161"/>
    </row>
    <row r="153" ht="12.75" customHeight="1">
      <c r="B153" s="161"/>
    </row>
    <row r="154" ht="12.75" customHeight="1">
      <c r="B154" s="161"/>
    </row>
    <row r="155" ht="12.75" customHeight="1">
      <c r="B155" s="161"/>
    </row>
    <row r="156" ht="12.75" customHeight="1">
      <c r="B156" s="161"/>
    </row>
    <row r="157" ht="12.75" customHeight="1">
      <c r="B157" s="161"/>
    </row>
    <row r="158" ht="12.75" customHeight="1">
      <c r="B158" s="161"/>
    </row>
    <row r="159" ht="12.75" customHeight="1">
      <c r="B159" s="161"/>
    </row>
    <row r="160" ht="12.75" customHeight="1">
      <c r="B160" s="161"/>
    </row>
    <row r="161" ht="12.75" customHeight="1">
      <c r="B161" s="161"/>
    </row>
    <row r="162" ht="12.75" customHeight="1">
      <c r="B162" s="161"/>
    </row>
    <row r="163" ht="12.75" customHeight="1">
      <c r="B163" s="161"/>
    </row>
    <row r="164" ht="12.75" customHeight="1">
      <c r="B164" s="161"/>
    </row>
    <row r="165" ht="12.75" customHeight="1">
      <c r="B165" s="161"/>
    </row>
    <row r="166" ht="12.75" customHeight="1">
      <c r="B166" s="161"/>
    </row>
    <row r="167" ht="12.75" customHeight="1">
      <c r="B167" s="161"/>
    </row>
    <row r="168" ht="12.75" customHeight="1">
      <c r="B168" s="161"/>
    </row>
    <row r="169" ht="12.75" customHeight="1">
      <c r="B169" s="161"/>
    </row>
    <row r="170" ht="12.75" customHeight="1">
      <c r="B170" s="161"/>
    </row>
    <row r="171" ht="12.75" customHeight="1">
      <c r="B171" s="161"/>
    </row>
    <row r="172" ht="12.75" customHeight="1">
      <c r="B172" s="161"/>
    </row>
    <row r="173" ht="12.75" customHeight="1">
      <c r="B173" s="161"/>
    </row>
    <row r="174" ht="12.75" customHeight="1">
      <c r="B174" s="161"/>
    </row>
    <row r="175" ht="12.75" customHeight="1">
      <c r="B175" s="161"/>
    </row>
    <row r="176" ht="12.75" customHeight="1">
      <c r="B176" s="161"/>
    </row>
    <row r="177" ht="12.75" customHeight="1">
      <c r="B177" s="161"/>
    </row>
    <row r="178" ht="12.75" customHeight="1">
      <c r="B178" s="161"/>
    </row>
    <row r="179" ht="12.75" customHeight="1">
      <c r="B179" s="161"/>
    </row>
    <row r="180" ht="12.75" customHeight="1">
      <c r="B180" s="161"/>
    </row>
    <row r="181" ht="12.75" customHeight="1">
      <c r="B181" s="161"/>
    </row>
    <row r="182" ht="12.75" customHeight="1">
      <c r="B182" s="161"/>
    </row>
    <row r="183" ht="12.75" customHeight="1">
      <c r="B183" s="161"/>
    </row>
    <row r="184" ht="12.75" customHeight="1">
      <c r="B184" s="161"/>
    </row>
    <row r="185" ht="12.75" customHeight="1">
      <c r="B185" s="161"/>
    </row>
    <row r="186" ht="12.75" customHeight="1">
      <c r="B186" s="161"/>
    </row>
    <row r="187" ht="12.75" customHeight="1">
      <c r="B187" s="161"/>
    </row>
    <row r="188" ht="12.75" customHeight="1">
      <c r="B188" s="161"/>
    </row>
    <row r="189" ht="12.75" customHeight="1">
      <c r="B189" s="161"/>
    </row>
    <row r="190" ht="12.75" customHeight="1">
      <c r="B190" s="161"/>
    </row>
    <row r="191" ht="12.75" customHeight="1">
      <c r="B191" s="161"/>
    </row>
    <row r="192" ht="12.75" customHeight="1">
      <c r="B192" s="161"/>
    </row>
    <row r="193" ht="12.75" customHeight="1">
      <c r="B193" s="161"/>
    </row>
    <row r="194" ht="12.75" customHeight="1">
      <c r="B194" s="161"/>
    </row>
    <row r="195" ht="12.75" customHeight="1">
      <c r="B195" s="161"/>
    </row>
    <row r="196" ht="12.75" customHeight="1">
      <c r="B196" s="161"/>
    </row>
    <row r="197" ht="12.75" customHeight="1">
      <c r="B197" s="161"/>
    </row>
    <row r="198" ht="12.75" customHeight="1">
      <c r="B198" s="161"/>
    </row>
    <row r="199" ht="12.75" customHeight="1">
      <c r="B199" s="161"/>
    </row>
    <row r="200" ht="12.75" customHeight="1">
      <c r="B200" s="161"/>
    </row>
    <row r="201" ht="12.75" customHeight="1">
      <c r="B201" s="161"/>
    </row>
    <row r="202" ht="12.75" customHeight="1">
      <c r="B202" s="161"/>
    </row>
    <row r="203" ht="12.75" customHeight="1">
      <c r="B203" s="161"/>
    </row>
    <row r="204" ht="12.75" customHeight="1">
      <c r="B204" s="161"/>
    </row>
    <row r="205" ht="12.75" customHeight="1">
      <c r="B205" s="161"/>
    </row>
    <row r="206" ht="12.75" customHeight="1">
      <c r="B206" s="161"/>
    </row>
    <row r="207" ht="12.75" customHeight="1">
      <c r="B207" s="161"/>
    </row>
    <row r="208" ht="12.75" customHeight="1">
      <c r="B208" s="161"/>
    </row>
    <row r="209" ht="12.75" customHeight="1">
      <c r="B209" s="161"/>
    </row>
    <row r="210" ht="12.75" customHeight="1">
      <c r="B210" s="161"/>
    </row>
    <row r="211" ht="12.75" customHeight="1">
      <c r="B211" s="161"/>
    </row>
    <row r="212" ht="12.75" customHeight="1">
      <c r="B212" s="161"/>
    </row>
    <row r="213" ht="12.75" customHeight="1">
      <c r="B213" s="161"/>
    </row>
    <row r="214" ht="12.75" customHeight="1">
      <c r="B214" s="161"/>
    </row>
    <row r="215" ht="12.75" customHeight="1">
      <c r="B215" s="161"/>
    </row>
    <row r="216" ht="12.75" customHeight="1">
      <c r="B216" s="161"/>
    </row>
    <row r="217" ht="12.75" customHeight="1">
      <c r="B217" s="161"/>
    </row>
    <row r="218" ht="12.75" customHeight="1">
      <c r="B218" s="161"/>
    </row>
    <row r="219" ht="12.75" customHeight="1">
      <c r="B219" s="161"/>
    </row>
    <row r="220" ht="12.75" customHeight="1">
      <c r="B220" s="161"/>
    </row>
    <row r="221" ht="12.75" customHeight="1">
      <c r="B221" s="161"/>
    </row>
    <row r="222" ht="12.75" customHeight="1">
      <c r="B222" s="161"/>
    </row>
    <row r="223" ht="12.75" customHeight="1">
      <c r="B223" s="161"/>
    </row>
    <row r="224" ht="12.75" customHeight="1">
      <c r="B224" s="161"/>
    </row>
    <row r="225" ht="12.75" customHeight="1">
      <c r="B225" s="161"/>
    </row>
    <row r="226" ht="12.75" customHeight="1">
      <c r="B226" s="161"/>
    </row>
    <row r="227" ht="12.75" customHeight="1">
      <c r="B227" s="161"/>
    </row>
    <row r="228" ht="12.75" customHeight="1">
      <c r="B228" s="161"/>
    </row>
    <row r="229" ht="12.75" customHeight="1">
      <c r="B229" s="161"/>
    </row>
    <row r="230" ht="12.75" customHeight="1">
      <c r="B230" s="161"/>
    </row>
    <row r="231" ht="12.75" customHeight="1">
      <c r="B231" s="161"/>
    </row>
    <row r="232" ht="12.75" customHeight="1">
      <c r="B232" s="161"/>
    </row>
    <row r="233" ht="12.75" customHeight="1">
      <c r="B233" s="161"/>
    </row>
    <row r="234" ht="12.75" customHeight="1">
      <c r="B234" s="161"/>
    </row>
    <row r="235" ht="12.75" customHeight="1">
      <c r="B235" s="161"/>
    </row>
    <row r="236" ht="12.75" customHeight="1">
      <c r="B236" s="161"/>
    </row>
    <row r="237" ht="12.75" customHeight="1">
      <c r="B237" s="161"/>
    </row>
    <row r="238" ht="12.75" customHeight="1">
      <c r="B238" s="161"/>
    </row>
    <row r="239" ht="12.75" customHeight="1">
      <c r="B239" s="161"/>
    </row>
    <row r="240" ht="12.75" customHeight="1">
      <c r="B240" s="161"/>
    </row>
    <row r="241" ht="12.75" customHeight="1">
      <c r="B241" s="161"/>
    </row>
    <row r="242" ht="12.75" customHeight="1">
      <c r="B242" s="161"/>
    </row>
    <row r="243" ht="12.75" customHeight="1">
      <c r="B243" s="161"/>
    </row>
    <row r="244" ht="12.75" customHeight="1">
      <c r="B244" s="161"/>
    </row>
    <row r="245" ht="12.75" customHeight="1">
      <c r="B245" s="161"/>
    </row>
    <row r="246" ht="12.75" customHeight="1">
      <c r="B246" s="161"/>
    </row>
    <row r="247" ht="12.75" customHeight="1">
      <c r="B247" s="161"/>
    </row>
    <row r="248" ht="12.75" customHeight="1">
      <c r="B248" s="161"/>
    </row>
    <row r="249" ht="12.75" customHeight="1">
      <c r="B249" s="161"/>
    </row>
    <row r="250" ht="12.75" customHeight="1">
      <c r="B250" s="161"/>
    </row>
    <row r="251" ht="12.75" customHeight="1">
      <c r="B251" s="161"/>
    </row>
    <row r="252" ht="12.75" customHeight="1">
      <c r="B252" s="161"/>
    </row>
    <row r="253" ht="12.75" customHeight="1">
      <c r="B253" s="161"/>
    </row>
    <row r="254" ht="12.75" customHeight="1">
      <c r="B254" s="161"/>
    </row>
    <row r="255" ht="12.75" customHeight="1">
      <c r="B255" s="161"/>
    </row>
    <row r="256" ht="12.75" customHeight="1">
      <c r="B256" s="161"/>
    </row>
    <row r="257" ht="12.75" customHeight="1">
      <c r="B257" s="161"/>
    </row>
    <row r="258" ht="12.75" customHeight="1">
      <c r="B258" s="161"/>
    </row>
    <row r="259" ht="12.75" customHeight="1">
      <c r="B259" s="161"/>
    </row>
    <row r="260" ht="12.75" customHeight="1">
      <c r="B260" s="161"/>
    </row>
    <row r="261" ht="12.75" customHeight="1">
      <c r="B261" s="161"/>
    </row>
    <row r="262" ht="12.75" customHeight="1">
      <c r="B262" s="161"/>
    </row>
    <row r="263" ht="12.75" customHeight="1">
      <c r="B263" s="161"/>
    </row>
    <row r="264" ht="12.75" customHeight="1">
      <c r="B264" s="161"/>
    </row>
    <row r="265" ht="12.75" customHeight="1">
      <c r="B265" s="161"/>
    </row>
    <row r="266" ht="12.75" customHeight="1">
      <c r="B266" s="161"/>
    </row>
    <row r="267" ht="12.75" customHeight="1">
      <c r="B267" s="161"/>
    </row>
    <row r="268" ht="12.75" customHeight="1">
      <c r="B268" s="161"/>
    </row>
    <row r="269" ht="12.75" customHeight="1">
      <c r="B269" s="161"/>
    </row>
    <row r="270" ht="12.75" customHeight="1">
      <c r="B270" s="161"/>
    </row>
    <row r="271" ht="12.75" customHeight="1">
      <c r="B271" s="161"/>
    </row>
    <row r="272" ht="12.75" customHeight="1">
      <c r="B272" s="161"/>
    </row>
    <row r="273" ht="12.75" customHeight="1">
      <c r="B273" s="161"/>
    </row>
    <row r="274" ht="12.75" customHeight="1">
      <c r="B274" s="161"/>
    </row>
    <row r="275" ht="12.75" customHeight="1">
      <c r="B275" s="161"/>
    </row>
    <row r="276" ht="12.75" customHeight="1">
      <c r="B276" s="161"/>
    </row>
    <row r="277" ht="12.75" customHeight="1">
      <c r="B277" s="161"/>
    </row>
    <row r="278" ht="12.75" customHeight="1">
      <c r="B278" s="161"/>
    </row>
    <row r="279" ht="12.75" customHeight="1">
      <c r="B279" s="161"/>
    </row>
    <row r="280" ht="12.75" customHeight="1">
      <c r="B280" s="161"/>
    </row>
    <row r="281" ht="12.75" customHeight="1">
      <c r="B281" s="161"/>
    </row>
    <row r="282" ht="12.75" customHeight="1">
      <c r="B282" s="161"/>
    </row>
    <row r="283" ht="12.75" customHeight="1">
      <c r="B283" s="161"/>
    </row>
    <row r="284" ht="12.75" customHeight="1">
      <c r="B284" s="161"/>
    </row>
    <row r="285" ht="12.75" customHeight="1">
      <c r="B285" s="161"/>
    </row>
    <row r="286" ht="12.75" customHeight="1">
      <c r="B286" s="161"/>
    </row>
    <row r="287" ht="12.75" customHeight="1">
      <c r="B287" s="161"/>
    </row>
    <row r="288" ht="12.75" customHeight="1">
      <c r="B288" s="161"/>
    </row>
    <row r="289" ht="12.75" customHeight="1">
      <c r="B289" s="161"/>
    </row>
    <row r="290" ht="12.75" customHeight="1">
      <c r="B290" s="161"/>
    </row>
    <row r="291" ht="12.75" customHeight="1">
      <c r="B291" s="161"/>
    </row>
    <row r="292" ht="12.75" customHeight="1">
      <c r="B292" s="161"/>
    </row>
    <row r="293" ht="12.75" customHeight="1">
      <c r="B293" s="161"/>
    </row>
    <row r="294" ht="12.75" customHeight="1">
      <c r="B294" s="161"/>
    </row>
    <row r="295" ht="12.75" customHeight="1">
      <c r="B295" s="161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</sheetData>
  <autoFilter ref="$A$4:$AD$95"/>
  <mergeCells count="2">
    <mergeCell ref="C4:O4"/>
    <mergeCell ref="P4:AB4"/>
  </mergeCells>
  <conditionalFormatting sqref="O95">
    <cfRule type="cellIs" dxfId="0" priority="1" operator="notBetween">
      <formula>-0.001</formula>
      <formula>0.001</formula>
    </cfRule>
  </conditionalFormatting>
  <conditionalFormatting sqref="AB95">
    <cfRule type="cellIs" dxfId="0" priority="2" operator="notBetween">
      <formula>-0.001</formula>
      <formula>0.001</formula>
    </cfRule>
  </conditionalFormatting>
  <printOptions/>
  <pageMargins bottom="0.984251969" footer="0.0" header="0.0" left="0.787401575" right="0.787401575" top="0.984251969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10DD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/>
  <cols>
    <col customWidth="1" min="1" max="1" width="3.88"/>
    <col customWidth="1" min="2" max="2" width="50.38"/>
    <col customWidth="1" min="3" max="14" width="8.13" outlineLevel="1"/>
    <col customWidth="1" min="15" max="15" width="12.88"/>
    <col customWidth="1" min="16" max="27" width="9.38" outlineLevel="1"/>
    <col customWidth="1" min="28" max="31" width="12.88"/>
    <col customWidth="1" min="32" max="35" width="10.75"/>
  </cols>
  <sheetData>
    <row r="1" ht="6.75" customHeight="1">
      <c r="B1" s="162"/>
      <c r="C1" s="479"/>
      <c r="P1" s="479"/>
      <c r="Q1" s="479"/>
      <c r="AD1" s="480"/>
      <c r="AE1" s="479"/>
      <c r="AF1" s="481"/>
    </row>
    <row r="2" ht="24.75" customHeight="1">
      <c r="A2" s="482"/>
      <c r="B2" s="354" t="s">
        <v>383</v>
      </c>
      <c r="C2" s="483"/>
      <c r="D2" s="37"/>
      <c r="E2" s="37"/>
      <c r="F2" s="38"/>
      <c r="G2" s="39"/>
      <c r="H2" s="39"/>
      <c r="I2" s="39"/>
      <c r="J2" s="39"/>
      <c r="K2" s="39"/>
      <c r="L2" s="39"/>
      <c r="M2" s="39"/>
      <c r="N2" s="39"/>
      <c r="O2" s="39"/>
      <c r="P2" s="484"/>
      <c r="Q2" s="483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484"/>
      <c r="AE2" s="485"/>
      <c r="AF2" s="482"/>
      <c r="AG2" s="482"/>
      <c r="AH2" s="482"/>
      <c r="AI2" s="482"/>
    </row>
    <row r="3" ht="6.75" customHeight="1">
      <c r="A3" s="486"/>
      <c r="B3" s="169"/>
      <c r="C3" s="487"/>
      <c r="D3" s="488"/>
      <c r="E3" s="488"/>
      <c r="F3" s="488"/>
      <c r="G3" s="486"/>
      <c r="H3" s="486"/>
      <c r="I3" s="486"/>
      <c r="J3" s="486"/>
      <c r="K3" s="488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9"/>
      <c r="AF3" s="486"/>
      <c r="AG3" s="486"/>
      <c r="AH3" s="486"/>
      <c r="AI3" s="486"/>
    </row>
    <row r="4" ht="24.75" customHeight="1">
      <c r="A4" s="490"/>
      <c r="B4" s="172"/>
      <c r="C4" s="174">
        <f>YEAR(date_début)</f>
        <v>2025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1"/>
      <c r="P4" s="174">
        <f>YEAR(EDATE(date_début,12))</f>
        <v>2026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75">
        <f>YEAR(EDATE(date_début,24))</f>
        <v>2027</v>
      </c>
      <c r="AD4" s="175">
        <f>YEAR(EDATE(date_début,36))</f>
        <v>2028</v>
      </c>
      <c r="AE4" s="491"/>
      <c r="AF4" s="490"/>
      <c r="AG4" s="490"/>
      <c r="AH4" s="553"/>
      <c r="AI4" s="553"/>
    </row>
    <row r="5" ht="12.75" customHeight="1">
      <c r="A5" s="490"/>
      <c r="B5" s="177"/>
      <c r="C5" s="178" t="s">
        <v>187</v>
      </c>
      <c r="D5" s="178" t="s">
        <v>188</v>
      </c>
      <c r="E5" s="178" t="s">
        <v>189</v>
      </c>
      <c r="F5" s="178" t="s">
        <v>190</v>
      </c>
      <c r="G5" s="178" t="s">
        <v>191</v>
      </c>
      <c r="H5" s="178" t="s">
        <v>192</v>
      </c>
      <c r="I5" s="178" t="s">
        <v>193</v>
      </c>
      <c r="J5" s="178" t="s">
        <v>194</v>
      </c>
      <c r="K5" s="178" t="s">
        <v>195</v>
      </c>
      <c r="L5" s="178" t="s">
        <v>196</v>
      </c>
      <c r="M5" s="178" t="s">
        <v>197</v>
      </c>
      <c r="N5" s="178" t="s">
        <v>198</v>
      </c>
      <c r="O5" s="492"/>
      <c r="P5" s="178" t="s">
        <v>187</v>
      </c>
      <c r="Q5" s="178" t="s">
        <v>188</v>
      </c>
      <c r="R5" s="178" t="s">
        <v>189</v>
      </c>
      <c r="S5" s="178" t="s">
        <v>190</v>
      </c>
      <c r="T5" s="178" t="s">
        <v>191</v>
      </c>
      <c r="U5" s="178" t="s">
        <v>192</v>
      </c>
      <c r="V5" s="178" t="s">
        <v>193</v>
      </c>
      <c r="W5" s="178" t="s">
        <v>194</v>
      </c>
      <c r="X5" s="178" t="s">
        <v>195</v>
      </c>
      <c r="Y5" s="178" t="s">
        <v>196</v>
      </c>
      <c r="Z5" s="178" t="s">
        <v>197</v>
      </c>
      <c r="AA5" s="178" t="s">
        <v>198</v>
      </c>
      <c r="AB5" s="492"/>
      <c r="AC5" s="490"/>
      <c r="AD5" s="490"/>
      <c r="AE5" s="493"/>
      <c r="AF5" s="490"/>
      <c r="AG5" s="490"/>
      <c r="AH5" s="553"/>
      <c r="AI5" s="553"/>
    </row>
    <row r="6" ht="24.75" customHeight="1">
      <c r="A6" s="494"/>
      <c r="B6" s="409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554"/>
      <c r="N6" s="182"/>
      <c r="O6" s="182"/>
      <c r="P6" s="495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495"/>
      <c r="AD6" s="495"/>
      <c r="AE6" s="496"/>
      <c r="AF6" s="497"/>
      <c r="AG6" s="497"/>
      <c r="AH6" s="497"/>
      <c r="AI6" s="497"/>
    </row>
    <row r="7" ht="15.0" customHeight="1">
      <c r="A7" s="498"/>
      <c r="B7" s="555" t="s">
        <v>384</v>
      </c>
      <c r="C7" s="556"/>
      <c r="D7" s="557"/>
      <c r="E7" s="557"/>
      <c r="F7" s="557"/>
      <c r="G7" s="557"/>
      <c r="H7" s="557"/>
      <c r="I7" s="557"/>
      <c r="J7" s="557"/>
      <c r="K7" s="557"/>
      <c r="L7" s="557"/>
      <c r="M7" s="558"/>
      <c r="N7" s="559"/>
      <c r="O7" s="560">
        <f t="shared" ref="O7:O36" si="1">SUM(C7:N7)</f>
        <v>0</v>
      </c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9"/>
      <c r="AB7" s="560">
        <f t="shared" ref="AB7:AB25" si="2">SUM(P7:AA7)</f>
        <v>0</v>
      </c>
      <c r="AC7" s="561">
        <v>0.0</v>
      </c>
      <c r="AD7" s="562">
        <v>0.0</v>
      </c>
      <c r="AE7" s="498"/>
      <c r="AF7" s="506"/>
      <c r="AG7" s="506"/>
      <c r="AH7" s="506"/>
      <c r="AI7" s="506"/>
    </row>
    <row r="8" ht="15.0" customHeight="1">
      <c r="A8" s="498"/>
      <c r="B8" s="499" t="s">
        <v>385</v>
      </c>
      <c r="C8" s="509"/>
      <c r="D8" s="501"/>
      <c r="E8" s="501"/>
      <c r="F8" s="509"/>
      <c r="G8" s="509">
        <v>787.0</v>
      </c>
      <c r="H8" s="501"/>
      <c r="I8" s="501"/>
      <c r="J8" s="501"/>
      <c r="K8" s="501"/>
      <c r="L8" s="500"/>
      <c r="M8" s="500"/>
      <c r="N8" s="502"/>
      <c r="O8" s="503">
        <f t="shared" si="1"/>
        <v>787</v>
      </c>
      <c r="P8" s="500"/>
      <c r="Q8" s="501"/>
      <c r="R8" s="501"/>
      <c r="S8" s="501"/>
      <c r="T8" s="501"/>
      <c r="U8" s="501"/>
      <c r="V8" s="501"/>
      <c r="W8" s="501"/>
      <c r="X8" s="501"/>
      <c r="Y8" s="501"/>
      <c r="Z8" s="501"/>
      <c r="AA8" s="502"/>
      <c r="AB8" s="503">
        <f t="shared" si="2"/>
        <v>0</v>
      </c>
      <c r="AC8" s="504">
        <v>0.0</v>
      </c>
      <c r="AD8" s="505">
        <v>0.0</v>
      </c>
      <c r="AE8" s="498"/>
      <c r="AF8" s="506"/>
      <c r="AG8" s="506"/>
      <c r="AH8" s="506"/>
      <c r="AI8" s="506"/>
    </row>
    <row r="9" ht="15.0" customHeight="1">
      <c r="A9" s="498"/>
      <c r="B9" s="507" t="s">
        <v>386</v>
      </c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2"/>
      <c r="O9" s="503">
        <f t="shared" si="1"/>
        <v>0</v>
      </c>
      <c r="P9" s="501"/>
      <c r="Q9" s="501"/>
      <c r="R9" s="501"/>
      <c r="S9" s="501"/>
      <c r="T9" s="501"/>
      <c r="U9" s="501"/>
      <c r="V9" s="501"/>
      <c r="W9" s="501"/>
      <c r="X9" s="501"/>
      <c r="Y9" s="501"/>
      <c r="Z9" s="501"/>
      <c r="AA9" s="502"/>
      <c r="AB9" s="503">
        <f t="shared" si="2"/>
        <v>0</v>
      </c>
      <c r="AC9" s="504">
        <v>0.0</v>
      </c>
      <c r="AD9" s="505">
        <v>0.0</v>
      </c>
      <c r="AE9" s="498"/>
      <c r="AF9" s="498"/>
      <c r="AG9" s="498"/>
      <c r="AH9" s="498"/>
      <c r="AI9" s="498"/>
    </row>
    <row r="10" ht="15.0" customHeight="1">
      <c r="A10" s="498"/>
      <c r="B10" s="507" t="s">
        <v>377</v>
      </c>
      <c r="C10" s="500"/>
      <c r="D10" s="501"/>
      <c r="E10" s="501"/>
      <c r="F10" s="501"/>
      <c r="G10" s="501"/>
      <c r="H10" s="501"/>
      <c r="I10" s="501"/>
      <c r="J10" s="501"/>
      <c r="K10" s="501"/>
      <c r="L10" s="501"/>
      <c r="M10" s="501"/>
      <c r="N10" s="502"/>
      <c r="O10" s="503">
        <f t="shared" si="1"/>
        <v>0</v>
      </c>
      <c r="P10" s="501"/>
      <c r="Q10" s="501"/>
      <c r="R10" s="501"/>
      <c r="S10" s="501"/>
      <c r="T10" s="501"/>
      <c r="U10" s="501"/>
      <c r="V10" s="501"/>
      <c r="W10" s="501"/>
      <c r="X10" s="501"/>
      <c r="Y10" s="501"/>
      <c r="Z10" s="501"/>
      <c r="AA10" s="502"/>
      <c r="AB10" s="503">
        <f t="shared" si="2"/>
        <v>0</v>
      </c>
      <c r="AC10" s="504">
        <v>0.0</v>
      </c>
      <c r="AD10" s="505">
        <v>0.0</v>
      </c>
      <c r="AE10" s="498"/>
      <c r="AF10" s="498"/>
      <c r="AG10" s="498"/>
      <c r="AH10" s="498"/>
      <c r="AI10" s="498"/>
    </row>
    <row r="11" ht="15.0" customHeight="1">
      <c r="A11" s="498"/>
      <c r="B11" s="507" t="s">
        <v>378</v>
      </c>
      <c r="C11" s="500"/>
      <c r="D11" s="501"/>
      <c r="E11" s="501"/>
      <c r="F11" s="501"/>
      <c r="G11" s="501"/>
      <c r="H11" s="501"/>
      <c r="I11" s="501"/>
      <c r="J11" s="501"/>
      <c r="K11" s="501"/>
      <c r="L11" s="501"/>
      <c r="M11" s="501"/>
      <c r="N11" s="502"/>
      <c r="O11" s="503">
        <f t="shared" si="1"/>
        <v>0</v>
      </c>
      <c r="P11" s="501"/>
      <c r="Q11" s="501"/>
      <c r="R11" s="501"/>
      <c r="S11" s="501"/>
      <c r="T11" s="501"/>
      <c r="U11" s="501"/>
      <c r="V11" s="501"/>
      <c r="W11" s="501"/>
      <c r="X11" s="501"/>
      <c r="Y11" s="501"/>
      <c r="Z11" s="501"/>
      <c r="AA11" s="502"/>
      <c r="AB11" s="503">
        <f t="shared" si="2"/>
        <v>0</v>
      </c>
      <c r="AC11" s="504">
        <v>0.0</v>
      </c>
      <c r="AD11" s="505">
        <v>0.0</v>
      </c>
      <c r="AE11" s="498"/>
      <c r="AF11" s="498"/>
      <c r="AG11" s="498"/>
      <c r="AH11" s="498"/>
      <c r="AI11" s="498"/>
    </row>
    <row r="12" ht="15.0" customHeight="1">
      <c r="A12" s="498"/>
      <c r="B12" s="507" t="s">
        <v>379</v>
      </c>
      <c r="C12" s="500"/>
      <c r="D12" s="501"/>
      <c r="E12" s="501"/>
      <c r="F12" s="501"/>
      <c r="G12" s="501"/>
      <c r="H12" s="501"/>
      <c r="I12" s="501"/>
      <c r="J12" s="501"/>
      <c r="K12" s="501"/>
      <c r="L12" s="500"/>
      <c r="M12" s="500"/>
      <c r="N12" s="502"/>
      <c r="O12" s="503">
        <f t="shared" si="1"/>
        <v>0</v>
      </c>
      <c r="P12" s="500"/>
      <c r="Q12" s="501"/>
      <c r="R12" s="501"/>
      <c r="S12" s="501"/>
      <c r="T12" s="501"/>
      <c r="U12" s="501"/>
      <c r="V12" s="501"/>
      <c r="W12" s="501"/>
      <c r="X12" s="501"/>
      <c r="Y12" s="501"/>
      <c r="Z12" s="501"/>
      <c r="AA12" s="502"/>
      <c r="AB12" s="503">
        <f t="shared" si="2"/>
        <v>0</v>
      </c>
      <c r="AC12" s="504">
        <v>0.0</v>
      </c>
      <c r="AD12" s="505">
        <v>0.0</v>
      </c>
      <c r="AE12" s="498"/>
      <c r="AF12" s="506"/>
      <c r="AG12" s="506"/>
      <c r="AH12" s="506"/>
      <c r="AI12" s="506"/>
    </row>
    <row r="13" ht="15.0" customHeight="1">
      <c r="A13" s="498"/>
      <c r="B13" s="507" t="s">
        <v>387</v>
      </c>
      <c r="C13" s="500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2"/>
      <c r="O13" s="503">
        <f t="shared" si="1"/>
        <v>0</v>
      </c>
      <c r="P13" s="501"/>
      <c r="Q13" s="501"/>
      <c r="R13" s="501"/>
      <c r="S13" s="501"/>
      <c r="T13" s="501"/>
      <c r="U13" s="501"/>
      <c r="V13" s="501"/>
      <c r="W13" s="501"/>
      <c r="X13" s="501"/>
      <c r="Y13" s="501"/>
      <c r="Z13" s="501"/>
      <c r="AA13" s="508"/>
      <c r="AB13" s="503">
        <f t="shared" si="2"/>
        <v>0</v>
      </c>
      <c r="AC13" s="504">
        <v>0.0</v>
      </c>
      <c r="AD13" s="505">
        <v>0.0</v>
      </c>
      <c r="AE13" s="498"/>
      <c r="AF13" s="498"/>
      <c r="AG13" s="498"/>
      <c r="AH13" s="498"/>
      <c r="AI13" s="498"/>
    </row>
    <row r="14" ht="15.0" customHeight="1">
      <c r="A14" s="498"/>
      <c r="B14" s="507" t="s">
        <v>388</v>
      </c>
      <c r="C14" s="500"/>
      <c r="D14" s="501"/>
      <c r="E14" s="501"/>
      <c r="F14" s="501"/>
      <c r="G14" s="501"/>
      <c r="H14" s="501"/>
      <c r="I14" s="501"/>
      <c r="J14" s="501"/>
      <c r="K14" s="501"/>
      <c r="L14" s="501"/>
      <c r="M14" s="501"/>
      <c r="N14" s="502"/>
      <c r="O14" s="503">
        <f t="shared" si="1"/>
        <v>0</v>
      </c>
      <c r="P14" s="500"/>
      <c r="Q14" s="501"/>
      <c r="R14" s="501"/>
      <c r="S14" s="501"/>
      <c r="T14" s="501"/>
      <c r="U14" s="501"/>
      <c r="V14" s="501"/>
      <c r="W14" s="501"/>
      <c r="X14" s="501"/>
      <c r="Y14" s="501"/>
      <c r="Z14" s="501"/>
      <c r="AA14" s="508"/>
      <c r="AB14" s="503">
        <f t="shared" si="2"/>
        <v>0</v>
      </c>
      <c r="AC14" s="504">
        <v>0.0</v>
      </c>
      <c r="AD14" s="505">
        <v>0.0</v>
      </c>
      <c r="AE14" s="498"/>
      <c r="AF14" s="498"/>
      <c r="AG14" s="498"/>
      <c r="AH14" s="498"/>
      <c r="AI14" s="498"/>
    </row>
    <row r="15" ht="15.0" customHeight="1">
      <c r="A15" s="498"/>
      <c r="B15" s="507"/>
      <c r="C15" s="500"/>
      <c r="D15" s="501"/>
      <c r="E15" s="501"/>
      <c r="F15" s="501"/>
      <c r="G15" s="501"/>
      <c r="H15" s="501"/>
      <c r="I15" s="501"/>
      <c r="J15" s="501"/>
      <c r="K15" s="501"/>
      <c r="L15" s="501"/>
      <c r="M15" s="501"/>
      <c r="N15" s="502"/>
      <c r="O15" s="503">
        <f t="shared" si="1"/>
        <v>0</v>
      </c>
      <c r="P15" s="500"/>
      <c r="Q15" s="501"/>
      <c r="R15" s="501"/>
      <c r="S15" s="501"/>
      <c r="T15" s="501"/>
      <c r="U15" s="501"/>
      <c r="V15" s="501"/>
      <c r="W15" s="501"/>
      <c r="X15" s="501"/>
      <c r="Y15" s="501"/>
      <c r="Z15" s="501"/>
      <c r="AA15" s="508"/>
      <c r="AB15" s="503">
        <f t="shared" si="2"/>
        <v>0</v>
      </c>
      <c r="AC15" s="504">
        <v>0.0</v>
      </c>
      <c r="AD15" s="505">
        <v>0.0</v>
      </c>
      <c r="AE15" s="498"/>
      <c r="AF15" s="498"/>
      <c r="AG15" s="498"/>
      <c r="AH15" s="498"/>
      <c r="AI15" s="498"/>
    </row>
    <row r="16" ht="15.0" customHeight="1">
      <c r="A16" s="498"/>
      <c r="B16" s="507"/>
      <c r="C16" s="500"/>
      <c r="D16" s="501"/>
      <c r="E16" s="501"/>
      <c r="F16" s="501"/>
      <c r="G16" s="501"/>
      <c r="H16" s="501"/>
      <c r="I16" s="501"/>
      <c r="J16" s="501"/>
      <c r="K16" s="501"/>
      <c r="L16" s="501"/>
      <c r="M16" s="501"/>
      <c r="N16" s="502"/>
      <c r="O16" s="503">
        <f t="shared" si="1"/>
        <v>0</v>
      </c>
      <c r="P16" s="500"/>
      <c r="Q16" s="501"/>
      <c r="R16" s="501"/>
      <c r="S16" s="501"/>
      <c r="T16" s="501"/>
      <c r="U16" s="501"/>
      <c r="V16" s="501"/>
      <c r="W16" s="501"/>
      <c r="X16" s="501"/>
      <c r="Y16" s="501"/>
      <c r="Z16" s="501"/>
      <c r="AA16" s="508"/>
      <c r="AB16" s="503">
        <f t="shared" si="2"/>
        <v>0</v>
      </c>
      <c r="AC16" s="504">
        <v>0.0</v>
      </c>
      <c r="AD16" s="505">
        <v>0.0</v>
      </c>
      <c r="AE16" s="498"/>
      <c r="AF16" s="498"/>
      <c r="AG16" s="498"/>
      <c r="AH16" s="498"/>
      <c r="AI16" s="498"/>
    </row>
    <row r="17" ht="15.0" customHeight="1">
      <c r="A17" s="498"/>
      <c r="B17" s="534" t="s">
        <v>389</v>
      </c>
      <c r="C17" s="500"/>
      <c r="D17" s="501"/>
      <c r="E17" s="501"/>
      <c r="F17" s="501"/>
      <c r="G17" s="501"/>
      <c r="H17" s="501"/>
      <c r="I17" s="501"/>
      <c r="J17" s="501"/>
      <c r="K17" s="501"/>
      <c r="L17" s="501"/>
      <c r="M17" s="501"/>
      <c r="N17" s="502"/>
      <c r="O17" s="503">
        <f t="shared" si="1"/>
        <v>0</v>
      </c>
      <c r="P17" s="500"/>
      <c r="Q17" s="501"/>
      <c r="R17" s="501"/>
      <c r="S17" s="501"/>
      <c r="T17" s="501"/>
      <c r="U17" s="501"/>
      <c r="V17" s="501"/>
      <c r="W17" s="501"/>
      <c r="X17" s="501"/>
      <c r="Y17" s="501"/>
      <c r="Z17" s="501"/>
      <c r="AA17" s="508"/>
      <c r="AB17" s="503">
        <f t="shared" si="2"/>
        <v>0</v>
      </c>
      <c r="AC17" s="504">
        <v>0.0</v>
      </c>
      <c r="AD17" s="505">
        <v>0.0</v>
      </c>
      <c r="AE17" s="498"/>
      <c r="AF17" s="498"/>
      <c r="AG17" s="498"/>
      <c r="AH17" s="498"/>
      <c r="AI17" s="498"/>
    </row>
    <row r="18" ht="15.0" customHeight="1">
      <c r="A18" s="498"/>
      <c r="B18" s="515" t="s">
        <v>390</v>
      </c>
      <c r="C18" s="509"/>
      <c r="D18" s="509"/>
      <c r="E18" s="509"/>
      <c r="F18" s="509"/>
      <c r="G18" s="509"/>
      <c r="H18" s="509"/>
      <c r="I18" s="509"/>
      <c r="J18" s="509"/>
      <c r="K18" s="509"/>
      <c r="L18" s="509"/>
      <c r="M18" s="509"/>
      <c r="N18" s="510"/>
      <c r="O18" s="503">
        <f t="shared" si="1"/>
        <v>0</v>
      </c>
      <c r="P18" s="509"/>
      <c r="Q18" s="509"/>
      <c r="R18" s="509"/>
      <c r="S18" s="509"/>
      <c r="T18" s="509"/>
      <c r="U18" s="509"/>
      <c r="V18" s="509"/>
      <c r="W18" s="509"/>
      <c r="X18" s="509"/>
      <c r="Y18" s="509"/>
      <c r="Z18" s="509"/>
      <c r="AA18" s="510"/>
      <c r="AB18" s="503">
        <f t="shared" si="2"/>
        <v>0</v>
      </c>
      <c r="AC18" s="504">
        <v>0.0</v>
      </c>
      <c r="AD18" s="505">
        <v>0.0</v>
      </c>
      <c r="AE18" s="498"/>
      <c r="AF18" s="498"/>
      <c r="AG18" s="498"/>
      <c r="AH18" s="498"/>
      <c r="AI18" s="498"/>
    </row>
    <row r="19" ht="15.0" customHeight="1">
      <c r="A19" s="498"/>
      <c r="B19" s="507" t="s">
        <v>391</v>
      </c>
      <c r="C19" s="509"/>
      <c r="D19" s="501"/>
      <c r="E19" s="501"/>
      <c r="F19" s="501"/>
      <c r="G19" s="509"/>
      <c r="H19" s="509">
        <v>2000.0</v>
      </c>
      <c r="I19" s="509"/>
      <c r="J19" s="501"/>
      <c r="K19" s="501"/>
      <c r="L19" s="501"/>
      <c r="M19" s="501"/>
      <c r="N19" s="502"/>
      <c r="O19" s="503">
        <f t="shared" si="1"/>
        <v>2000</v>
      </c>
      <c r="P19" s="501"/>
      <c r="Q19" s="501"/>
      <c r="R19" s="501"/>
      <c r="S19" s="501"/>
      <c r="T19" s="501"/>
      <c r="U19" s="501"/>
      <c r="V19" s="501"/>
      <c r="W19" s="501"/>
      <c r="X19" s="501"/>
      <c r="Y19" s="501"/>
      <c r="Z19" s="501"/>
      <c r="AA19" s="508"/>
      <c r="AB19" s="503">
        <f t="shared" si="2"/>
        <v>0</v>
      </c>
      <c r="AC19" s="504">
        <v>0.0</v>
      </c>
      <c r="AD19" s="505">
        <v>0.0</v>
      </c>
      <c r="AE19" s="498"/>
      <c r="AF19" s="498"/>
      <c r="AG19" s="498"/>
      <c r="AH19" s="498"/>
      <c r="AI19" s="498"/>
    </row>
    <row r="20" ht="15.0" customHeight="1">
      <c r="A20" s="498"/>
      <c r="B20" s="507" t="s">
        <v>392</v>
      </c>
      <c r="C20" s="500"/>
      <c r="D20" s="501"/>
      <c r="E20" s="501"/>
      <c r="F20" s="501"/>
      <c r="G20" s="501"/>
      <c r="H20" s="501"/>
      <c r="I20" s="501"/>
      <c r="J20" s="501"/>
      <c r="K20" s="509"/>
      <c r="L20" s="501"/>
      <c r="M20" s="501"/>
      <c r="N20" s="502"/>
      <c r="O20" s="503">
        <f t="shared" si="1"/>
        <v>0</v>
      </c>
      <c r="P20" s="501"/>
      <c r="Q20" s="501"/>
      <c r="R20" s="501"/>
      <c r="S20" s="501"/>
      <c r="T20" s="501"/>
      <c r="U20" s="501"/>
      <c r="V20" s="501"/>
      <c r="W20" s="501"/>
      <c r="X20" s="501"/>
      <c r="Y20" s="501"/>
      <c r="Z20" s="501"/>
      <c r="AA20" s="508"/>
      <c r="AB20" s="503">
        <f t="shared" si="2"/>
        <v>0</v>
      </c>
      <c r="AC20" s="504">
        <v>0.0</v>
      </c>
      <c r="AD20" s="505">
        <v>0.0</v>
      </c>
      <c r="AE20" s="498"/>
      <c r="AF20" s="498"/>
      <c r="AG20" s="498"/>
      <c r="AH20" s="498"/>
      <c r="AI20" s="498"/>
    </row>
    <row r="21" ht="15.0" customHeight="1">
      <c r="A21" s="498"/>
      <c r="B21" s="507" t="s">
        <v>393</v>
      </c>
      <c r="C21" s="500"/>
      <c r="D21" s="501"/>
      <c r="E21" s="501"/>
      <c r="F21" s="501"/>
      <c r="G21" s="501"/>
      <c r="H21" s="501"/>
      <c r="I21" s="501"/>
      <c r="J21" s="501"/>
      <c r="K21" s="501"/>
      <c r="L21" s="500"/>
      <c r="M21" s="500"/>
      <c r="N21" s="508"/>
      <c r="O21" s="503">
        <f t="shared" si="1"/>
        <v>0</v>
      </c>
      <c r="P21" s="501"/>
      <c r="Q21" s="501"/>
      <c r="R21" s="501"/>
      <c r="S21" s="501"/>
      <c r="T21" s="501"/>
      <c r="U21" s="501"/>
      <c r="V21" s="501"/>
      <c r="W21" s="501"/>
      <c r="X21" s="501"/>
      <c r="Y21" s="501"/>
      <c r="Z21" s="501"/>
      <c r="AA21" s="502"/>
      <c r="AB21" s="503">
        <f t="shared" si="2"/>
        <v>0</v>
      </c>
      <c r="AC21" s="504">
        <v>0.0</v>
      </c>
      <c r="AD21" s="505">
        <v>0.0</v>
      </c>
      <c r="AE21" s="498"/>
      <c r="AF21" s="498"/>
      <c r="AG21" s="498"/>
      <c r="AH21" s="498"/>
      <c r="AI21" s="498"/>
    </row>
    <row r="22" ht="15.0" customHeight="1">
      <c r="A22" s="498"/>
      <c r="B22" s="507" t="s">
        <v>394</v>
      </c>
      <c r="C22" s="500"/>
      <c r="D22" s="501"/>
      <c r="E22" s="501"/>
      <c r="F22" s="501"/>
      <c r="G22" s="501"/>
      <c r="H22" s="501"/>
      <c r="I22" s="501"/>
      <c r="J22" s="501"/>
      <c r="K22" s="501"/>
      <c r="L22" s="500"/>
      <c r="M22" s="500"/>
      <c r="N22" s="508"/>
      <c r="O22" s="503">
        <f t="shared" si="1"/>
        <v>0</v>
      </c>
      <c r="P22" s="500"/>
      <c r="Q22" s="501"/>
      <c r="R22" s="501"/>
      <c r="S22" s="501"/>
      <c r="T22" s="501"/>
      <c r="U22" s="501"/>
      <c r="V22" s="501"/>
      <c r="W22" s="501"/>
      <c r="X22" s="501"/>
      <c r="Y22" s="501"/>
      <c r="Z22" s="501"/>
      <c r="AA22" s="502"/>
      <c r="AB22" s="503">
        <f t="shared" si="2"/>
        <v>0</v>
      </c>
      <c r="AC22" s="504">
        <v>0.0</v>
      </c>
      <c r="AD22" s="505">
        <v>0.0</v>
      </c>
      <c r="AE22" s="498"/>
      <c r="AF22" s="498"/>
      <c r="AG22" s="498"/>
      <c r="AH22" s="498"/>
      <c r="AI22" s="498"/>
    </row>
    <row r="23" ht="15.0" customHeight="1">
      <c r="A23" s="498"/>
      <c r="B23" s="507" t="s">
        <v>395</v>
      </c>
      <c r="C23" s="500"/>
      <c r="D23" s="501"/>
      <c r="E23" s="501"/>
      <c r="F23" s="501"/>
      <c r="G23" s="501"/>
      <c r="H23" s="563">
        <v>2000.0</v>
      </c>
      <c r="I23" s="509"/>
      <c r="J23" s="501"/>
      <c r="K23" s="501"/>
      <c r="L23" s="500"/>
      <c r="M23" s="500"/>
      <c r="N23" s="508"/>
      <c r="O23" s="503">
        <f t="shared" si="1"/>
        <v>2000</v>
      </c>
      <c r="P23" s="500"/>
      <c r="Q23" s="500"/>
      <c r="R23" s="500"/>
      <c r="S23" s="500"/>
      <c r="T23" s="500"/>
      <c r="U23" s="500"/>
      <c r="V23" s="500"/>
      <c r="W23" s="500"/>
      <c r="X23" s="500"/>
      <c r="Y23" s="500"/>
      <c r="Z23" s="500"/>
      <c r="AA23" s="508"/>
      <c r="AB23" s="503">
        <f t="shared" si="2"/>
        <v>0</v>
      </c>
      <c r="AC23" s="504">
        <v>0.0</v>
      </c>
      <c r="AD23" s="505">
        <v>0.0</v>
      </c>
      <c r="AE23" s="498"/>
      <c r="AF23" s="498"/>
      <c r="AG23" s="498"/>
      <c r="AH23" s="498"/>
      <c r="AI23" s="498"/>
    </row>
    <row r="24" ht="15.0" customHeight="1">
      <c r="A24" s="498"/>
      <c r="B24" s="564" t="s">
        <v>396</v>
      </c>
      <c r="C24" s="500"/>
      <c r="D24" s="501"/>
      <c r="E24" s="501"/>
      <c r="F24" s="501"/>
      <c r="G24" s="501"/>
      <c r="H24" s="509"/>
      <c r="I24" s="501"/>
      <c r="J24" s="501"/>
      <c r="K24" s="501"/>
      <c r="L24" s="501"/>
      <c r="M24" s="501"/>
      <c r="N24" s="502"/>
      <c r="O24" s="503">
        <f t="shared" si="1"/>
        <v>0</v>
      </c>
      <c r="P24" s="500"/>
      <c r="Q24" s="501"/>
      <c r="R24" s="501"/>
      <c r="S24" s="501"/>
      <c r="T24" s="501"/>
      <c r="U24" s="501"/>
      <c r="V24" s="501"/>
      <c r="W24" s="501"/>
      <c r="X24" s="501"/>
      <c r="Y24" s="501"/>
      <c r="Z24" s="501"/>
      <c r="AA24" s="502"/>
      <c r="AB24" s="503">
        <f t="shared" si="2"/>
        <v>0</v>
      </c>
      <c r="AC24" s="504">
        <v>0.0</v>
      </c>
      <c r="AD24" s="505">
        <v>0.0</v>
      </c>
      <c r="AE24" s="498"/>
      <c r="AF24" s="498"/>
      <c r="AG24" s="498"/>
      <c r="AH24" s="498"/>
      <c r="AI24" s="498"/>
    </row>
    <row r="25" ht="15.0" customHeight="1">
      <c r="A25" s="498"/>
      <c r="B25" s="507" t="s">
        <v>397</v>
      </c>
      <c r="C25" s="500"/>
      <c r="D25" s="501"/>
      <c r="E25" s="501"/>
      <c r="F25" s="501"/>
      <c r="G25" s="501"/>
      <c r="H25" s="501"/>
      <c r="I25" s="501"/>
      <c r="J25" s="501"/>
      <c r="K25" s="501"/>
      <c r="L25" s="501"/>
      <c r="M25" s="501"/>
      <c r="N25" s="502"/>
      <c r="O25" s="503">
        <f t="shared" si="1"/>
        <v>0</v>
      </c>
      <c r="P25" s="501"/>
      <c r="Q25" s="501"/>
      <c r="R25" s="501"/>
      <c r="S25" s="501"/>
      <c r="T25" s="501"/>
      <c r="U25" s="501"/>
      <c r="V25" s="501"/>
      <c r="W25" s="501"/>
      <c r="X25" s="501"/>
      <c r="Y25" s="501"/>
      <c r="Z25" s="501"/>
      <c r="AA25" s="502"/>
      <c r="AB25" s="503">
        <f t="shared" si="2"/>
        <v>0</v>
      </c>
      <c r="AC25" s="504">
        <v>0.0</v>
      </c>
      <c r="AD25" s="505">
        <v>0.0</v>
      </c>
      <c r="AE25" s="498"/>
      <c r="AF25" s="498"/>
      <c r="AG25" s="498"/>
      <c r="AH25" s="498"/>
      <c r="AI25" s="498"/>
    </row>
    <row r="26" ht="15.0" customHeight="1">
      <c r="A26" s="498"/>
      <c r="B26" s="565" t="s">
        <v>398</v>
      </c>
      <c r="C26" s="566"/>
      <c r="D26" s="567"/>
      <c r="E26" s="567"/>
      <c r="F26" s="567"/>
      <c r="G26" s="567"/>
      <c r="H26" s="568"/>
      <c r="I26" s="568"/>
      <c r="J26" s="568"/>
      <c r="K26" s="568"/>
      <c r="L26" s="568"/>
      <c r="M26" s="567"/>
      <c r="N26" s="569"/>
      <c r="O26" s="503">
        <f t="shared" si="1"/>
        <v>0</v>
      </c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9"/>
      <c r="AB26" s="503"/>
      <c r="AC26" s="570"/>
      <c r="AD26" s="571"/>
      <c r="AE26" s="498"/>
      <c r="AF26" s="498"/>
      <c r="AG26" s="498"/>
      <c r="AH26" s="498"/>
      <c r="AI26" s="498"/>
    </row>
    <row r="27" ht="15.0" customHeight="1">
      <c r="A27" s="498"/>
      <c r="B27" s="308"/>
      <c r="C27" s="572"/>
      <c r="D27" s="567"/>
      <c r="E27" s="567"/>
      <c r="F27" s="567"/>
      <c r="G27" s="567"/>
      <c r="H27" s="567"/>
      <c r="I27" s="567"/>
      <c r="J27" s="567"/>
      <c r="K27" s="567"/>
      <c r="L27" s="567"/>
      <c r="M27" s="567"/>
      <c r="N27" s="569"/>
      <c r="O27" s="503">
        <f t="shared" si="1"/>
        <v>0</v>
      </c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9"/>
      <c r="AB27" s="503"/>
      <c r="AC27" s="570"/>
      <c r="AD27" s="571"/>
      <c r="AE27" s="498"/>
      <c r="AF27" s="498"/>
      <c r="AG27" s="498"/>
      <c r="AH27" s="498"/>
      <c r="AI27" s="498"/>
    </row>
    <row r="28" ht="15.0" customHeight="1">
      <c r="A28" s="498"/>
      <c r="B28" s="534" t="s">
        <v>399</v>
      </c>
      <c r="C28" s="572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9"/>
      <c r="O28" s="503">
        <f t="shared" si="1"/>
        <v>0</v>
      </c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9"/>
      <c r="AB28" s="503"/>
      <c r="AC28" s="570"/>
      <c r="AD28" s="571"/>
      <c r="AE28" s="498"/>
      <c r="AF28" s="498"/>
      <c r="AG28" s="498"/>
      <c r="AH28" s="498"/>
      <c r="AI28" s="498"/>
    </row>
    <row r="29" ht="15.0" customHeight="1">
      <c r="A29" s="498"/>
      <c r="B29" s="527" t="s">
        <v>400</v>
      </c>
      <c r="C29" s="572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9"/>
      <c r="O29" s="503">
        <f t="shared" si="1"/>
        <v>0</v>
      </c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9"/>
      <c r="AB29" s="503"/>
      <c r="AC29" s="570"/>
      <c r="AD29" s="571"/>
      <c r="AE29" s="498"/>
      <c r="AF29" s="498"/>
      <c r="AG29" s="498"/>
      <c r="AH29" s="498"/>
      <c r="AI29" s="498"/>
    </row>
    <row r="30" ht="15.0" customHeight="1">
      <c r="A30" s="498"/>
      <c r="B30" s="527" t="s">
        <v>401</v>
      </c>
      <c r="C30" s="566"/>
      <c r="D30" s="567"/>
      <c r="E30" s="567"/>
      <c r="F30" s="567"/>
      <c r="G30" s="568">
        <v>748.0</v>
      </c>
      <c r="H30" s="567"/>
      <c r="I30" s="567"/>
      <c r="J30" s="567"/>
      <c r="K30" s="567"/>
      <c r="L30" s="567"/>
      <c r="M30" s="567"/>
      <c r="N30" s="569"/>
      <c r="O30" s="503">
        <f t="shared" si="1"/>
        <v>748</v>
      </c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9"/>
      <c r="AB30" s="503"/>
      <c r="AC30" s="570"/>
      <c r="AD30" s="571"/>
      <c r="AE30" s="498"/>
      <c r="AF30" s="498"/>
      <c r="AG30" s="498"/>
      <c r="AH30" s="498"/>
      <c r="AI30" s="498"/>
    </row>
    <row r="31" ht="15.0" customHeight="1">
      <c r="A31" s="498"/>
      <c r="B31" s="527" t="s">
        <v>402</v>
      </c>
      <c r="C31" s="572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9"/>
      <c r="O31" s="503">
        <f t="shared" si="1"/>
        <v>0</v>
      </c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9"/>
      <c r="AB31" s="503"/>
      <c r="AC31" s="570"/>
      <c r="AD31" s="571"/>
      <c r="AE31" s="498"/>
      <c r="AF31" s="498"/>
      <c r="AG31" s="498"/>
      <c r="AH31" s="498"/>
      <c r="AI31" s="498"/>
    </row>
    <row r="32" ht="15.0" customHeight="1">
      <c r="A32" s="498"/>
      <c r="B32" s="527" t="s">
        <v>403</v>
      </c>
      <c r="C32" s="572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9"/>
      <c r="O32" s="503">
        <f t="shared" si="1"/>
        <v>0</v>
      </c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9"/>
      <c r="AB32" s="503"/>
      <c r="AC32" s="570"/>
      <c r="AD32" s="571"/>
      <c r="AE32" s="498"/>
      <c r="AF32" s="498"/>
      <c r="AG32" s="498"/>
      <c r="AH32" s="498"/>
      <c r="AI32" s="498"/>
    </row>
    <row r="33" ht="15.0" customHeight="1">
      <c r="A33" s="498"/>
      <c r="B33" s="527"/>
      <c r="C33" s="572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9"/>
      <c r="O33" s="503">
        <f t="shared" si="1"/>
        <v>0</v>
      </c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9"/>
      <c r="AB33" s="503"/>
      <c r="AC33" s="570"/>
      <c r="AD33" s="571"/>
      <c r="AE33" s="498"/>
      <c r="AF33" s="498"/>
      <c r="AG33" s="498"/>
      <c r="AH33" s="498"/>
      <c r="AI33" s="498"/>
    </row>
    <row r="34" ht="15.0" customHeight="1">
      <c r="A34" s="498"/>
      <c r="B34" s="527"/>
      <c r="C34" s="572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9"/>
      <c r="O34" s="503">
        <f t="shared" si="1"/>
        <v>0</v>
      </c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9"/>
      <c r="AB34" s="503"/>
      <c r="AC34" s="570"/>
      <c r="AD34" s="571"/>
      <c r="AE34" s="498"/>
      <c r="AF34" s="498"/>
      <c r="AG34" s="498"/>
      <c r="AH34" s="498"/>
      <c r="AI34" s="498"/>
    </row>
    <row r="35" ht="15.0" customHeight="1">
      <c r="A35" s="498"/>
      <c r="B35" s="534" t="s">
        <v>404</v>
      </c>
      <c r="C35" s="500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9"/>
      <c r="O35" s="503">
        <f t="shared" si="1"/>
        <v>0</v>
      </c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9"/>
      <c r="AB35" s="503"/>
      <c r="AC35" s="570"/>
      <c r="AD35" s="571"/>
      <c r="AE35" s="498"/>
      <c r="AF35" s="498"/>
      <c r="AG35" s="498"/>
      <c r="AH35" s="498"/>
      <c r="AI35" s="498"/>
    </row>
    <row r="36" ht="15.0" customHeight="1">
      <c r="A36" s="498"/>
      <c r="B36" s="527" t="s">
        <v>334</v>
      </c>
      <c r="C36" s="509"/>
      <c r="D36" s="567"/>
      <c r="E36" s="567"/>
      <c r="F36" s="567"/>
      <c r="G36" s="573">
        <v>135000.0</v>
      </c>
      <c r="H36" s="567"/>
      <c r="I36" s="567"/>
      <c r="J36" s="567"/>
      <c r="K36" s="567"/>
      <c r="L36" s="567"/>
      <c r="M36" s="567"/>
      <c r="N36" s="569"/>
      <c r="O36" s="503">
        <f t="shared" si="1"/>
        <v>135000</v>
      </c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9"/>
      <c r="AB36" s="503"/>
      <c r="AC36" s="570"/>
      <c r="AD36" s="571"/>
      <c r="AE36" s="498"/>
      <c r="AF36" s="498"/>
      <c r="AG36" s="498"/>
      <c r="AH36" s="498"/>
      <c r="AI36" s="498"/>
    </row>
    <row r="37" ht="15.0" customHeight="1">
      <c r="A37" s="498"/>
      <c r="B37" s="527"/>
      <c r="C37" s="574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9"/>
      <c r="O37" s="503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9"/>
      <c r="AB37" s="503"/>
      <c r="AC37" s="570"/>
      <c r="AD37" s="571"/>
      <c r="AE37" s="498"/>
      <c r="AF37" s="498"/>
      <c r="AG37" s="498"/>
      <c r="AH37" s="498"/>
      <c r="AI37" s="498"/>
    </row>
    <row r="38" ht="15.0" customHeight="1">
      <c r="A38" s="498"/>
      <c r="B38" s="527"/>
      <c r="C38" s="574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9"/>
      <c r="O38" s="503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9"/>
      <c r="AB38" s="503"/>
      <c r="AC38" s="570"/>
      <c r="AD38" s="571"/>
      <c r="AE38" s="498"/>
      <c r="AF38" s="498"/>
      <c r="AG38" s="498"/>
      <c r="AH38" s="498"/>
      <c r="AI38" s="498"/>
    </row>
    <row r="39" ht="15.0" customHeight="1">
      <c r="A39" s="498"/>
      <c r="B39" s="534" t="s">
        <v>405</v>
      </c>
      <c r="C39" s="574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9"/>
      <c r="O39" s="503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9"/>
      <c r="AB39" s="503"/>
      <c r="AC39" s="570"/>
      <c r="AD39" s="571"/>
      <c r="AE39" s="498"/>
      <c r="AF39" s="498"/>
      <c r="AG39" s="498"/>
      <c r="AH39" s="498"/>
      <c r="AI39" s="498"/>
    </row>
    <row r="40" ht="15.0" customHeight="1">
      <c r="A40" s="498"/>
      <c r="B40" s="527" t="s">
        <v>405</v>
      </c>
      <c r="C40" s="566"/>
      <c r="D40" s="567"/>
      <c r="E40" s="567"/>
      <c r="F40" s="567"/>
      <c r="G40" s="567">
        <v>4500.0</v>
      </c>
      <c r="H40" s="567"/>
      <c r="I40" s="567"/>
      <c r="J40" s="567"/>
      <c r="K40" s="567"/>
      <c r="L40" s="567"/>
      <c r="M40" s="567"/>
      <c r="N40" s="569"/>
      <c r="O40" s="503">
        <f>SUM(C40:N40)</f>
        <v>4500</v>
      </c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9"/>
      <c r="AB40" s="503"/>
      <c r="AC40" s="570"/>
      <c r="AD40" s="571"/>
      <c r="AE40" s="498"/>
      <c r="AF40" s="498"/>
      <c r="AG40" s="498"/>
      <c r="AH40" s="498"/>
      <c r="AI40" s="498"/>
    </row>
    <row r="41" ht="15.0" customHeight="1">
      <c r="A41" s="498"/>
      <c r="B41" s="527"/>
      <c r="C41" s="572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9"/>
      <c r="O41" s="503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9"/>
      <c r="AB41" s="503"/>
      <c r="AC41" s="570"/>
      <c r="AD41" s="571"/>
      <c r="AE41" s="498"/>
      <c r="AF41" s="498"/>
      <c r="AG41" s="498"/>
      <c r="AH41" s="498"/>
      <c r="AI41" s="498"/>
    </row>
    <row r="42" ht="15.0" customHeight="1">
      <c r="A42" s="498"/>
      <c r="B42" s="534" t="s">
        <v>406</v>
      </c>
      <c r="C42" s="572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9"/>
      <c r="O42" s="503">
        <f t="shared" ref="O42:O52" si="3">SUM(C42:N42)</f>
        <v>0</v>
      </c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9"/>
      <c r="AB42" s="503"/>
      <c r="AC42" s="570"/>
      <c r="AD42" s="571"/>
      <c r="AE42" s="498"/>
      <c r="AF42" s="498"/>
      <c r="AG42" s="498"/>
      <c r="AH42" s="498"/>
      <c r="AI42" s="498"/>
    </row>
    <row r="43" ht="15.0" customHeight="1">
      <c r="A43" s="498"/>
      <c r="B43" s="527" t="s">
        <v>407</v>
      </c>
      <c r="C43" s="514"/>
      <c r="D43" s="567"/>
      <c r="E43" s="567"/>
      <c r="F43" s="567"/>
      <c r="G43" s="567">
        <v>15000.0</v>
      </c>
      <c r="H43" s="567"/>
      <c r="I43" s="567"/>
      <c r="J43" s="567"/>
      <c r="K43" s="567"/>
      <c r="L43" s="567"/>
      <c r="M43" s="567"/>
      <c r="N43" s="569"/>
      <c r="O43" s="503">
        <f t="shared" si="3"/>
        <v>15000</v>
      </c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9"/>
      <c r="AB43" s="503"/>
      <c r="AC43" s="570"/>
      <c r="AD43" s="571"/>
      <c r="AE43" s="498"/>
      <c r="AF43" s="498"/>
      <c r="AG43" s="498"/>
      <c r="AH43" s="498"/>
      <c r="AI43" s="498"/>
    </row>
    <row r="44" ht="15.0" customHeight="1">
      <c r="A44" s="498"/>
      <c r="B44" s="527" t="s">
        <v>408</v>
      </c>
      <c r="C44" s="572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9"/>
      <c r="O44" s="503">
        <f t="shared" si="3"/>
        <v>0</v>
      </c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9"/>
      <c r="AB44" s="503"/>
      <c r="AC44" s="570"/>
      <c r="AD44" s="571"/>
      <c r="AE44" s="498"/>
      <c r="AF44" s="498"/>
      <c r="AG44" s="498"/>
      <c r="AH44" s="498"/>
      <c r="AI44" s="498"/>
    </row>
    <row r="45" ht="15.0" customHeight="1">
      <c r="A45" s="498"/>
      <c r="B45" s="527" t="s">
        <v>409</v>
      </c>
      <c r="C45" s="566"/>
      <c r="D45" s="567"/>
      <c r="E45" s="567"/>
      <c r="F45" s="567"/>
      <c r="G45" s="567">
        <v>3500.0</v>
      </c>
      <c r="H45" s="567"/>
      <c r="I45" s="567"/>
      <c r="J45" s="567"/>
      <c r="K45" s="567"/>
      <c r="L45" s="567"/>
      <c r="M45" s="567"/>
      <c r="N45" s="569"/>
      <c r="O45" s="503">
        <f t="shared" si="3"/>
        <v>3500</v>
      </c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9"/>
      <c r="AB45" s="503"/>
      <c r="AC45" s="570"/>
      <c r="AD45" s="571"/>
      <c r="AE45" s="498"/>
      <c r="AF45" s="498"/>
      <c r="AG45" s="498"/>
      <c r="AH45" s="498"/>
      <c r="AI45" s="498"/>
    </row>
    <row r="46" ht="15.0" customHeight="1">
      <c r="A46" s="498"/>
      <c r="B46" s="527" t="s">
        <v>410</v>
      </c>
      <c r="C46" s="566"/>
      <c r="D46" s="567"/>
      <c r="E46" s="567"/>
      <c r="F46" s="567"/>
      <c r="G46" s="567">
        <v>749.0</v>
      </c>
      <c r="H46" s="567"/>
      <c r="I46" s="567"/>
      <c r="J46" s="567"/>
      <c r="K46" s="567"/>
      <c r="L46" s="567"/>
      <c r="M46" s="567"/>
      <c r="N46" s="569"/>
      <c r="O46" s="503">
        <f t="shared" si="3"/>
        <v>749</v>
      </c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9"/>
      <c r="AB46" s="503"/>
      <c r="AC46" s="570"/>
      <c r="AD46" s="571"/>
      <c r="AE46" s="498"/>
      <c r="AF46" s="498"/>
      <c r="AG46" s="498"/>
      <c r="AH46" s="498"/>
      <c r="AI46" s="498"/>
    </row>
    <row r="47" ht="15.0" customHeight="1">
      <c r="A47" s="498"/>
      <c r="B47" s="527" t="s">
        <v>411</v>
      </c>
      <c r="C47" s="572"/>
      <c r="D47" s="567"/>
      <c r="E47" s="567"/>
      <c r="F47" s="567"/>
      <c r="G47" s="567">
        <v>190.0</v>
      </c>
      <c r="H47" s="567"/>
      <c r="I47" s="567"/>
      <c r="J47" s="567"/>
      <c r="K47" s="567"/>
      <c r="L47" s="567"/>
      <c r="M47" s="567"/>
      <c r="N47" s="569"/>
      <c r="O47" s="503">
        <f t="shared" si="3"/>
        <v>190</v>
      </c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9"/>
      <c r="AB47" s="503"/>
      <c r="AC47" s="570"/>
      <c r="AD47" s="571"/>
      <c r="AE47" s="498"/>
      <c r="AF47" s="498"/>
      <c r="AG47" s="498"/>
      <c r="AH47" s="498"/>
      <c r="AI47" s="498"/>
    </row>
    <row r="48" ht="15.0" customHeight="1">
      <c r="A48" s="498"/>
      <c r="B48" s="527" t="s">
        <v>388</v>
      </c>
      <c r="C48" s="572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9"/>
      <c r="O48" s="503">
        <f t="shared" si="3"/>
        <v>0</v>
      </c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9"/>
      <c r="AB48" s="503"/>
      <c r="AC48" s="570"/>
      <c r="AD48" s="571"/>
      <c r="AE48" s="498"/>
      <c r="AF48" s="498"/>
      <c r="AG48" s="498"/>
      <c r="AH48" s="498"/>
      <c r="AI48" s="498"/>
    </row>
    <row r="49" ht="15.0" customHeight="1">
      <c r="A49" s="498"/>
      <c r="B49" s="527" t="s">
        <v>412</v>
      </c>
      <c r="C49" s="566"/>
      <c r="D49" s="567"/>
      <c r="E49" s="567"/>
      <c r="F49" s="567"/>
      <c r="G49" s="567">
        <v>600.0</v>
      </c>
      <c r="H49" s="567"/>
      <c r="I49" s="567"/>
      <c r="J49" s="567"/>
      <c r="K49" s="567"/>
      <c r="L49" s="567"/>
      <c r="M49" s="567"/>
      <c r="N49" s="569"/>
      <c r="O49" s="503">
        <f t="shared" si="3"/>
        <v>600</v>
      </c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9"/>
      <c r="AB49" s="503"/>
      <c r="AC49" s="570"/>
      <c r="AD49" s="571"/>
      <c r="AE49" s="498"/>
      <c r="AF49" s="498"/>
      <c r="AG49" s="498"/>
      <c r="AH49" s="498"/>
      <c r="AI49" s="498"/>
    </row>
    <row r="50" ht="15.0" customHeight="1">
      <c r="A50" s="498"/>
      <c r="B50" s="527" t="s">
        <v>413</v>
      </c>
      <c r="C50" s="566"/>
      <c r="D50" s="567"/>
      <c r="E50" s="567"/>
      <c r="F50" s="567"/>
      <c r="G50" s="567">
        <v>2000.0</v>
      </c>
      <c r="H50" s="567"/>
      <c r="I50" s="567"/>
      <c r="J50" s="567"/>
      <c r="K50" s="567"/>
      <c r="L50" s="567"/>
      <c r="M50" s="567"/>
      <c r="N50" s="569"/>
      <c r="O50" s="503">
        <f t="shared" si="3"/>
        <v>2000</v>
      </c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9"/>
      <c r="AB50" s="503"/>
      <c r="AC50" s="570"/>
      <c r="AD50" s="571"/>
      <c r="AE50" s="498"/>
      <c r="AF50" s="498"/>
      <c r="AG50" s="498"/>
      <c r="AH50" s="498"/>
      <c r="AI50" s="498"/>
    </row>
    <row r="51" ht="15.0" customHeight="1">
      <c r="A51" s="498"/>
      <c r="B51" s="527"/>
      <c r="C51" s="572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9"/>
      <c r="O51" s="503">
        <f t="shared" si="3"/>
        <v>0</v>
      </c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9"/>
      <c r="AB51" s="503"/>
      <c r="AC51" s="570"/>
      <c r="AD51" s="571"/>
      <c r="AE51" s="498"/>
      <c r="AF51" s="498"/>
      <c r="AG51" s="498"/>
      <c r="AH51" s="498"/>
      <c r="AI51" s="498"/>
    </row>
    <row r="52" ht="15.0" customHeight="1">
      <c r="A52" s="498"/>
      <c r="B52" s="527"/>
      <c r="C52" s="572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9"/>
      <c r="O52" s="503">
        <f t="shared" si="3"/>
        <v>0</v>
      </c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9"/>
      <c r="AB52" s="503"/>
      <c r="AC52" s="570"/>
      <c r="AD52" s="571"/>
      <c r="AE52" s="498"/>
      <c r="AF52" s="498"/>
      <c r="AG52" s="498"/>
      <c r="AH52" s="498"/>
      <c r="AI52" s="498"/>
    </row>
    <row r="53" ht="15.0" customHeight="1">
      <c r="A53" s="111"/>
      <c r="B53" s="575" t="s">
        <v>414</v>
      </c>
      <c r="C53" s="576">
        <f t="shared" ref="C53:AD53" si="4">SUM(C8:C52)</f>
        <v>0</v>
      </c>
      <c r="D53" s="576">
        <f t="shared" si="4"/>
        <v>0</v>
      </c>
      <c r="E53" s="576">
        <f t="shared" si="4"/>
        <v>0</v>
      </c>
      <c r="F53" s="576">
        <f t="shared" si="4"/>
        <v>0</v>
      </c>
      <c r="G53" s="576">
        <f t="shared" si="4"/>
        <v>163074</v>
      </c>
      <c r="H53" s="576">
        <f t="shared" si="4"/>
        <v>4000</v>
      </c>
      <c r="I53" s="576">
        <f t="shared" si="4"/>
        <v>0</v>
      </c>
      <c r="J53" s="576">
        <f t="shared" si="4"/>
        <v>0</v>
      </c>
      <c r="K53" s="576">
        <f t="shared" si="4"/>
        <v>0</v>
      </c>
      <c r="L53" s="576">
        <f t="shared" si="4"/>
        <v>0</v>
      </c>
      <c r="M53" s="576">
        <f t="shared" si="4"/>
        <v>0</v>
      </c>
      <c r="N53" s="576">
        <f t="shared" si="4"/>
        <v>0</v>
      </c>
      <c r="O53" s="577">
        <f t="shared" si="4"/>
        <v>167074</v>
      </c>
      <c r="P53" s="576">
        <f t="shared" si="4"/>
        <v>0</v>
      </c>
      <c r="Q53" s="576">
        <f t="shared" si="4"/>
        <v>0</v>
      </c>
      <c r="R53" s="576">
        <f t="shared" si="4"/>
        <v>0</v>
      </c>
      <c r="S53" s="576">
        <f t="shared" si="4"/>
        <v>0</v>
      </c>
      <c r="T53" s="576">
        <f t="shared" si="4"/>
        <v>0</v>
      </c>
      <c r="U53" s="576">
        <f t="shared" si="4"/>
        <v>0</v>
      </c>
      <c r="V53" s="576">
        <f t="shared" si="4"/>
        <v>0</v>
      </c>
      <c r="W53" s="576">
        <f t="shared" si="4"/>
        <v>0</v>
      </c>
      <c r="X53" s="576">
        <f t="shared" si="4"/>
        <v>0</v>
      </c>
      <c r="Y53" s="576">
        <f t="shared" si="4"/>
        <v>0</v>
      </c>
      <c r="Z53" s="576">
        <f t="shared" si="4"/>
        <v>0</v>
      </c>
      <c r="AA53" s="576">
        <f t="shared" si="4"/>
        <v>0</v>
      </c>
      <c r="AB53" s="577">
        <f t="shared" si="4"/>
        <v>0</v>
      </c>
      <c r="AC53" s="577">
        <f t="shared" si="4"/>
        <v>0</v>
      </c>
      <c r="AD53" s="576">
        <f t="shared" si="4"/>
        <v>0</v>
      </c>
      <c r="AE53" s="578"/>
      <c r="AF53" s="111"/>
      <c r="AG53" s="111"/>
      <c r="AH53" s="111"/>
      <c r="AI53" s="111"/>
    </row>
    <row r="54" ht="5.25" customHeight="1">
      <c r="A54" s="498"/>
      <c r="B54" s="527"/>
      <c r="C54" s="572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51" t="s">
        <v>244</v>
      </c>
      <c r="O54" s="341">
        <f>IF(SUM(C53:N53)=O53,0,O53-SUM(C53:N53))</f>
        <v>0</v>
      </c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9"/>
      <c r="AB54" s="503"/>
      <c r="AC54" s="570"/>
      <c r="AD54" s="571"/>
      <c r="AE54" s="498"/>
      <c r="AF54" s="498"/>
      <c r="AG54" s="498"/>
      <c r="AH54" s="498"/>
      <c r="AI54" s="498"/>
    </row>
    <row r="55" ht="15.0" customHeight="1">
      <c r="A55" s="498"/>
      <c r="B55" s="555" t="s">
        <v>415</v>
      </c>
      <c r="C55" s="579"/>
      <c r="D55" s="580"/>
      <c r="E55" s="580"/>
      <c r="F55" s="580"/>
      <c r="G55" s="580"/>
      <c r="H55" s="580"/>
      <c r="I55" s="580"/>
      <c r="J55" s="580"/>
      <c r="K55" s="580"/>
      <c r="L55" s="580"/>
      <c r="M55" s="580"/>
      <c r="N55" s="581"/>
      <c r="O55" s="560">
        <f t="shared" ref="O55:O99" si="5">SUM(C55:N55)</f>
        <v>0</v>
      </c>
      <c r="P55" s="580"/>
      <c r="Q55" s="580"/>
      <c r="R55" s="580"/>
      <c r="S55" s="580"/>
      <c r="T55" s="580"/>
      <c r="U55" s="580"/>
      <c r="V55" s="580"/>
      <c r="W55" s="580"/>
      <c r="X55" s="580"/>
      <c r="Y55" s="580"/>
      <c r="Z55" s="580"/>
      <c r="AA55" s="581"/>
      <c r="AB55" s="560"/>
      <c r="AC55" s="582"/>
      <c r="AD55" s="583"/>
      <c r="AE55" s="498"/>
      <c r="AF55" s="498"/>
      <c r="AG55" s="498"/>
      <c r="AH55" s="498"/>
      <c r="AI55" s="498"/>
    </row>
    <row r="56" ht="15.0" customHeight="1">
      <c r="A56" s="498"/>
      <c r="B56" s="534" t="s">
        <v>416</v>
      </c>
      <c r="C56" s="566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9"/>
      <c r="O56" s="503">
        <f t="shared" si="5"/>
        <v>0</v>
      </c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9"/>
      <c r="AB56" s="503"/>
      <c r="AC56" s="570"/>
      <c r="AD56" s="571"/>
      <c r="AE56" s="498"/>
      <c r="AF56" s="498"/>
      <c r="AG56" s="498"/>
      <c r="AH56" s="498"/>
      <c r="AI56" s="498"/>
    </row>
    <row r="57" ht="15.0" customHeight="1">
      <c r="A57" s="498"/>
      <c r="B57" s="527" t="s">
        <v>417</v>
      </c>
      <c r="C57" s="566"/>
      <c r="D57" s="567"/>
      <c r="E57" s="567"/>
      <c r="F57" s="567"/>
      <c r="G57" s="567">
        <v>35000.0</v>
      </c>
      <c r="H57" s="567"/>
      <c r="I57" s="567"/>
      <c r="J57" s="567"/>
      <c r="K57" s="567"/>
      <c r="L57" s="567"/>
      <c r="M57" s="567"/>
      <c r="N57" s="569"/>
      <c r="O57" s="503">
        <f t="shared" si="5"/>
        <v>35000</v>
      </c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9"/>
      <c r="AB57" s="503"/>
      <c r="AC57" s="570"/>
      <c r="AD57" s="571"/>
      <c r="AE57" s="498"/>
      <c r="AF57" s="498"/>
      <c r="AG57" s="498"/>
      <c r="AH57" s="498"/>
      <c r="AI57" s="498"/>
    </row>
    <row r="58" ht="15.0" customHeight="1">
      <c r="A58" s="498"/>
      <c r="B58" s="527" t="s">
        <v>418</v>
      </c>
      <c r="C58" s="566"/>
      <c r="D58" s="567"/>
      <c r="E58" s="567"/>
      <c r="F58" s="567"/>
      <c r="G58" s="567">
        <v>10000.0</v>
      </c>
      <c r="H58" s="567"/>
      <c r="I58" s="567"/>
      <c r="J58" s="567"/>
      <c r="K58" s="567"/>
      <c r="L58" s="567"/>
      <c r="M58" s="567"/>
      <c r="N58" s="569"/>
      <c r="O58" s="503">
        <f t="shared" si="5"/>
        <v>10000</v>
      </c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9"/>
      <c r="AB58" s="503"/>
      <c r="AC58" s="570"/>
      <c r="AD58" s="571"/>
      <c r="AE58" s="498"/>
      <c r="AF58" s="498"/>
      <c r="AG58" s="498"/>
      <c r="AH58" s="498"/>
      <c r="AI58" s="498"/>
    </row>
    <row r="59" ht="15.0" customHeight="1">
      <c r="A59" s="498"/>
      <c r="B59" s="527" t="s">
        <v>374</v>
      </c>
      <c r="C59" s="566"/>
      <c r="D59" s="567"/>
      <c r="E59" s="567"/>
      <c r="F59" s="567"/>
      <c r="G59" s="567">
        <v>10000.0</v>
      </c>
      <c r="H59" s="567"/>
      <c r="I59" s="567"/>
      <c r="J59" s="567"/>
      <c r="K59" s="567"/>
      <c r="L59" s="567"/>
      <c r="M59" s="567"/>
      <c r="N59" s="569"/>
      <c r="O59" s="503">
        <f t="shared" si="5"/>
        <v>10000</v>
      </c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9"/>
      <c r="AB59" s="503"/>
      <c r="AC59" s="570"/>
      <c r="AD59" s="571"/>
      <c r="AE59" s="498"/>
      <c r="AF59" s="498"/>
      <c r="AG59" s="498"/>
      <c r="AH59" s="498"/>
      <c r="AI59" s="498"/>
    </row>
    <row r="60" ht="15.0" customHeight="1">
      <c r="A60" s="498"/>
      <c r="B60" s="527" t="s">
        <v>419</v>
      </c>
      <c r="C60" s="566"/>
      <c r="D60" s="567"/>
      <c r="E60" s="567"/>
      <c r="F60" s="567"/>
      <c r="G60" s="567">
        <v>10000.0</v>
      </c>
      <c r="H60" s="567"/>
      <c r="I60" s="567"/>
      <c r="J60" s="567"/>
      <c r="K60" s="567"/>
      <c r="L60" s="567"/>
      <c r="M60" s="567"/>
      <c r="N60" s="569"/>
      <c r="O60" s="503">
        <f t="shared" si="5"/>
        <v>10000</v>
      </c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9"/>
      <c r="AB60" s="503"/>
      <c r="AC60" s="570"/>
      <c r="AD60" s="571"/>
      <c r="AE60" s="498"/>
      <c r="AF60" s="498"/>
      <c r="AG60" s="498"/>
      <c r="AH60" s="498"/>
      <c r="AI60" s="498"/>
    </row>
    <row r="61" ht="15.0" customHeight="1">
      <c r="A61" s="498"/>
      <c r="B61" s="584" t="s">
        <v>420</v>
      </c>
      <c r="C61" s="566"/>
      <c r="D61" s="567"/>
      <c r="E61" s="567"/>
      <c r="F61" s="567"/>
      <c r="G61" s="567">
        <v>15000.0</v>
      </c>
      <c r="H61" s="567"/>
      <c r="I61" s="567"/>
      <c r="J61" s="567"/>
      <c r="K61" s="567"/>
      <c r="L61" s="567"/>
      <c r="M61" s="567"/>
      <c r="N61" s="569"/>
      <c r="O61" s="503">
        <f t="shared" si="5"/>
        <v>15000</v>
      </c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9"/>
      <c r="AB61" s="503"/>
      <c r="AC61" s="570"/>
      <c r="AD61" s="571"/>
      <c r="AE61" s="498"/>
      <c r="AF61" s="498"/>
      <c r="AG61" s="498"/>
      <c r="AH61" s="498"/>
      <c r="AI61" s="498"/>
    </row>
    <row r="62" ht="15.0" customHeight="1">
      <c r="A62" s="498"/>
      <c r="B62" s="527" t="s">
        <v>421</v>
      </c>
      <c r="C62" s="572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9"/>
      <c r="O62" s="503">
        <f t="shared" si="5"/>
        <v>0</v>
      </c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9"/>
      <c r="AB62" s="503"/>
      <c r="AC62" s="570"/>
      <c r="AD62" s="571"/>
      <c r="AE62" s="498"/>
      <c r="AF62" s="498"/>
      <c r="AG62" s="498"/>
      <c r="AH62" s="498"/>
      <c r="AI62" s="498"/>
    </row>
    <row r="63" ht="15.0" customHeight="1">
      <c r="A63" s="498"/>
      <c r="B63" s="527" t="s">
        <v>422</v>
      </c>
      <c r="C63" s="572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9"/>
      <c r="O63" s="503">
        <f t="shared" si="5"/>
        <v>0</v>
      </c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9"/>
      <c r="AB63" s="503"/>
      <c r="AC63" s="570"/>
      <c r="AD63" s="571"/>
      <c r="AE63" s="498"/>
      <c r="AF63" s="498"/>
      <c r="AG63" s="498"/>
      <c r="AH63" s="498"/>
      <c r="AI63" s="498"/>
    </row>
    <row r="64" ht="15.0" customHeight="1">
      <c r="A64" s="498"/>
      <c r="B64" s="527" t="s">
        <v>423</v>
      </c>
      <c r="C64" s="572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9"/>
      <c r="O64" s="503">
        <f t="shared" si="5"/>
        <v>0</v>
      </c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9"/>
      <c r="AB64" s="503"/>
      <c r="AC64" s="570"/>
      <c r="AD64" s="571"/>
      <c r="AE64" s="498"/>
      <c r="AF64" s="498"/>
      <c r="AG64" s="498"/>
      <c r="AH64" s="498"/>
      <c r="AI64" s="498"/>
    </row>
    <row r="65" ht="15.0" customHeight="1">
      <c r="A65" s="498"/>
      <c r="B65" s="527" t="s">
        <v>424</v>
      </c>
      <c r="C65" s="572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9"/>
      <c r="O65" s="503">
        <f t="shared" si="5"/>
        <v>0</v>
      </c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9"/>
      <c r="AB65" s="503"/>
      <c r="AC65" s="570"/>
      <c r="AD65" s="571"/>
      <c r="AE65" s="498"/>
      <c r="AF65" s="498"/>
      <c r="AG65" s="498"/>
      <c r="AH65" s="498"/>
      <c r="AI65" s="498"/>
    </row>
    <row r="66" ht="15.0" customHeight="1">
      <c r="A66" s="498"/>
      <c r="B66" s="527" t="s">
        <v>425</v>
      </c>
      <c r="C66" s="572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9"/>
      <c r="O66" s="503">
        <f t="shared" si="5"/>
        <v>0</v>
      </c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9"/>
      <c r="AB66" s="503"/>
      <c r="AC66" s="570"/>
      <c r="AD66" s="571"/>
      <c r="AE66" s="498"/>
      <c r="AF66" s="498"/>
      <c r="AG66" s="498"/>
      <c r="AH66" s="498"/>
      <c r="AI66" s="498"/>
    </row>
    <row r="67" ht="15.0" customHeight="1">
      <c r="A67" s="498"/>
      <c r="B67" s="527" t="s">
        <v>426</v>
      </c>
      <c r="C67" s="572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9"/>
      <c r="O67" s="503">
        <f t="shared" si="5"/>
        <v>0</v>
      </c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9"/>
      <c r="AB67" s="503"/>
      <c r="AC67" s="570"/>
      <c r="AD67" s="571"/>
      <c r="AE67" s="498"/>
      <c r="AF67" s="498"/>
      <c r="AG67" s="498"/>
      <c r="AH67" s="498"/>
      <c r="AI67" s="498"/>
    </row>
    <row r="68" ht="15.0" customHeight="1">
      <c r="A68" s="498"/>
      <c r="B68" s="308"/>
      <c r="C68" s="572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9"/>
      <c r="O68" s="503">
        <f t="shared" si="5"/>
        <v>0</v>
      </c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9"/>
      <c r="AB68" s="503"/>
      <c r="AC68" s="570"/>
      <c r="AD68" s="571"/>
      <c r="AE68" s="498"/>
      <c r="AF68" s="498"/>
      <c r="AG68" s="498"/>
      <c r="AH68" s="498"/>
      <c r="AI68" s="498"/>
    </row>
    <row r="69" ht="15.0" customHeight="1">
      <c r="A69" s="498"/>
      <c r="B69" s="308"/>
      <c r="C69" s="572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9"/>
      <c r="O69" s="503">
        <f t="shared" si="5"/>
        <v>0</v>
      </c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9"/>
      <c r="AB69" s="503"/>
      <c r="AC69" s="570"/>
      <c r="AD69" s="571"/>
      <c r="AE69" s="498"/>
      <c r="AF69" s="498"/>
      <c r="AG69" s="498"/>
      <c r="AH69" s="498"/>
      <c r="AI69" s="498"/>
    </row>
    <row r="70" ht="15.0" customHeight="1">
      <c r="A70" s="498"/>
      <c r="B70" s="534" t="s">
        <v>427</v>
      </c>
      <c r="C70" s="572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9"/>
      <c r="O70" s="503">
        <f t="shared" si="5"/>
        <v>0</v>
      </c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9"/>
      <c r="AB70" s="503"/>
      <c r="AC70" s="570"/>
      <c r="AD70" s="571"/>
      <c r="AE70" s="498"/>
      <c r="AF70" s="498"/>
      <c r="AG70" s="498"/>
      <c r="AH70" s="498"/>
      <c r="AI70" s="498"/>
    </row>
    <row r="71" ht="15.0" customHeight="1">
      <c r="A71" s="498"/>
      <c r="B71" s="527" t="s">
        <v>428</v>
      </c>
      <c r="C71" s="572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9"/>
      <c r="O71" s="503">
        <f t="shared" si="5"/>
        <v>0</v>
      </c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9"/>
      <c r="AB71" s="503"/>
      <c r="AC71" s="570"/>
      <c r="AD71" s="571"/>
      <c r="AE71" s="498"/>
      <c r="AF71" s="498"/>
      <c r="AG71" s="498"/>
      <c r="AH71" s="498"/>
      <c r="AI71" s="498"/>
    </row>
    <row r="72" ht="15.0" customHeight="1">
      <c r="A72" s="498"/>
      <c r="B72" s="527" t="s">
        <v>429</v>
      </c>
      <c r="C72" s="566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9"/>
      <c r="O72" s="503">
        <f t="shared" si="5"/>
        <v>0</v>
      </c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9"/>
      <c r="AB72" s="503"/>
      <c r="AC72" s="570"/>
      <c r="AD72" s="571"/>
      <c r="AE72" s="498"/>
      <c r="AF72" s="498"/>
      <c r="AG72" s="498"/>
      <c r="AH72" s="498"/>
      <c r="AI72" s="498"/>
    </row>
    <row r="73" ht="15.0" customHeight="1">
      <c r="A73" s="498"/>
      <c r="B73" s="527" t="s">
        <v>430</v>
      </c>
      <c r="C73" s="566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9"/>
      <c r="O73" s="503">
        <f t="shared" si="5"/>
        <v>0</v>
      </c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9"/>
      <c r="AB73" s="503"/>
      <c r="AC73" s="570"/>
      <c r="AD73" s="571"/>
      <c r="AE73" s="498"/>
      <c r="AF73" s="498"/>
      <c r="AG73" s="498"/>
      <c r="AH73" s="498"/>
      <c r="AI73" s="498"/>
    </row>
    <row r="74" ht="15.0" customHeight="1">
      <c r="A74" s="498"/>
      <c r="B74" s="527" t="s">
        <v>431</v>
      </c>
      <c r="C74" s="566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9"/>
      <c r="O74" s="503">
        <f t="shared" si="5"/>
        <v>0</v>
      </c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9"/>
      <c r="AB74" s="503"/>
      <c r="AC74" s="570"/>
      <c r="AD74" s="571"/>
      <c r="AE74" s="498"/>
      <c r="AF74" s="498"/>
      <c r="AG74" s="498"/>
      <c r="AH74" s="498"/>
      <c r="AI74" s="498"/>
    </row>
    <row r="75" ht="15.0" customHeight="1">
      <c r="A75" s="498"/>
      <c r="B75" s="527" t="s">
        <v>432</v>
      </c>
      <c r="C75" s="572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9"/>
      <c r="O75" s="503">
        <f t="shared" si="5"/>
        <v>0</v>
      </c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9"/>
      <c r="AB75" s="503"/>
      <c r="AC75" s="570"/>
      <c r="AD75" s="571"/>
      <c r="AE75" s="498"/>
      <c r="AF75" s="498"/>
      <c r="AG75" s="498"/>
      <c r="AH75" s="498"/>
      <c r="AI75" s="498"/>
    </row>
    <row r="76" ht="15.0" customHeight="1">
      <c r="A76" s="498"/>
      <c r="B76" s="527" t="s">
        <v>433</v>
      </c>
      <c r="C76" s="572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9"/>
      <c r="O76" s="503">
        <f t="shared" si="5"/>
        <v>0</v>
      </c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9"/>
      <c r="AB76" s="503"/>
      <c r="AC76" s="570"/>
      <c r="AD76" s="571"/>
      <c r="AE76" s="498"/>
      <c r="AF76" s="498"/>
      <c r="AG76" s="498"/>
      <c r="AH76" s="498"/>
      <c r="AI76" s="498"/>
    </row>
    <row r="77" ht="15.0" customHeight="1">
      <c r="A77" s="498"/>
      <c r="B77" s="527" t="s">
        <v>434</v>
      </c>
      <c r="C77" s="572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9"/>
      <c r="O77" s="503">
        <f t="shared" si="5"/>
        <v>0</v>
      </c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9"/>
      <c r="AB77" s="503"/>
      <c r="AC77" s="570"/>
      <c r="AD77" s="571"/>
      <c r="AE77" s="498"/>
      <c r="AF77" s="498"/>
      <c r="AG77" s="498"/>
      <c r="AH77" s="498"/>
      <c r="AI77" s="498"/>
    </row>
    <row r="78" ht="15.0" customHeight="1">
      <c r="A78" s="498"/>
      <c r="B78" s="527" t="s">
        <v>435</v>
      </c>
      <c r="C78" s="572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9"/>
      <c r="O78" s="503">
        <f t="shared" si="5"/>
        <v>0</v>
      </c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9"/>
      <c r="AB78" s="503"/>
      <c r="AC78" s="570"/>
      <c r="AD78" s="571"/>
      <c r="AE78" s="498"/>
      <c r="AF78" s="498"/>
      <c r="AG78" s="498"/>
      <c r="AH78" s="498"/>
      <c r="AI78" s="498"/>
    </row>
    <row r="79" ht="15.0" customHeight="1">
      <c r="A79" s="498"/>
      <c r="B79" s="527" t="s">
        <v>436</v>
      </c>
      <c r="C79" s="566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9"/>
      <c r="O79" s="503">
        <f t="shared" si="5"/>
        <v>0</v>
      </c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9"/>
      <c r="AB79" s="503"/>
      <c r="AC79" s="570"/>
      <c r="AD79" s="571"/>
      <c r="AE79" s="498"/>
      <c r="AF79" s="498"/>
      <c r="AG79" s="498"/>
      <c r="AH79" s="498"/>
      <c r="AI79" s="498"/>
    </row>
    <row r="80" ht="15.0" customHeight="1">
      <c r="A80" s="498"/>
      <c r="B80" s="527" t="s">
        <v>437</v>
      </c>
      <c r="C80" s="572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9"/>
      <c r="O80" s="503">
        <f t="shared" si="5"/>
        <v>0</v>
      </c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9"/>
      <c r="AB80" s="503"/>
      <c r="AC80" s="570"/>
      <c r="AD80" s="571"/>
      <c r="AE80" s="498"/>
      <c r="AF80" s="498"/>
      <c r="AG80" s="498"/>
      <c r="AH80" s="498"/>
      <c r="AI80" s="498"/>
    </row>
    <row r="81" ht="15.0" customHeight="1">
      <c r="A81" s="498"/>
      <c r="B81" s="527" t="s">
        <v>438</v>
      </c>
      <c r="C81" s="572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9"/>
      <c r="O81" s="503">
        <f t="shared" si="5"/>
        <v>0</v>
      </c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9"/>
      <c r="AB81" s="503"/>
      <c r="AC81" s="570"/>
      <c r="AD81" s="571"/>
      <c r="AE81" s="498"/>
      <c r="AF81" s="498"/>
      <c r="AG81" s="498"/>
      <c r="AH81" s="498"/>
      <c r="AI81" s="498"/>
    </row>
    <row r="82" ht="15.0" customHeight="1">
      <c r="A82" s="498"/>
      <c r="B82" s="527" t="s">
        <v>439</v>
      </c>
      <c r="C82" s="566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9"/>
      <c r="O82" s="503">
        <f t="shared" si="5"/>
        <v>0</v>
      </c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9"/>
      <c r="AB82" s="503"/>
      <c r="AC82" s="570"/>
      <c r="AD82" s="571"/>
      <c r="AE82" s="498"/>
      <c r="AF82" s="498"/>
      <c r="AG82" s="498"/>
      <c r="AH82" s="498"/>
      <c r="AI82" s="498"/>
    </row>
    <row r="83" ht="15.0" customHeight="1">
      <c r="A83" s="498"/>
      <c r="B83" s="527" t="s">
        <v>440</v>
      </c>
      <c r="C83" s="572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9"/>
      <c r="O83" s="503">
        <f t="shared" si="5"/>
        <v>0</v>
      </c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9"/>
      <c r="AB83" s="503"/>
      <c r="AC83" s="570"/>
      <c r="AD83" s="571"/>
      <c r="AE83" s="498"/>
      <c r="AF83" s="498"/>
      <c r="AG83" s="498"/>
      <c r="AH83" s="498"/>
      <c r="AI83" s="498"/>
    </row>
    <row r="84" ht="15.0" customHeight="1">
      <c r="A84" s="498"/>
      <c r="B84" s="527" t="s">
        <v>441</v>
      </c>
      <c r="C84" s="566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9"/>
      <c r="O84" s="503">
        <f t="shared" si="5"/>
        <v>0</v>
      </c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9"/>
      <c r="AB84" s="503"/>
      <c r="AC84" s="570"/>
      <c r="AD84" s="571"/>
      <c r="AE84" s="498"/>
      <c r="AF84" s="498"/>
      <c r="AG84" s="498"/>
      <c r="AH84" s="498"/>
      <c r="AI84" s="498"/>
    </row>
    <row r="85" ht="15.0" customHeight="1">
      <c r="A85" s="498"/>
      <c r="B85" s="527" t="s">
        <v>388</v>
      </c>
      <c r="C85" s="572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9"/>
      <c r="O85" s="503">
        <f t="shared" si="5"/>
        <v>0</v>
      </c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9"/>
      <c r="AB85" s="503"/>
      <c r="AC85" s="570"/>
      <c r="AD85" s="571"/>
      <c r="AE85" s="498"/>
      <c r="AF85" s="498"/>
      <c r="AG85" s="498"/>
      <c r="AH85" s="498"/>
      <c r="AI85" s="498"/>
    </row>
    <row r="86" ht="15.0" customHeight="1">
      <c r="A86" s="498"/>
      <c r="B86" s="308"/>
      <c r="C86" s="572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9"/>
      <c r="O86" s="503">
        <f t="shared" si="5"/>
        <v>0</v>
      </c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9"/>
      <c r="AB86" s="503"/>
      <c r="AC86" s="570"/>
      <c r="AD86" s="571"/>
      <c r="AE86" s="498"/>
      <c r="AF86" s="498"/>
      <c r="AG86" s="498"/>
      <c r="AH86" s="498"/>
      <c r="AI86" s="498"/>
    </row>
    <row r="87" ht="15.0" customHeight="1">
      <c r="A87" s="498"/>
      <c r="B87" s="308"/>
      <c r="C87" s="572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9"/>
      <c r="O87" s="503">
        <f t="shared" si="5"/>
        <v>0</v>
      </c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9"/>
      <c r="AB87" s="503"/>
      <c r="AC87" s="570"/>
      <c r="AD87" s="571"/>
      <c r="AE87" s="498"/>
      <c r="AF87" s="498"/>
      <c r="AG87" s="498"/>
      <c r="AH87" s="498"/>
      <c r="AI87" s="498"/>
    </row>
    <row r="88" ht="15.0" customHeight="1">
      <c r="A88" s="498"/>
      <c r="B88" s="534" t="s">
        <v>442</v>
      </c>
      <c r="C88" s="572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9"/>
      <c r="O88" s="503">
        <f t="shared" si="5"/>
        <v>0</v>
      </c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9"/>
      <c r="AB88" s="503"/>
      <c r="AC88" s="570"/>
      <c r="AD88" s="571"/>
      <c r="AE88" s="498"/>
      <c r="AF88" s="498"/>
      <c r="AG88" s="498"/>
      <c r="AH88" s="498"/>
      <c r="AI88" s="498"/>
    </row>
    <row r="89" ht="15.0" customHeight="1">
      <c r="A89" s="498"/>
      <c r="B89" s="527" t="s">
        <v>443</v>
      </c>
      <c r="C89" s="566"/>
      <c r="D89" s="567"/>
      <c r="E89" s="567"/>
      <c r="F89" s="567"/>
      <c r="G89" s="567">
        <v>5353.0</v>
      </c>
      <c r="H89" s="567"/>
      <c r="I89" s="567"/>
      <c r="J89" s="567"/>
      <c r="K89" s="567"/>
      <c r="L89" s="567"/>
      <c r="M89" s="567"/>
      <c r="N89" s="569"/>
      <c r="O89" s="503">
        <f t="shared" si="5"/>
        <v>5353</v>
      </c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9"/>
      <c r="AB89" s="503"/>
      <c r="AC89" s="570"/>
      <c r="AD89" s="571"/>
      <c r="AE89" s="498"/>
      <c r="AF89" s="498"/>
      <c r="AG89" s="498"/>
      <c r="AH89" s="498"/>
      <c r="AI89" s="498"/>
    </row>
    <row r="90" ht="15.0" customHeight="1">
      <c r="A90" s="498"/>
      <c r="B90" s="527" t="s">
        <v>444</v>
      </c>
      <c r="C90" s="566"/>
      <c r="D90" s="567"/>
      <c r="E90" s="567"/>
      <c r="F90" s="567"/>
      <c r="G90" s="567">
        <v>3000.0</v>
      </c>
      <c r="H90" s="567"/>
      <c r="I90" s="567"/>
      <c r="J90" s="567"/>
      <c r="K90" s="567"/>
      <c r="L90" s="567"/>
      <c r="M90" s="567"/>
      <c r="N90" s="569"/>
      <c r="O90" s="503">
        <f t="shared" si="5"/>
        <v>3000</v>
      </c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9"/>
      <c r="AB90" s="503"/>
      <c r="AC90" s="570"/>
      <c r="AD90" s="571"/>
      <c r="AE90" s="498"/>
      <c r="AF90" s="498"/>
      <c r="AG90" s="498"/>
      <c r="AH90" s="498"/>
      <c r="AI90" s="498"/>
    </row>
    <row r="91" ht="15.0" customHeight="1">
      <c r="A91" s="498"/>
      <c r="B91" s="527" t="s">
        <v>445</v>
      </c>
      <c r="C91" s="566"/>
      <c r="D91" s="567"/>
      <c r="E91" s="567"/>
      <c r="F91" s="567"/>
      <c r="G91" s="567">
        <v>2500.0</v>
      </c>
      <c r="H91" s="567"/>
      <c r="I91" s="567"/>
      <c r="J91" s="567"/>
      <c r="K91" s="567"/>
      <c r="L91" s="567"/>
      <c r="M91" s="567"/>
      <c r="N91" s="569"/>
      <c r="O91" s="503">
        <f t="shared" si="5"/>
        <v>2500</v>
      </c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9"/>
      <c r="AB91" s="503"/>
      <c r="AC91" s="570"/>
      <c r="AD91" s="571"/>
      <c r="AE91" s="498"/>
      <c r="AF91" s="498"/>
      <c r="AG91" s="498"/>
      <c r="AH91" s="498"/>
      <c r="AI91" s="498"/>
    </row>
    <row r="92" ht="15.0" customHeight="1">
      <c r="A92" s="498"/>
      <c r="B92" s="527" t="s">
        <v>446</v>
      </c>
      <c r="C92" s="566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9"/>
      <c r="O92" s="503">
        <f t="shared" si="5"/>
        <v>0</v>
      </c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9"/>
      <c r="AB92" s="503"/>
      <c r="AC92" s="570"/>
      <c r="AD92" s="571"/>
      <c r="AE92" s="498"/>
      <c r="AF92" s="498"/>
      <c r="AG92" s="498"/>
      <c r="AH92" s="498"/>
      <c r="AI92" s="498"/>
    </row>
    <row r="93" ht="15.0" customHeight="1">
      <c r="A93" s="498"/>
      <c r="B93" s="527" t="s">
        <v>368</v>
      </c>
      <c r="C93" s="585"/>
      <c r="D93" s="567"/>
      <c r="E93" s="567"/>
      <c r="F93" s="567"/>
      <c r="G93" s="573">
        <v>15000.0</v>
      </c>
      <c r="H93" s="567"/>
      <c r="I93" s="567"/>
      <c r="J93" s="567"/>
      <c r="K93" s="567"/>
      <c r="L93" s="567"/>
      <c r="M93" s="567"/>
      <c r="N93" s="569"/>
      <c r="O93" s="503">
        <f t="shared" si="5"/>
        <v>15000</v>
      </c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9"/>
      <c r="AB93" s="503"/>
      <c r="AC93" s="570"/>
      <c r="AD93" s="571"/>
      <c r="AE93" s="498"/>
      <c r="AF93" s="498"/>
      <c r="AG93" s="498"/>
      <c r="AH93" s="498"/>
      <c r="AI93" s="498"/>
    </row>
    <row r="94" ht="15.0" customHeight="1">
      <c r="A94" s="498"/>
      <c r="B94" s="308"/>
      <c r="C94" s="572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9"/>
      <c r="O94" s="503">
        <f t="shared" si="5"/>
        <v>0</v>
      </c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9"/>
      <c r="AB94" s="503"/>
      <c r="AC94" s="570"/>
      <c r="AD94" s="571"/>
      <c r="AE94" s="498"/>
      <c r="AF94" s="498"/>
      <c r="AG94" s="498"/>
      <c r="AH94" s="498"/>
      <c r="AI94" s="498"/>
    </row>
    <row r="95" ht="15.0" customHeight="1">
      <c r="A95" s="498"/>
      <c r="B95" s="308"/>
      <c r="C95" s="572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9"/>
      <c r="O95" s="503">
        <f t="shared" si="5"/>
        <v>0</v>
      </c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9"/>
      <c r="AB95" s="503"/>
      <c r="AC95" s="570"/>
      <c r="AD95" s="571"/>
      <c r="AE95" s="498"/>
      <c r="AF95" s="498"/>
      <c r="AG95" s="498"/>
      <c r="AH95" s="498"/>
      <c r="AI95" s="498"/>
    </row>
    <row r="96" ht="15.0" customHeight="1">
      <c r="A96" s="498"/>
      <c r="B96" s="534" t="s">
        <v>447</v>
      </c>
      <c r="C96" s="566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9"/>
      <c r="O96" s="503">
        <f t="shared" si="5"/>
        <v>0</v>
      </c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9"/>
      <c r="AB96" s="503"/>
      <c r="AC96" s="570"/>
      <c r="AD96" s="571"/>
      <c r="AE96" s="498"/>
      <c r="AF96" s="498"/>
      <c r="AG96" s="498"/>
      <c r="AH96" s="498"/>
      <c r="AI96" s="498"/>
    </row>
    <row r="97" ht="15.0" customHeight="1">
      <c r="A97" s="498"/>
      <c r="B97" s="308"/>
      <c r="C97" s="572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9"/>
      <c r="O97" s="503">
        <f t="shared" si="5"/>
        <v>0</v>
      </c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9"/>
      <c r="AB97" s="503"/>
      <c r="AC97" s="570"/>
      <c r="AD97" s="571"/>
      <c r="AE97" s="498"/>
      <c r="AF97" s="498"/>
      <c r="AG97" s="498"/>
      <c r="AH97" s="498"/>
      <c r="AI97" s="498"/>
    </row>
    <row r="98" ht="15.0" customHeight="1">
      <c r="A98" s="498"/>
      <c r="B98" s="534" t="s">
        <v>448</v>
      </c>
      <c r="C98" s="566"/>
      <c r="D98" s="567"/>
      <c r="E98" s="567"/>
      <c r="F98" s="567"/>
      <c r="G98" s="567">
        <v>500.0</v>
      </c>
      <c r="H98" s="567"/>
      <c r="I98" s="567"/>
      <c r="J98" s="567"/>
      <c r="K98" s="567"/>
      <c r="L98" s="567"/>
      <c r="M98" s="567"/>
      <c r="N98" s="569"/>
      <c r="O98" s="503">
        <f t="shared" si="5"/>
        <v>500</v>
      </c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9"/>
      <c r="AB98" s="503"/>
      <c r="AC98" s="570"/>
      <c r="AD98" s="571"/>
      <c r="AE98" s="498"/>
      <c r="AF98" s="498"/>
      <c r="AG98" s="498"/>
      <c r="AH98" s="498"/>
      <c r="AI98" s="498"/>
    </row>
    <row r="99" ht="15.0" customHeight="1">
      <c r="A99" s="498"/>
      <c r="B99" s="308"/>
      <c r="C99" s="572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9"/>
      <c r="O99" s="503">
        <f t="shared" si="5"/>
        <v>0</v>
      </c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9"/>
      <c r="AB99" s="503"/>
      <c r="AC99" s="570"/>
      <c r="AD99" s="571"/>
      <c r="AE99" s="498"/>
      <c r="AF99" s="498"/>
      <c r="AG99" s="498"/>
      <c r="AH99" s="498"/>
      <c r="AI99" s="498"/>
    </row>
    <row r="100" ht="15.0" customHeight="1">
      <c r="A100" s="111"/>
      <c r="B100" s="575" t="s">
        <v>449</v>
      </c>
      <c r="C100" s="576">
        <f t="shared" ref="C100:AD100" si="6">SUM(C56:C99)</f>
        <v>0</v>
      </c>
      <c r="D100" s="576">
        <f t="shared" si="6"/>
        <v>0</v>
      </c>
      <c r="E100" s="576">
        <f t="shared" si="6"/>
        <v>0</v>
      </c>
      <c r="F100" s="576">
        <f t="shared" si="6"/>
        <v>0</v>
      </c>
      <c r="G100" s="576">
        <f t="shared" si="6"/>
        <v>106353</v>
      </c>
      <c r="H100" s="576">
        <f t="shared" si="6"/>
        <v>0</v>
      </c>
      <c r="I100" s="576">
        <f t="shared" si="6"/>
        <v>0</v>
      </c>
      <c r="J100" s="576">
        <f t="shared" si="6"/>
        <v>0</v>
      </c>
      <c r="K100" s="576">
        <f t="shared" si="6"/>
        <v>0</v>
      </c>
      <c r="L100" s="576">
        <f t="shared" si="6"/>
        <v>0</v>
      </c>
      <c r="M100" s="576">
        <f t="shared" si="6"/>
        <v>0</v>
      </c>
      <c r="N100" s="576">
        <f t="shared" si="6"/>
        <v>0</v>
      </c>
      <c r="O100" s="577">
        <f t="shared" si="6"/>
        <v>106353</v>
      </c>
      <c r="P100" s="576">
        <f t="shared" si="6"/>
        <v>0</v>
      </c>
      <c r="Q100" s="576">
        <f t="shared" si="6"/>
        <v>0</v>
      </c>
      <c r="R100" s="576">
        <f t="shared" si="6"/>
        <v>0</v>
      </c>
      <c r="S100" s="576">
        <f t="shared" si="6"/>
        <v>0</v>
      </c>
      <c r="T100" s="576">
        <f t="shared" si="6"/>
        <v>0</v>
      </c>
      <c r="U100" s="576">
        <f t="shared" si="6"/>
        <v>0</v>
      </c>
      <c r="V100" s="576">
        <f t="shared" si="6"/>
        <v>0</v>
      </c>
      <c r="W100" s="576">
        <f t="shared" si="6"/>
        <v>0</v>
      </c>
      <c r="X100" s="576">
        <f t="shared" si="6"/>
        <v>0</v>
      </c>
      <c r="Y100" s="576">
        <f t="shared" si="6"/>
        <v>0</v>
      </c>
      <c r="Z100" s="576">
        <f t="shared" si="6"/>
        <v>0</v>
      </c>
      <c r="AA100" s="576">
        <f t="shared" si="6"/>
        <v>0</v>
      </c>
      <c r="AB100" s="577">
        <f t="shared" si="6"/>
        <v>0</v>
      </c>
      <c r="AC100" s="577">
        <f t="shared" si="6"/>
        <v>0</v>
      </c>
      <c r="AD100" s="576">
        <f t="shared" si="6"/>
        <v>0</v>
      </c>
      <c r="AE100" s="578"/>
      <c r="AF100" s="111"/>
      <c r="AG100" s="111"/>
      <c r="AH100" s="111"/>
      <c r="AI100" s="111"/>
    </row>
    <row r="101" ht="9.0" customHeight="1">
      <c r="A101" s="498"/>
      <c r="B101" s="527"/>
      <c r="C101" s="572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51" t="s">
        <v>244</v>
      </c>
      <c r="O101" s="341">
        <f>IF(SUM(C100:N100)=O100,0,O100-SUM(C100:N100))</f>
        <v>0</v>
      </c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9"/>
      <c r="AB101" s="503"/>
      <c r="AC101" s="570"/>
      <c r="AD101" s="571"/>
      <c r="AE101" s="498"/>
      <c r="AF101" s="498"/>
      <c r="AG101" s="498"/>
      <c r="AH101" s="498"/>
      <c r="AI101" s="498"/>
    </row>
    <row r="102" ht="15.0" customHeight="1">
      <c r="A102" s="498"/>
      <c r="B102" s="555" t="s">
        <v>450</v>
      </c>
      <c r="C102" s="579"/>
      <c r="D102" s="580"/>
      <c r="E102" s="580"/>
      <c r="F102" s="580"/>
      <c r="G102" s="580"/>
      <c r="H102" s="580"/>
      <c r="I102" s="580"/>
      <c r="J102" s="580"/>
      <c r="K102" s="580"/>
      <c r="L102" s="580"/>
      <c r="M102" s="580"/>
      <c r="N102" s="581"/>
      <c r="O102" s="560">
        <f t="shared" ref="O102:O112" si="7">SUM(C102:N102)</f>
        <v>0</v>
      </c>
      <c r="P102" s="580"/>
      <c r="Q102" s="580"/>
      <c r="R102" s="580"/>
      <c r="S102" s="580"/>
      <c r="T102" s="580"/>
      <c r="U102" s="580"/>
      <c r="V102" s="580"/>
      <c r="W102" s="580"/>
      <c r="X102" s="580"/>
      <c r="Y102" s="580"/>
      <c r="Z102" s="580"/>
      <c r="AA102" s="581"/>
      <c r="AB102" s="560"/>
      <c r="AC102" s="582"/>
      <c r="AD102" s="583"/>
      <c r="AE102" s="498"/>
      <c r="AF102" s="498"/>
      <c r="AG102" s="498"/>
      <c r="AH102" s="498"/>
      <c r="AI102" s="498"/>
    </row>
    <row r="103" ht="15.0" customHeight="1">
      <c r="A103" s="498"/>
      <c r="B103" s="534" t="s">
        <v>451</v>
      </c>
      <c r="C103" s="572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9"/>
      <c r="O103" s="503">
        <f t="shared" si="7"/>
        <v>0</v>
      </c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9"/>
      <c r="AB103" s="503"/>
      <c r="AC103" s="570"/>
      <c r="AD103" s="571"/>
      <c r="AE103" s="498"/>
      <c r="AF103" s="498"/>
      <c r="AG103" s="498"/>
      <c r="AH103" s="498"/>
      <c r="AI103" s="498"/>
    </row>
    <row r="104" ht="15.0" customHeight="1">
      <c r="A104" s="498"/>
      <c r="B104" s="527" t="s">
        <v>452</v>
      </c>
      <c r="C104" s="500"/>
      <c r="D104" s="567"/>
      <c r="E104" s="567"/>
      <c r="F104" s="567"/>
      <c r="G104" s="568">
        <v>7335.13</v>
      </c>
      <c r="H104" s="567"/>
      <c r="I104" s="567"/>
      <c r="J104" s="567"/>
      <c r="K104" s="567"/>
      <c r="L104" s="567"/>
      <c r="M104" s="567"/>
      <c r="N104" s="569"/>
      <c r="O104" s="503">
        <f t="shared" si="7"/>
        <v>7335.13</v>
      </c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9"/>
      <c r="AB104" s="503"/>
      <c r="AC104" s="570"/>
      <c r="AD104" s="571"/>
      <c r="AE104" s="498"/>
      <c r="AF104" s="498"/>
      <c r="AG104" s="498"/>
      <c r="AH104" s="498"/>
      <c r="AI104" s="498"/>
    </row>
    <row r="105" ht="15.0" customHeight="1">
      <c r="A105" s="498"/>
      <c r="B105" s="527" t="s">
        <v>453</v>
      </c>
      <c r="C105" s="572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9"/>
      <c r="O105" s="503">
        <f t="shared" si="7"/>
        <v>0</v>
      </c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9"/>
      <c r="AB105" s="503"/>
      <c r="AC105" s="570"/>
      <c r="AD105" s="571"/>
      <c r="AE105" s="498"/>
      <c r="AF105" s="498"/>
      <c r="AG105" s="498"/>
      <c r="AH105" s="498"/>
      <c r="AI105" s="498"/>
    </row>
    <row r="106" ht="15.0" customHeight="1">
      <c r="A106" s="498"/>
      <c r="C106" s="572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9"/>
      <c r="O106" s="503">
        <f t="shared" si="7"/>
        <v>0</v>
      </c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9"/>
      <c r="AB106" s="503"/>
      <c r="AC106" s="570"/>
      <c r="AD106" s="571"/>
      <c r="AE106" s="498"/>
      <c r="AF106" s="498"/>
      <c r="AG106" s="498"/>
      <c r="AH106" s="498"/>
      <c r="AI106" s="498"/>
    </row>
    <row r="107" ht="15.0" customHeight="1">
      <c r="A107" s="498"/>
      <c r="B107" s="534" t="s">
        <v>454</v>
      </c>
      <c r="C107" s="572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9"/>
      <c r="O107" s="503">
        <f t="shared" si="7"/>
        <v>0</v>
      </c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9"/>
      <c r="AB107" s="503"/>
      <c r="AC107" s="570"/>
      <c r="AD107" s="571"/>
      <c r="AE107" s="498"/>
      <c r="AF107" s="498"/>
      <c r="AG107" s="498"/>
      <c r="AH107" s="498"/>
      <c r="AI107" s="498"/>
    </row>
    <row r="108" ht="15.0" customHeight="1">
      <c r="A108" s="498"/>
      <c r="B108" s="527" t="s">
        <v>455</v>
      </c>
      <c r="C108" s="572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9"/>
      <c r="O108" s="503">
        <f t="shared" si="7"/>
        <v>0</v>
      </c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9"/>
      <c r="AB108" s="503"/>
      <c r="AC108" s="570"/>
      <c r="AD108" s="571"/>
      <c r="AE108" s="498"/>
      <c r="AF108" s="498"/>
      <c r="AG108" s="498"/>
      <c r="AH108" s="498"/>
      <c r="AI108" s="498"/>
    </row>
    <row r="109" ht="15.0" customHeight="1">
      <c r="A109" s="498"/>
      <c r="B109" s="527" t="s">
        <v>456</v>
      </c>
      <c r="C109" s="572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9"/>
      <c r="O109" s="503">
        <f t="shared" si="7"/>
        <v>0</v>
      </c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9"/>
      <c r="AB109" s="503"/>
      <c r="AC109" s="570"/>
      <c r="AD109" s="571"/>
      <c r="AE109" s="498"/>
      <c r="AF109" s="498"/>
      <c r="AG109" s="498"/>
      <c r="AH109" s="498"/>
      <c r="AI109" s="498"/>
    </row>
    <row r="110" ht="15.0" customHeight="1">
      <c r="A110" s="498"/>
      <c r="B110" s="527" t="s">
        <v>457</v>
      </c>
      <c r="C110" s="572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9"/>
      <c r="O110" s="503">
        <f t="shared" si="7"/>
        <v>0</v>
      </c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9"/>
      <c r="AB110" s="503"/>
      <c r="AC110" s="570"/>
      <c r="AD110" s="571"/>
      <c r="AE110" s="498"/>
      <c r="AF110" s="498"/>
      <c r="AG110" s="498"/>
      <c r="AH110" s="498"/>
      <c r="AI110" s="498"/>
    </row>
    <row r="111" ht="15.0" customHeight="1">
      <c r="A111" s="498"/>
      <c r="B111" s="527" t="s">
        <v>458</v>
      </c>
      <c r="C111" s="566"/>
      <c r="D111" s="567"/>
      <c r="E111" s="567"/>
      <c r="F111" s="567"/>
      <c r="G111" s="568">
        <v>1900.0</v>
      </c>
      <c r="H111" s="567"/>
      <c r="I111" s="567"/>
      <c r="J111" s="567"/>
      <c r="K111" s="567"/>
      <c r="L111" s="567"/>
      <c r="M111" s="567"/>
      <c r="N111" s="569"/>
      <c r="O111" s="503">
        <f t="shared" si="7"/>
        <v>1900</v>
      </c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9"/>
      <c r="AB111" s="503"/>
      <c r="AC111" s="570"/>
      <c r="AD111" s="571"/>
      <c r="AE111" s="498"/>
      <c r="AF111" s="498"/>
      <c r="AG111" s="498"/>
      <c r="AH111" s="498"/>
      <c r="AI111" s="498"/>
    </row>
    <row r="112" ht="15.0" customHeight="1">
      <c r="A112" s="498"/>
      <c r="B112" s="308"/>
      <c r="C112" s="572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9"/>
      <c r="O112" s="503">
        <f t="shared" si="7"/>
        <v>0</v>
      </c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9"/>
      <c r="AB112" s="503"/>
      <c r="AC112" s="570"/>
      <c r="AD112" s="571"/>
      <c r="AE112" s="498"/>
      <c r="AF112" s="498"/>
      <c r="AG112" s="498"/>
      <c r="AH112" s="498"/>
      <c r="AI112" s="498"/>
    </row>
    <row r="113" ht="15.0" customHeight="1">
      <c r="A113" s="111"/>
      <c r="B113" s="575" t="s">
        <v>459</v>
      </c>
      <c r="C113" s="576">
        <f t="shared" ref="C113:AD113" si="8">SUM(C103:C112)</f>
        <v>0</v>
      </c>
      <c r="D113" s="576">
        <f t="shared" si="8"/>
        <v>0</v>
      </c>
      <c r="E113" s="576">
        <f t="shared" si="8"/>
        <v>0</v>
      </c>
      <c r="F113" s="576">
        <f t="shared" si="8"/>
        <v>0</v>
      </c>
      <c r="G113" s="576">
        <f t="shared" si="8"/>
        <v>9235.13</v>
      </c>
      <c r="H113" s="576">
        <f t="shared" si="8"/>
        <v>0</v>
      </c>
      <c r="I113" s="576">
        <f t="shared" si="8"/>
        <v>0</v>
      </c>
      <c r="J113" s="576">
        <f t="shared" si="8"/>
        <v>0</v>
      </c>
      <c r="K113" s="576">
        <f t="shared" si="8"/>
        <v>0</v>
      </c>
      <c r="L113" s="576">
        <f t="shared" si="8"/>
        <v>0</v>
      </c>
      <c r="M113" s="576">
        <f t="shared" si="8"/>
        <v>0</v>
      </c>
      <c r="N113" s="576">
        <f t="shared" si="8"/>
        <v>0</v>
      </c>
      <c r="O113" s="577">
        <f t="shared" si="8"/>
        <v>9235.13</v>
      </c>
      <c r="P113" s="576">
        <f t="shared" si="8"/>
        <v>0</v>
      </c>
      <c r="Q113" s="576">
        <f t="shared" si="8"/>
        <v>0</v>
      </c>
      <c r="R113" s="576">
        <f t="shared" si="8"/>
        <v>0</v>
      </c>
      <c r="S113" s="576">
        <f t="shared" si="8"/>
        <v>0</v>
      </c>
      <c r="T113" s="576">
        <f t="shared" si="8"/>
        <v>0</v>
      </c>
      <c r="U113" s="576">
        <f t="shared" si="8"/>
        <v>0</v>
      </c>
      <c r="V113" s="576">
        <f t="shared" si="8"/>
        <v>0</v>
      </c>
      <c r="W113" s="576">
        <f t="shared" si="8"/>
        <v>0</v>
      </c>
      <c r="X113" s="576">
        <f t="shared" si="8"/>
        <v>0</v>
      </c>
      <c r="Y113" s="576">
        <f t="shared" si="8"/>
        <v>0</v>
      </c>
      <c r="Z113" s="576">
        <f t="shared" si="8"/>
        <v>0</v>
      </c>
      <c r="AA113" s="576">
        <f t="shared" si="8"/>
        <v>0</v>
      </c>
      <c r="AB113" s="577">
        <f t="shared" si="8"/>
        <v>0</v>
      </c>
      <c r="AC113" s="577">
        <f t="shared" si="8"/>
        <v>0</v>
      </c>
      <c r="AD113" s="576">
        <f t="shared" si="8"/>
        <v>0</v>
      </c>
      <c r="AE113" s="578"/>
      <c r="AF113" s="111"/>
      <c r="AG113" s="111"/>
      <c r="AH113" s="111"/>
      <c r="AI113" s="111"/>
    </row>
    <row r="114" ht="13.5" customHeight="1">
      <c r="A114" s="498"/>
      <c r="C114" s="498"/>
      <c r="D114" s="498"/>
      <c r="E114" s="498"/>
      <c r="F114" s="498"/>
      <c r="G114" s="498"/>
      <c r="H114" s="498"/>
      <c r="I114" s="498"/>
      <c r="J114" s="498"/>
      <c r="K114" s="498"/>
      <c r="L114" s="498"/>
      <c r="M114" s="498"/>
      <c r="N114" s="551" t="s">
        <v>244</v>
      </c>
      <c r="O114" s="341">
        <f>IF(SUM(C113:N113)=O113,0,O113-SUM(C113:N113))</f>
        <v>0</v>
      </c>
      <c r="P114" s="552"/>
      <c r="Q114" s="552"/>
      <c r="R114" s="552"/>
      <c r="S114" s="552"/>
      <c r="T114" s="552"/>
      <c r="U114" s="552"/>
      <c r="V114" s="552"/>
      <c r="W114" s="552"/>
      <c r="X114" s="552"/>
      <c r="Y114" s="552"/>
      <c r="Z114" s="552"/>
      <c r="AA114" s="552"/>
      <c r="AB114" s="341">
        <f>IF(SUM(P113:AA113)=AB113,0,AB113-SUM(P113:AA113))</f>
        <v>0</v>
      </c>
      <c r="AC114" s="498"/>
      <c r="AD114" s="498"/>
      <c r="AE114" s="498"/>
      <c r="AF114" s="498"/>
      <c r="AG114" s="498"/>
      <c r="AH114" s="498"/>
      <c r="AI114" s="498"/>
    </row>
    <row r="115" ht="12.75" customHeight="1">
      <c r="A115" s="498"/>
      <c r="C115" s="498"/>
      <c r="D115" s="498"/>
      <c r="E115" s="498"/>
      <c r="F115" s="498"/>
      <c r="G115" s="498"/>
      <c r="H115" s="498"/>
      <c r="I115" s="498"/>
      <c r="J115" s="498"/>
      <c r="K115" s="498"/>
      <c r="L115" s="498"/>
      <c r="M115" s="498"/>
      <c r="N115" s="498"/>
      <c r="O115" s="498"/>
      <c r="P115" s="498"/>
      <c r="Q115" s="498"/>
      <c r="R115" s="498"/>
      <c r="S115" s="498"/>
      <c r="T115" s="498"/>
      <c r="U115" s="498"/>
      <c r="V115" s="498"/>
      <c r="W115" s="498"/>
      <c r="X115" s="498"/>
      <c r="Y115" s="498"/>
      <c r="Z115" s="498"/>
      <c r="AA115" s="498"/>
      <c r="AB115" s="498"/>
      <c r="AC115" s="498"/>
      <c r="AD115" s="498"/>
      <c r="AE115" s="498"/>
      <c r="AF115" s="498"/>
      <c r="AG115" s="498"/>
      <c r="AH115" s="498"/>
      <c r="AI115" s="498"/>
    </row>
    <row r="116" ht="34.5" customHeight="1">
      <c r="A116" s="542"/>
      <c r="B116" s="586" t="s">
        <v>460</v>
      </c>
      <c r="C116" s="587">
        <f t="shared" ref="C116:AD116" si="9">C53+C100+C113</f>
        <v>0</v>
      </c>
      <c r="D116" s="588">
        <f t="shared" si="9"/>
        <v>0</v>
      </c>
      <c r="E116" s="588">
        <f t="shared" si="9"/>
        <v>0</v>
      </c>
      <c r="F116" s="588">
        <f t="shared" si="9"/>
        <v>0</v>
      </c>
      <c r="G116" s="588">
        <f t="shared" si="9"/>
        <v>278662.13</v>
      </c>
      <c r="H116" s="588">
        <f t="shared" si="9"/>
        <v>4000</v>
      </c>
      <c r="I116" s="588">
        <f t="shared" si="9"/>
        <v>0</v>
      </c>
      <c r="J116" s="588">
        <f t="shared" si="9"/>
        <v>0</v>
      </c>
      <c r="K116" s="588">
        <f t="shared" si="9"/>
        <v>0</v>
      </c>
      <c r="L116" s="588">
        <f t="shared" si="9"/>
        <v>0</v>
      </c>
      <c r="M116" s="588">
        <f t="shared" si="9"/>
        <v>0</v>
      </c>
      <c r="N116" s="589">
        <f t="shared" si="9"/>
        <v>0</v>
      </c>
      <c r="O116" s="590">
        <f t="shared" si="9"/>
        <v>282662.13</v>
      </c>
      <c r="P116" s="588">
        <f t="shared" si="9"/>
        <v>0</v>
      </c>
      <c r="Q116" s="588">
        <f t="shared" si="9"/>
        <v>0</v>
      </c>
      <c r="R116" s="588">
        <f t="shared" si="9"/>
        <v>0</v>
      </c>
      <c r="S116" s="588">
        <f t="shared" si="9"/>
        <v>0</v>
      </c>
      <c r="T116" s="588">
        <f t="shared" si="9"/>
        <v>0</v>
      </c>
      <c r="U116" s="588">
        <f t="shared" si="9"/>
        <v>0</v>
      </c>
      <c r="V116" s="588">
        <f t="shared" si="9"/>
        <v>0</v>
      </c>
      <c r="W116" s="588">
        <f t="shared" si="9"/>
        <v>0</v>
      </c>
      <c r="X116" s="588">
        <f t="shared" si="9"/>
        <v>0</v>
      </c>
      <c r="Y116" s="588">
        <f t="shared" si="9"/>
        <v>0</v>
      </c>
      <c r="Z116" s="588">
        <f t="shared" si="9"/>
        <v>0</v>
      </c>
      <c r="AA116" s="589">
        <f t="shared" si="9"/>
        <v>0</v>
      </c>
      <c r="AB116" s="590">
        <f t="shared" si="9"/>
        <v>0</v>
      </c>
      <c r="AC116" s="591">
        <f t="shared" si="9"/>
        <v>0</v>
      </c>
      <c r="AD116" s="592">
        <f t="shared" si="9"/>
        <v>0</v>
      </c>
      <c r="AE116" s="549"/>
      <c r="AF116" s="498"/>
      <c r="AG116" s="498"/>
      <c r="AH116" s="498"/>
      <c r="AI116" s="498"/>
    </row>
    <row r="117" ht="12.75" customHeight="1">
      <c r="A117" s="498"/>
      <c r="B117" s="82" t="s">
        <v>461</v>
      </c>
      <c r="C117" s="593">
        <v>3000.0</v>
      </c>
      <c r="D117" s="498"/>
      <c r="E117" s="498"/>
      <c r="F117" s="498"/>
      <c r="G117" s="498"/>
      <c r="H117" s="498"/>
      <c r="I117" s="498"/>
      <c r="J117" s="498"/>
      <c r="K117" s="498"/>
      <c r="L117" s="498"/>
      <c r="M117" s="498"/>
      <c r="N117" s="498"/>
      <c r="O117" s="498"/>
      <c r="P117" s="498"/>
      <c r="Q117" s="498"/>
      <c r="R117" s="498"/>
      <c r="S117" s="498"/>
      <c r="T117" s="498"/>
      <c r="U117" s="498"/>
      <c r="V117" s="498"/>
      <c r="W117" s="498"/>
      <c r="X117" s="498"/>
      <c r="Y117" s="498"/>
      <c r="Z117" s="498"/>
      <c r="AA117" s="498"/>
      <c r="AB117" s="498"/>
      <c r="AC117" s="498"/>
      <c r="AD117" s="498"/>
      <c r="AE117" s="498"/>
      <c r="AF117" s="498"/>
      <c r="AG117" s="498"/>
      <c r="AH117" s="498"/>
      <c r="AI117" s="498"/>
    </row>
    <row r="118" ht="12.75" customHeight="1">
      <c r="B118" s="594" t="s">
        <v>462</v>
      </c>
      <c r="C118" s="82">
        <v>15000.0</v>
      </c>
    </row>
    <row r="119" ht="12.75" customHeight="1">
      <c r="B119" s="161"/>
    </row>
    <row r="120" ht="12.75" customHeight="1">
      <c r="B120" s="161"/>
    </row>
    <row r="121" ht="12.75" customHeight="1">
      <c r="B121" s="161"/>
    </row>
    <row r="122" ht="12.75" customHeight="1">
      <c r="B122" s="161"/>
    </row>
    <row r="123" ht="12.75" customHeight="1">
      <c r="B123" s="161"/>
    </row>
    <row r="124" ht="12.75" customHeight="1">
      <c r="B124" s="161"/>
    </row>
    <row r="125" ht="12.75" customHeight="1">
      <c r="B125" s="161"/>
    </row>
    <row r="126" ht="12.75" customHeight="1">
      <c r="B126" s="161"/>
    </row>
    <row r="127" ht="12.75" customHeight="1">
      <c r="B127" s="161"/>
    </row>
    <row r="128" ht="12.75" customHeight="1">
      <c r="B128" s="161"/>
    </row>
    <row r="129" ht="12.75" customHeight="1">
      <c r="B129" s="161"/>
    </row>
    <row r="130" ht="12.75" customHeight="1">
      <c r="B130" s="161"/>
    </row>
    <row r="131" ht="12.75" customHeight="1">
      <c r="B131" s="161"/>
    </row>
    <row r="132" ht="12.75" customHeight="1">
      <c r="B132" s="161"/>
    </row>
    <row r="133" ht="12.75" customHeight="1">
      <c r="B133" s="161"/>
    </row>
    <row r="134" ht="12.75" customHeight="1">
      <c r="B134" s="161"/>
    </row>
    <row r="135" ht="12.75" customHeight="1">
      <c r="B135" s="161"/>
    </row>
    <row r="136" ht="12.75" customHeight="1">
      <c r="B136" s="161"/>
    </row>
    <row r="137" ht="12.75" customHeight="1">
      <c r="B137" s="161"/>
    </row>
    <row r="138" ht="12.75" customHeight="1">
      <c r="B138" s="161"/>
    </row>
    <row r="139" ht="12.75" customHeight="1">
      <c r="B139" s="161"/>
    </row>
    <row r="140" ht="12.75" customHeight="1">
      <c r="B140" s="161"/>
    </row>
    <row r="141" ht="12.75" customHeight="1">
      <c r="B141" s="161"/>
    </row>
    <row r="142" ht="12.75" customHeight="1">
      <c r="B142" s="161"/>
    </row>
    <row r="143" ht="12.75" customHeight="1">
      <c r="B143" s="161"/>
    </row>
    <row r="144" ht="12.75" customHeight="1">
      <c r="B144" s="161"/>
    </row>
    <row r="145" ht="12.75" customHeight="1">
      <c r="B145" s="161"/>
    </row>
    <row r="146" ht="12.75" customHeight="1">
      <c r="B146" s="161"/>
    </row>
    <row r="147" ht="12.75" customHeight="1">
      <c r="B147" s="161"/>
    </row>
    <row r="148" ht="12.75" customHeight="1">
      <c r="B148" s="161"/>
    </row>
    <row r="149" ht="12.75" customHeight="1">
      <c r="B149" s="161"/>
    </row>
    <row r="150" ht="12.75" customHeight="1">
      <c r="B150" s="161"/>
    </row>
    <row r="151" ht="12.75" customHeight="1">
      <c r="B151" s="161"/>
    </row>
    <row r="152" ht="12.75" customHeight="1">
      <c r="B152" s="161"/>
    </row>
    <row r="153" ht="12.75" customHeight="1">
      <c r="B153" s="161"/>
    </row>
    <row r="154" ht="12.75" customHeight="1">
      <c r="B154" s="161"/>
    </row>
    <row r="155" ht="12.75" customHeight="1">
      <c r="B155" s="161"/>
    </row>
    <row r="156" ht="12.75" customHeight="1">
      <c r="B156" s="161"/>
    </row>
    <row r="157" ht="12.75" customHeight="1">
      <c r="B157" s="161"/>
    </row>
    <row r="158" ht="12.75" customHeight="1">
      <c r="B158" s="161"/>
    </row>
    <row r="159" ht="12.75" customHeight="1">
      <c r="B159" s="161"/>
    </row>
    <row r="160" ht="12.75" customHeight="1">
      <c r="B160" s="161"/>
    </row>
    <row r="161" ht="12.75" customHeight="1">
      <c r="B161" s="161"/>
    </row>
    <row r="162" ht="12.75" customHeight="1">
      <c r="B162" s="161"/>
    </row>
    <row r="163" ht="12.75" customHeight="1">
      <c r="B163" s="161"/>
    </row>
    <row r="164" ht="12.75" customHeight="1">
      <c r="B164" s="161"/>
    </row>
    <row r="165" ht="12.75" customHeight="1">
      <c r="B165" s="161"/>
    </row>
    <row r="166" ht="12.75" customHeight="1">
      <c r="B166" s="161"/>
    </row>
    <row r="167" ht="12.75" customHeight="1">
      <c r="B167" s="161"/>
    </row>
    <row r="168" ht="12.75" customHeight="1">
      <c r="B168" s="161"/>
    </row>
    <row r="169" ht="12.75" customHeight="1">
      <c r="B169" s="161"/>
    </row>
    <row r="170" ht="12.75" customHeight="1">
      <c r="B170" s="161"/>
    </row>
    <row r="171" ht="12.75" customHeight="1">
      <c r="B171" s="161"/>
    </row>
    <row r="172" ht="12.75" customHeight="1">
      <c r="B172" s="161"/>
    </row>
    <row r="173" ht="12.75" customHeight="1">
      <c r="B173" s="161"/>
    </row>
    <row r="174" ht="12.75" customHeight="1">
      <c r="B174" s="161"/>
    </row>
    <row r="175" ht="12.75" customHeight="1">
      <c r="B175" s="161"/>
    </row>
    <row r="176" ht="12.75" customHeight="1">
      <c r="B176" s="161"/>
    </row>
    <row r="177" ht="12.75" customHeight="1">
      <c r="B177" s="161"/>
    </row>
    <row r="178" ht="12.75" customHeight="1">
      <c r="B178" s="161"/>
    </row>
    <row r="179" ht="12.75" customHeight="1">
      <c r="B179" s="161"/>
    </row>
    <row r="180" ht="12.75" customHeight="1">
      <c r="B180" s="161"/>
    </row>
    <row r="181" ht="12.75" customHeight="1">
      <c r="B181" s="161"/>
    </row>
    <row r="182" ht="12.75" customHeight="1">
      <c r="B182" s="161"/>
    </row>
    <row r="183" ht="12.75" customHeight="1">
      <c r="B183" s="161"/>
    </row>
    <row r="184" ht="12.75" customHeight="1">
      <c r="B184" s="161"/>
    </row>
    <row r="185" ht="12.75" customHeight="1">
      <c r="B185" s="161"/>
    </row>
    <row r="186" ht="12.75" customHeight="1">
      <c r="B186" s="161"/>
    </row>
    <row r="187" ht="12.75" customHeight="1">
      <c r="B187" s="161"/>
    </row>
    <row r="188" ht="12.75" customHeight="1">
      <c r="B188" s="161"/>
    </row>
    <row r="189" ht="12.75" customHeight="1">
      <c r="B189" s="161"/>
    </row>
    <row r="190" ht="12.75" customHeight="1">
      <c r="B190" s="161"/>
    </row>
    <row r="191" ht="12.75" customHeight="1">
      <c r="B191" s="161"/>
    </row>
    <row r="192" ht="12.75" customHeight="1">
      <c r="B192" s="161"/>
    </row>
    <row r="193" ht="12.75" customHeight="1">
      <c r="B193" s="161"/>
    </row>
    <row r="194" ht="12.75" customHeight="1">
      <c r="B194" s="161"/>
    </row>
    <row r="195" ht="12.75" customHeight="1">
      <c r="B195" s="161"/>
    </row>
    <row r="196" ht="12.75" customHeight="1">
      <c r="B196" s="161"/>
    </row>
    <row r="197" ht="12.75" customHeight="1">
      <c r="B197" s="161"/>
    </row>
    <row r="198" ht="12.75" customHeight="1">
      <c r="B198" s="161"/>
    </row>
    <row r="199" ht="12.75" customHeight="1">
      <c r="B199" s="161"/>
    </row>
    <row r="200" ht="12.75" customHeight="1">
      <c r="B200" s="161"/>
    </row>
    <row r="201" ht="12.75" customHeight="1">
      <c r="B201" s="161"/>
    </row>
    <row r="202" ht="12.75" customHeight="1">
      <c r="B202" s="161"/>
    </row>
    <row r="203" ht="12.75" customHeight="1">
      <c r="B203" s="161"/>
    </row>
    <row r="204" ht="12.75" customHeight="1">
      <c r="B204" s="161"/>
    </row>
    <row r="205" ht="12.75" customHeight="1">
      <c r="B205" s="161"/>
    </row>
    <row r="206" ht="12.75" customHeight="1">
      <c r="B206" s="161"/>
    </row>
    <row r="207" ht="12.75" customHeight="1">
      <c r="B207" s="161"/>
    </row>
    <row r="208" ht="12.75" customHeight="1">
      <c r="B208" s="161"/>
    </row>
    <row r="209" ht="12.75" customHeight="1">
      <c r="B209" s="161"/>
    </row>
    <row r="210" ht="12.75" customHeight="1">
      <c r="B210" s="161"/>
    </row>
    <row r="211" ht="12.75" customHeight="1">
      <c r="B211" s="161"/>
    </row>
    <row r="212" ht="12.75" customHeight="1">
      <c r="B212" s="161"/>
    </row>
    <row r="213" ht="12.75" customHeight="1">
      <c r="B213" s="161"/>
    </row>
    <row r="214" ht="12.75" customHeight="1">
      <c r="B214" s="161"/>
    </row>
    <row r="215" ht="12.75" customHeight="1">
      <c r="B215" s="161"/>
    </row>
    <row r="216" ht="12.75" customHeight="1">
      <c r="B216" s="161"/>
    </row>
    <row r="217" ht="12.75" customHeight="1">
      <c r="B217" s="161"/>
    </row>
    <row r="218" ht="12.75" customHeight="1">
      <c r="B218" s="161"/>
    </row>
    <row r="219" ht="12.75" customHeight="1">
      <c r="B219" s="161"/>
    </row>
    <row r="220" ht="12.75" customHeight="1">
      <c r="B220" s="161"/>
    </row>
    <row r="221" ht="12.75" customHeight="1">
      <c r="B221" s="161"/>
    </row>
    <row r="222" ht="12.75" customHeight="1">
      <c r="B222" s="161"/>
    </row>
    <row r="223" ht="12.75" customHeight="1">
      <c r="B223" s="161"/>
    </row>
    <row r="224" ht="12.75" customHeight="1">
      <c r="B224" s="161"/>
    </row>
    <row r="225" ht="12.75" customHeight="1">
      <c r="B225" s="161"/>
    </row>
    <row r="226" ht="12.75" customHeight="1">
      <c r="B226" s="161"/>
    </row>
    <row r="227" ht="12.75" customHeight="1">
      <c r="B227" s="161"/>
    </row>
    <row r="228" ht="12.75" customHeight="1">
      <c r="B228" s="161"/>
    </row>
    <row r="229" ht="12.75" customHeight="1">
      <c r="B229" s="161"/>
    </row>
    <row r="230" ht="12.75" customHeight="1">
      <c r="B230" s="161"/>
    </row>
    <row r="231" ht="12.75" customHeight="1">
      <c r="B231" s="161"/>
    </row>
    <row r="232" ht="12.75" customHeight="1">
      <c r="B232" s="161"/>
    </row>
    <row r="233" ht="12.75" customHeight="1">
      <c r="B233" s="161"/>
    </row>
    <row r="234" ht="12.75" customHeight="1">
      <c r="B234" s="161"/>
    </row>
    <row r="235" ht="12.75" customHeight="1">
      <c r="B235" s="161"/>
    </row>
    <row r="236" ht="12.75" customHeight="1">
      <c r="B236" s="161"/>
    </row>
    <row r="237" ht="12.75" customHeight="1">
      <c r="B237" s="161"/>
    </row>
    <row r="238" ht="12.75" customHeight="1">
      <c r="B238" s="161"/>
    </row>
    <row r="239" ht="12.75" customHeight="1">
      <c r="B239" s="161"/>
    </row>
    <row r="240" ht="12.75" customHeight="1">
      <c r="B240" s="161"/>
    </row>
    <row r="241" ht="12.75" customHeight="1">
      <c r="B241" s="161"/>
    </row>
    <row r="242" ht="12.75" customHeight="1">
      <c r="B242" s="161"/>
    </row>
    <row r="243" ht="12.75" customHeight="1">
      <c r="B243" s="161"/>
    </row>
    <row r="244" ht="12.75" customHeight="1">
      <c r="B244" s="161"/>
    </row>
    <row r="245" ht="12.75" customHeight="1">
      <c r="B245" s="161"/>
    </row>
    <row r="246" ht="12.75" customHeight="1">
      <c r="B246" s="161"/>
    </row>
    <row r="247" ht="12.75" customHeight="1">
      <c r="B247" s="161"/>
    </row>
    <row r="248" ht="12.75" customHeight="1">
      <c r="B248" s="161"/>
    </row>
    <row r="249" ht="12.75" customHeight="1">
      <c r="B249" s="161"/>
    </row>
    <row r="250" ht="12.75" customHeight="1">
      <c r="B250" s="161"/>
    </row>
    <row r="251" ht="12.75" customHeight="1">
      <c r="B251" s="161"/>
    </row>
    <row r="252" ht="12.75" customHeight="1">
      <c r="B252" s="161"/>
    </row>
    <row r="253" ht="12.75" customHeight="1">
      <c r="B253" s="161"/>
    </row>
    <row r="254" ht="12.75" customHeight="1">
      <c r="B254" s="161"/>
    </row>
    <row r="255" ht="12.75" customHeight="1">
      <c r="B255" s="161"/>
    </row>
    <row r="256" ht="12.75" customHeight="1">
      <c r="B256" s="161"/>
    </row>
    <row r="257" ht="12.75" customHeight="1">
      <c r="B257" s="161"/>
    </row>
    <row r="258" ht="12.75" customHeight="1">
      <c r="B258" s="161"/>
    </row>
    <row r="259" ht="12.75" customHeight="1">
      <c r="B259" s="161"/>
    </row>
    <row r="260" ht="12.75" customHeight="1">
      <c r="B260" s="161"/>
    </row>
    <row r="261" ht="12.75" customHeight="1">
      <c r="B261" s="161"/>
    </row>
    <row r="262" ht="12.75" customHeight="1">
      <c r="B262" s="161"/>
    </row>
    <row r="263" ht="12.75" customHeight="1">
      <c r="B263" s="161"/>
    </row>
    <row r="264" ht="12.75" customHeight="1">
      <c r="B264" s="161"/>
    </row>
    <row r="265" ht="12.75" customHeight="1">
      <c r="B265" s="161"/>
    </row>
    <row r="266" ht="12.75" customHeight="1">
      <c r="B266" s="161"/>
    </row>
    <row r="267" ht="12.75" customHeight="1">
      <c r="B267" s="161"/>
    </row>
    <row r="268" ht="12.75" customHeight="1">
      <c r="B268" s="161"/>
    </row>
    <row r="269" ht="12.75" customHeight="1">
      <c r="B269" s="161"/>
    </row>
    <row r="270" ht="12.75" customHeight="1">
      <c r="B270" s="161"/>
    </row>
    <row r="271" ht="12.75" customHeight="1">
      <c r="B271" s="161"/>
    </row>
    <row r="272" ht="12.75" customHeight="1">
      <c r="B272" s="161"/>
    </row>
    <row r="273" ht="12.75" customHeight="1">
      <c r="B273" s="161"/>
    </row>
    <row r="274" ht="12.75" customHeight="1">
      <c r="B274" s="161"/>
    </row>
    <row r="275" ht="12.75" customHeight="1">
      <c r="B275" s="161"/>
    </row>
    <row r="276" ht="12.75" customHeight="1">
      <c r="B276" s="161"/>
    </row>
    <row r="277" ht="12.75" customHeight="1">
      <c r="B277" s="161"/>
    </row>
    <row r="278" ht="12.75" customHeight="1">
      <c r="B278" s="161"/>
    </row>
    <row r="279" ht="12.75" customHeight="1">
      <c r="B279" s="161"/>
    </row>
    <row r="280" ht="12.75" customHeight="1">
      <c r="B280" s="161"/>
    </row>
    <row r="281" ht="12.75" customHeight="1">
      <c r="B281" s="161"/>
    </row>
    <row r="282" ht="12.75" customHeight="1">
      <c r="B282" s="161"/>
    </row>
    <row r="283" ht="12.75" customHeight="1">
      <c r="B283" s="161"/>
    </row>
    <row r="284" ht="12.75" customHeight="1">
      <c r="B284" s="161"/>
    </row>
    <row r="285" ht="12.75" customHeight="1">
      <c r="B285" s="161"/>
    </row>
    <row r="286" ht="12.75" customHeight="1">
      <c r="B286" s="161"/>
    </row>
    <row r="287" ht="12.75" customHeight="1">
      <c r="B287" s="161"/>
    </row>
    <row r="288" ht="12.75" customHeight="1">
      <c r="B288" s="161"/>
    </row>
    <row r="289" ht="12.75" customHeight="1">
      <c r="B289" s="161"/>
    </row>
    <row r="290" ht="12.75" customHeight="1">
      <c r="B290" s="161"/>
    </row>
    <row r="291" ht="12.75" customHeight="1">
      <c r="B291" s="161"/>
    </row>
    <row r="292" ht="12.75" customHeight="1">
      <c r="B292" s="161"/>
    </row>
    <row r="293" ht="12.75" customHeight="1">
      <c r="B293" s="161"/>
    </row>
    <row r="294" ht="12.75" customHeight="1">
      <c r="B294" s="161"/>
    </row>
    <row r="295" ht="12.75" customHeight="1">
      <c r="B295" s="161"/>
    </row>
    <row r="296" ht="12.75" customHeight="1">
      <c r="B296" s="161"/>
    </row>
    <row r="297" ht="12.75" customHeight="1">
      <c r="B297" s="161"/>
    </row>
    <row r="298" ht="12.75" customHeight="1">
      <c r="B298" s="161"/>
    </row>
    <row r="299" ht="12.75" customHeight="1">
      <c r="B299" s="161"/>
    </row>
    <row r="300" ht="12.75" customHeight="1">
      <c r="B300" s="161"/>
    </row>
    <row r="301" ht="12.75" customHeight="1">
      <c r="B301" s="161"/>
    </row>
    <row r="302" ht="12.75" customHeight="1">
      <c r="B302" s="161"/>
    </row>
    <row r="303" ht="12.75" customHeight="1">
      <c r="B303" s="161"/>
    </row>
    <row r="304" ht="12.75" customHeight="1">
      <c r="B304" s="161"/>
    </row>
    <row r="305" ht="12.75" customHeight="1">
      <c r="B305" s="161"/>
    </row>
    <row r="306" ht="12.75" customHeight="1">
      <c r="B306" s="161"/>
    </row>
    <row r="307" ht="12.75" customHeight="1">
      <c r="B307" s="161"/>
    </row>
    <row r="308" ht="12.75" customHeight="1">
      <c r="B308" s="161"/>
    </row>
    <row r="309" ht="12.75" customHeight="1">
      <c r="B309" s="161"/>
    </row>
    <row r="310" ht="12.75" customHeight="1">
      <c r="B310" s="161"/>
    </row>
    <row r="311" ht="12.75" customHeight="1">
      <c r="B311" s="161"/>
    </row>
    <row r="312" ht="12.75" customHeight="1">
      <c r="B312" s="161"/>
    </row>
    <row r="313" ht="12.75" customHeight="1">
      <c r="B313" s="161"/>
    </row>
    <row r="314" ht="12.75" customHeight="1">
      <c r="B314" s="161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</sheetData>
  <mergeCells count="2">
    <mergeCell ref="C4:O4"/>
    <mergeCell ref="P4:AB4"/>
  </mergeCells>
  <conditionalFormatting sqref="O54 O101 O114">
    <cfRule type="cellIs" dxfId="0" priority="1" operator="notBetween">
      <formula>-0.001</formula>
      <formula>0.001</formula>
    </cfRule>
  </conditionalFormatting>
  <conditionalFormatting sqref="AB114">
    <cfRule type="cellIs" dxfId="0" priority="2" operator="notBetween">
      <formula>-0.001</formula>
      <formula>0.001</formula>
    </cfRule>
  </conditionalFormatting>
  <printOptions/>
  <pageMargins bottom="0.984251969" footer="0.0" header="0.0" left="0.787401575" right="0.787401575" top="0.984251969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6.75"/>
    <col customWidth="1" min="4" max="27" width="7.5"/>
    <col customWidth="1" min="28" max="31" width="11.38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6"/>
      <c r="W1" s="76"/>
      <c r="X1" s="76"/>
      <c r="Y1" s="76"/>
      <c r="Z1" s="76"/>
      <c r="AA1" s="76"/>
      <c r="AB1" s="76"/>
      <c r="AC1" s="76"/>
      <c r="AD1" s="76"/>
      <c r="AE1" s="76"/>
    </row>
    <row r="2" ht="12.75" customHeight="1">
      <c r="A2" s="78" t="s">
        <v>463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 ht="12.75" customHeight="1">
      <c r="A3" s="79"/>
      <c r="B3" s="76"/>
      <c r="C3" s="80" t="s">
        <v>140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 ht="12.75" customHeight="1">
      <c r="A4" s="79"/>
      <c r="B4" s="76"/>
      <c r="C4" s="82" t="s">
        <v>141</v>
      </c>
      <c r="D4" s="76">
        <v>8.0</v>
      </c>
      <c r="E4" s="76">
        <v>9.0</v>
      </c>
      <c r="F4" s="76">
        <v>10.0</v>
      </c>
      <c r="G4" s="76">
        <v>11.0</v>
      </c>
      <c r="H4" s="76">
        <v>12.0</v>
      </c>
      <c r="I4" s="76">
        <v>13.0</v>
      </c>
      <c r="J4" s="76">
        <v>14.0</v>
      </c>
      <c r="K4" s="76">
        <v>15.0</v>
      </c>
      <c r="L4" s="76">
        <v>16.0</v>
      </c>
      <c r="M4" s="76">
        <v>17.0</v>
      </c>
      <c r="N4" s="76"/>
      <c r="O4" s="76"/>
      <c r="P4" s="76"/>
      <c r="Q4" s="76"/>
      <c r="R4" s="76"/>
      <c r="S4" s="76"/>
      <c r="T4" s="76"/>
      <c r="U4" s="77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 ht="12.75" customHeight="1">
      <c r="A5" s="79"/>
      <c r="B5" s="76"/>
      <c r="C5" s="76" t="s">
        <v>148</v>
      </c>
      <c r="D5" s="98">
        <v>0.35</v>
      </c>
      <c r="E5" s="98">
        <v>0.35</v>
      </c>
      <c r="F5" s="98">
        <v>0.15</v>
      </c>
      <c r="G5" s="98">
        <v>0.05</v>
      </c>
      <c r="H5" s="98"/>
      <c r="I5" s="98"/>
      <c r="J5" s="98">
        <v>0.35</v>
      </c>
      <c r="K5" s="98">
        <v>0.35</v>
      </c>
      <c r="L5" s="98">
        <v>0.4</v>
      </c>
      <c r="M5" s="98">
        <v>0.45</v>
      </c>
      <c r="N5" s="76"/>
      <c r="O5" s="76"/>
      <c r="P5" s="76"/>
      <c r="Q5" s="76"/>
      <c r="R5" s="76"/>
      <c r="S5" s="76"/>
      <c r="T5" s="76"/>
      <c r="U5" s="77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 ht="12.75" customHeight="1">
      <c r="A6" s="79"/>
      <c r="B6" s="76"/>
      <c r="C6" s="76" t="s">
        <v>76</v>
      </c>
      <c r="D6" s="98">
        <v>0.45</v>
      </c>
      <c r="E6" s="98">
        <v>0.45</v>
      </c>
      <c r="F6" s="98">
        <v>0.35</v>
      </c>
      <c r="G6" s="98">
        <v>0.1</v>
      </c>
      <c r="H6" s="98"/>
      <c r="I6" s="98"/>
      <c r="J6" s="98">
        <v>0.35</v>
      </c>
      <c r="K6" s="98">
        <v>0.35</v>
      </c>
      <c r="L6" s="98">
        <v>0.55</v>
      </c>
      <c r="M6" s="98">
        <v>0.55</v>
      </c>
      <c r="N6" s="76"/>
      <c r="O6" s="76"/>
      <c r="P6" s="76"/>
      <c r="Q6" s="76"/>
      <c r="R6" s="76"/>
      <c r="S6" s="76"/>
      <c r="T6" s="76"/>
      <c r="U6" s="77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12.75" customHeight="1">
      <c r="A7" s="79"/>
      <c r="B7" s="76"/>
      <c r="C7" s="76" t="s">
        <v>80</v>
      </c>
      <c r="D7" s="98">
        <v>0.1</v>
      </c>
      <c r="E7" s="98">
        <v>0.1</v>
      </c>
      <c r="F7" s="98">
        <v>0.3</v>
      </c>
      <c r="G7" s="98">
        <v>0.3</v>
      </c>
      <c r="H7" s="98">
        <v>0.3</v>
      </c>
      <c r="I7" s="98">
        <v>0.3</v>
      </c>
      <c r="J7" s="98">
        <v>0.15</v>
      </c>
      <c r="K7" s="98">
        <v>0.15</v>
      </c>
      <c r="L7" s="98">
        <v>0.05</v>
      </c>
      <c r="M7" s="98"/>
      <c r="N7" s="76"/>
      <c r="O7" s="76"/>
      <c r="P7" s="76"/>
      <c r="Q7" s="76"/>
      <c r="R7" s="76"/>
      <c r="S7" s="76"/>
      <c r="T7" s="76"/>
      <c r="U7" s="77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 ht="12.75" customHeight="1">
      <c r="A8" s="79"/>
      <c r="B8" s="76"/>
      <c r="C8" s="76" t="s">
        <v>83</v>
      </c>
      <c r="D8" s="98">
        <v>0.05</v>
      </c>
      <c r="E8" s="98">
        <v>0.05</v>
      </c>
      <c r="F8" s="98">
        <v>0.1</v>
      </c>
      <c r="G8" s="98">
        <v>0.3</v>
      </c>
      <c r="H8" s="98">
        <v>0.35</v>
      </c>
      <c r="I8" s="98">
        <v>0.35</v>
      </c>
      <c r="J8" s="98">
        <v>0.1</v>
      </c>
      <c r="K8" s="98">
        <v>0.1</v>
      </c>
      <c r="L8" s="98"/>
      <c r="M8" s="98"/>
      <c r="N8" s="76"/>
      <c r="O8" s="76"/>
      <c r="P8" s="76"/>
      <c r="Q8" s="76"/>
      <c r="R8" s="76"/>
      <c r="S8" s="76"/>
      <c r="T8" s="76"/>
      <c r="U8" s="77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 ht="12.75" customHeight="1">
      <c r="A9" s="79"/>
      <c r="B9" s="76"/>
      <c r="C9" s="76" t="s">
        <v>87</v>
      </c>
      <c r="D9" s="98">
        <v>0.05</v>
      </c>
      <c r="E9" s="98">
        <v>0.05</v>
      </c>
      <c r="F9" s="98">
        <v>0.05</v>
      </c>
      <c r="G9" s="98">
        <v>0.15</v>
      </c>
      <c r="H9" s="98">
        <v>0.15</v>
      </c>
      <c r="I9" s="98">
        <v>0.15</v>
      </c>
      <c r="J9" s="98">
        <v>0.05</v>
      </c>
      <c r="K9" s="98">
        <v>0.05</v>
      </c>
      <c r="L9" s="98"/>
      <c r="M9" s="98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 ht="12.75" customHeight="1">
      <c r="A10" s="79"/>
      <c r="B10" s="76"/>
      <c r="C10" s="76" t="s">
        <v>464</v>
      </c>
      <c r="D10" s="98"/>
      <c r="E10" s="98"/>
      <c r="F10" s="98">
        <v>0.05</v>
      </c>
      <c r="G10" s="98">
        <v>0.1</v>
      </c>
      <c r="H10" s="98">
        <v>0.2</v>
      </c>
      <c r="I10" s="98">
        <v>0.2</v>
      </c>
      <c r="J10" s="98"/>
      <c r="K10" s="98"/>
      <c r="L10" s="98"/>
      <c r="M10" s="98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 ht="12.75" customHeight="1">
      <c r="A11" s="79"/>
      <c r="B11" s="76"/>
      <c r="C11" s="76"/>
      <c r="D11" s="89">
        <f t="shared" ref="D11:M11" si="1">SUM(D5:D10)</f>
        <v>1</v>
      </c>
      <c r="E11" s="89">
        <f t="shared" si="1"/>
        <v>1</v>
      </c>
      <c r="F11" s="89">
        <f t="shared" si="1"/>
        <v>1</v>
      </c>
      <c r="G11" s="89">
        <f t="shared" si="1"/>
        <v>1</v>
      </c>
      <c r="H11" s="89">
        <f t="shared" si="1"/>
        <v>1</v>
      </c>
      <c r="I11" s="89">
        <f t="shared" si="1"/>
        <v>1</v>
      </c>
      <c r="J11" s="89">
        <f t="shared" si="1"/>
        <v>1</v>
      </c>
      <c r="K11" s="89">
        <f t="shared" si="1"/>
        <v>1</v>
      </c>
      <c r="L11" s="89">
        <f t="shared" si="1"/>
        <v>1</v>
      </c>
      <c r="M11" s="89">
        <f t="shared" si="1"/>
        <v>1</v>
      </c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 ht="12.75" customHeight="1">
      <c r="A12" s="79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 ht="12.75" customHeight="1">
      <c r="A13" s="79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 ht="12.75" customHeight="1">
      <c r="A14" s="79"/>
      <c r="B14" s="76"/>
      <c r="C14" s="80" t="s">
        <v>140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 ht="12.75" customHeight="1">
      <c r="A15" s="79"/>
      <c r="B15" s="76"/>
      <c r="D15" s="76">
        <v>8.0</v>
      </c>
      <c r="E15" s="76">
        <v>9.0</v>
      </c>
      <c r="F15" s="76">
        <v>10.0</v>
      </c>
      <c r="G15" s="76">
        <v>11.0</v>
      </c>
      <c r="H15" s="76">
        <v>12.0</v>
      </c>
      <c r="I15" s="76">
        <v>13.0</v>
      </c>
      <c r="J15" s="76">
        <v>14.0</v>
      </c>
      <c r="K15" s="76">
        <v>15.0</v>
      </c>
      <c r="L15" s="76">
        <v>16.0</v>
      </c>
      <c r="M15" s="76">
        <v>17.0</v>
      </c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 ht="12.75" customHeight="1">
      <c r="A16" s="79"/>
      <c r="B16" s="76"/>
      <c r="C16" s="82" t="s">
        <v>149</v>
      </c>
      <c r="D16" s="159">
        <v>5.0</v>
      </c>
      <c r="E16" s="159">
        <v>10.0</v>
      </c>
      <c r="F16" s="159">
        <v>24.0</v>
      </c>
      <c r="G16" s="159">
        <v>20.0</v>
      </c>
      <c r="H16" s="159">
        <v>30.0</v>
      </c>
      <c r="I16" s="159">
        <v>35.0</v>
      </c>
      <c r="J16" s="159">
        <v>20.0</v>
      </c>
      <c r="K16" s="159">
        <v>15.0</v>
      </c>
      <c r="L16" s="159">
        <v>15.0</v>
      </c>
      <c r="M16" s="159">
        <v>10.0</v>
      </c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 ht="12.75" customHeight="1">
      <c r="A17" s="79"/>
      <c r="B17" s="76"/>
      <c r="C17" s="76" t="s">
        <v>72</v>
      </c>
      <c r="D17" s="91">
        <f t="shared" ref="D17:M17" si="2">ROUND( D$16*D5,0)</f>
        <v>2</v>
      </c>
      <c r="E17" s="91">
        <f t="shared" si="2"/>
        <v>4</v>
      </c>
      <c r="F17" s="91">
        <f t="shared" si="2"/>
        <v>4</v>
      </c>
      <c r="G17" s="91">
        <f t="shared" si="2"/>
        <v>1</v>
      </c>
      <c r="H17" s="91">
        <f t="shared" si="2"/>
        <v>0</v>
      </c>
      <c r="I17" s="91">
        <f t="shared" si="2"/>
        <v>0</v>
      </c>
      <c r="J17" s="91">
        <f t="shared" si="2"/>
        <v>7</v>
      </c>
      <c r="K17" s="91">
        <f t="shared" si="2"/>
        <v>5</v>
      </c>
      <c r="L17" s="91">
        <f t="shared" si="2"/>
        <v>6</v>
      </c>
      <c r="M17" s="91">
        <f t="shared" si="2"/>
        <v>5</v>
      </c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 ht="12.75" customHeight="1">
      <c r="A18" s="79"/>
      <c r="B18" s="76"/>
      <c r="C18" s="76" t="s">
        <v>76</v>
      </c>
      <c r="D18" s="91">
        <f t="shared" ref="D18:M18" si="3">ROUND( D$16*D6,0)</f>
        <v>2</v>
      </c>
      <c r="E18" s="91">
        <f t="shared" si="3"/>
        <v>5</v>
      </c>
      <c r="F18" s="91">
        <f t="shared" si="3"/>
        <v>8</v>
      </c>
      <c r="G18" s="91">
        <f t="shared" si="3"/>
        <v>2</v>
      </c>
      <c r="H18" s="91">
        <f t="shared" si="3"/>
        <v>0</v>
      </c>
      <c r="I18" s="91">
        <f t="shared" si="3"/>
        <v>0</v>
      </c>
      <c r="J18" s="91">
        <f t="shared" si="3"/>
        <v>7</v>
      </c>
      <c r="K18" s="91">
        <f t="shared" si="3"/>
        <v>5</v>
      </c>
      <c r="L18" s="91">
        <f t="shared" si="3"/>
        <v>8</v>
      </c>
      <c r="M18" s="91">
        <f t="shared" si="3"/>
        <v>6</v>
      </c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 ht="12.75" customHeight="1">
      <c r="A19" s="79"/>
      <c r="B19" s="76"/>
      <c r="C19" s="76" t="s">
        <v>80</v>
      </c>
      <c r="D19" s="91">
        <f t="shared" ref="D19:M19" si="4">ROUND( D$16*D7,0)</f>
        <v>1</v>
      </c>
      <c r="E19" s="91">
        <f t="shared" si="4"/>
        <v>1</v>
      </c>
      <c r="F19" s="91">
        <f t="shared" si="4"/>
        <v>7</v>
      </c>
      <c r="G19" s="91">
        <f t="shared" si="4"/>
        <v>6</v>
      </c>
      <c r="H19" s="91">
        <f t="shared" si="4"/>
        <v>9</v>
      </c>
      <c r="I19" s="91">
        <f t="shared" si="4"/>
        <v>11</v>
      </c>
      <c r="J19" s="91">
        <f t="shared" si="4"/>
        <v>3</v>
      </c>
      <c r="K19" s="91">
        <f t="shared" si="4"/>
        <v>2</v>
      </c>
      <c r="L19" s="91">
        <f t="shared" si="4"/>
        <v>1</v>
      </c>
      <c r="M19" s="91">
        <f t="shared" si="4"/>
        <v>0</v>
      </c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 ht="12.75" customHeight="1">
      <c r="A20" s="79"/>
      <c r="B20" s="76"/>
      <c r="C20" s="76" t="s">
        <v>83</v>
      </c>
      <c r="D20" s="91">
        <f t="shared" ref="D20:M20" si="5">ROUND( D$16*D8,0)</f>
        <v>0</v>
      </c>
      <c r="E20" s="91">
        <f t="shared" si="5"/>
        <v>1</v>
      </c>
      <c r="F20" s="91">
        <f t="shared" si="5"/>
        <v>2</v>
      </c>
      <c r="G20" s="91">
        <f t="shared" si="5"/>
        <v>6</v>
      </c>
      <c r="H20" s="91">
        <f t="shared" si="5"/>
        <v>11</v>
      </c>
      <c r="I20" s="91">
        <f t="shared" si="5"/>
        <v>12</v>
      </c>
      <c r="J20" s="91">
        <f t="shared" si="5"/>
        <v>2</v>
      </c>
      <c r="K20" s="91">
        <f t="shared" si="5"/>
        <v>2</v>
      </c>
      <c r="L20" s="91">
        <f t="shared" si="5"/>
        <v>0</v>
      </c>
      <c r="M20" s="91">
        <f t="shared" si="5"/>
        <v>0</v>
      </c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 ht="12.75" customHeight="1">
      <c r="A21" s="79"/>
      <c r="B21" s="76"/>
      <c r="C21" s="76" t="s">
        <v>87</v>
      </c>
      <c r="D21" s="91">
        <f t="shared" ref="D21:M21" si="6">ROUND( D$16*D9,0)</f>
        <v>0</v>
      </c>
      <c r="E21" s="91">
        <f t="shared" si="6"/>
        <v>1</v>
      </c>
      <c r="F21" s="91">
        <f t="shared" si="6"/>
        <v>1</v>
      </c>
      <c r="G21" s="91">
        <f t="shared" si="6"/>
        <v>3</v>
      </c>
      <c r="H21" s="91">
        <f t="shared" si="6"/>
        <v>5</v>
      </c>
      <c r="I21" s="91">
        <f t="shared" si="6"/>
        <v>5</v>
      </c>
      <c r="J21" s="91">
        <f t="shared" si="6"/>
        <v>1</v>
      </c>
      <c r="K21" s="91">
        <f t="shared" si="6"/>
        <v>1</v>
      </c>
      <c r="L21" s="91">
        <f t="shared" si="6"/>
        <v>0</v>
      </c>
      <c r="M21" s="91">
        <f t="shared" si="6"/>
        <v>0</v>
      </c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 ht="12.75" customHeight="1">
      <c r="A22" s="79"/>
      <c r="B22" s="76"/>
      <c r="C22" s="76" t="s">
        <v>464</v>
      </c>
      <c r="D22" s="91">
        <f t="shared" ref="D22:M22" si="7">ROUND( D$16*D10,0)</f>
        <v>0</v>
      </c>
      <c r="E22" s="91">
        <f t="shared" si="7"/>
        <v>0</v>
      </c>
      <c r="F22" s="91">
        <f t="shared" si="7"/>
        <v>1</v>
      </c>
      <c r="G22" s="91">
        <f t="shared" si="7"/>
        <v>2</v>
      </c>
      <c r="H22" s="91">
        <f t="shared" si="7"/>
        <v>6</v>
      </c>
      <c r="I22" s="91">
        <f t="shared" si="7"/>
        <v>7</v>
      </c>
      <c r="J22" s="91">
        <f t="shared" si="7"/>
        <v>0</v>
      </c>
      <c r="K22" s="91">
        <f t="shared" si="7"/>
        <v>0</v>
      </c>
      <c r="L22" s="91">
        <f t="shared" si="7"/>
        <v>0</v>
      </c>
      <c r="M22" s="91">
        <f t="shared" si="7"/>
        <v>0</v>
      </c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 ht="12.75" customHeight="1">
      <c r="A23" s="79"/>
      <c r="B23" s="76"/>
      <c r="C23" s="76"/>
      <c r="D23" s="93">
        <f t="shared" ref="D23:M23" si="8">SUM(D17:D22)</f>
        <v>5</v>
      </c>
      <c r="E23" s="93">
        <f t="shared" si="8"/>
        <v>12</v>
      </c>
      <c r="F23" s="93">
        <f t="shared" si="8"/>
        <v>23</v>
      </c>
      <c r="G23" s="93">
        <f t="shared" si="8"/>
        <v>20</v>
      </c>
      <c r="H23" s="93">
        <f t="shared" si="8"/>
        <v>31</v>
      </c>
      <c r="I23" s="93">
        <f t="shared" si="8"/>
        <v>35</v>
      </c>
      <c r="J23" s="93">
        <f t="shared" si="8"/>
        <v>20</v>
      </c>
      <c r="K23" s="93">
        <f t="shared" si="8"/>
        <v>15</v>
      </c>
      <c r="L23" s="93">
        <f t="shared" si="8"/>
        <v>15</v>
      </c>
      <c r="M23" s="93">
        <f t="shared" si="8"/>
        <v>11</v>
      </c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 ht="12.75" customHeight="1">
      <c r="A24" s="79"/>
      <c r="B24" s="76"/>
      <c r="C24" s="8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76"/>
      <c r="AC24" s="76"/>
      <c r="AD24" s="76"/>
      <c r="AE24" s="76"/>
    </row>
    <row r="25" ht="12.75" customHeight="1">
      <c r="A25" s="79"/>
      <c r="B25" s="76"/>
      <c r="C25" s="80" t="s">
        <v>150</v>
      </c>
      <c r="D25" s="95" t="s">
        <v>151</v>
      </c>
      <c r="E25" s="95" t="s">
        <v>152</v>
      </c>
      <c r="F25" s="95" t="s">
        <v>153</v>
      </c>
      <c r="G25" s="95" t="s">
        <v>154</v>
      </c>
      <c r="H25" s="95" t="s">
        <v>155</v>
      </c>
      <c r="I25" s="95" t="s">
        <v>156</v>
      </c>
      <c r="J25" s="95" t="s">
        <v>151</v>
      </c>
      <c r="K25" s="95" t="s">
        <v>152</v>
      </c>
      <c r="L25" s="95" t="s">
        <v>153</v>
      </c>
      <c r="M25" s="95" t="s">
        <v>154</v>
      </c>
      <c r="N25" s="95" t="s">
        <v>155</v>
      </c>
      <c r="O25" s="95" t="s">
        <v>156</v>
      </c>
      <c r="P25" s="95" t="s">
        <v>151</v>
      </c>
      <c r="Q25" s="95" t="s">
        <v>152</v>
      </c>
      <c r="R25" s="95" t="s">
        <v>153</v>
      </c>
      <c r="S25" s="95" t="s">
        <v>154</v>
      </c>
      <c r="T25" s="95" t="s">
        <v>155</v>
      </c>
      <c r="U25" s="95" t="s">
        <v>156</v>
      </c>
      <c r="V25" s="95" t="s">
        <v>151</v>
      </c>
      <c r="W25" s="95" t="s">
        <v>152</v>
      </c>
      <c r="X25" s="95" t="s">
        <v>153</v>
      </c>
      <c r="Y25" s="95" t="s">
        <v>154</v>
      </c>
      <c r="Z25" s="95" t="s">
        <v>155</v>
      </c>
      <c r="AA25" s="95" t="s">
        <v>156</v>
      </c>
      <c r="AB25" s="76"/>
      <c r="AC25" s="76"/>
      <c r="AD25" s="76"/>
      <c r="AE25" s="76"/>
    </row>
    <row r="26" ht="12.75" customHeight="1">
      <c r="A26" s="79"/>
      <c r="B26" s="76"/>
      <c r="C26" s="76"/>
      <c r="D26" s="76">
        <v>1.0</v>
      </c>
      <c r="E26" s="76">
        <v>2.0</v>
      </c>
      <c r="F26" s="76">
        <v>3.0</v>
      </c>
      <c r="G26" s="76">
        <v>4.0</v>
      </c>
      <c r="H26" s="76">
        <v>5.0</v>
      </c>
      <c r="I26" s="76">
        <v>6.0</v>
      </c>
      <c r="J26" s="76">
        <v>7.0</v>
      </c>
      <c r="K26" s="76">
        <v>8.0</v>
      </c>
      <c r="L26" s="76">
        <v>9.0</v>
      </c>
      <c r="M26" s="76">
        <v>10.0</v>
      </c>
      <c r="N26" s="76">
        <v>11.0</v>
      </c>
      <c r="O26" s="76">
        <v>12.0</v>
      </c>
      <c r="P26" s="76">
        <v>13.0</v>
      </c>
      <c r="Q26" s="76">
        <v>14.0</v>
      </c>
      <c r="R26" s="76">
        <v>15.0</v>
      </c>
      <c r="S26" s="76">
        <v>16.0</v>
      </c>
      <c r="T26" s="76">
        <v>17.0</v>
      </c>
      <c r="U26" s="76">
        <v>18.0</v>
      </c>
      <c r="V26" s="76">
        <v>19.0</v>
      </c>
      <c r="W26" s="76">
        <v>20.0</v>
      </c>
      <c r="X26" s="76">
        <v>21.0</v>
      </c>
      <c r="Y26" s="76">
        <v>22.0</v>
      </c>
      <c r="Z26" s="76">
        <v>23.0</v>
      </c>
      <c r="AA26" s="76">
        <v>24.0</v>
      </c>
      <c r="AB26" s="76"/>
      <c r="AC26" s="76"/>
      <c r="AD26" s="76"/>
      <c r="AE26" s="76"/>
    </row>
    <row r="27" ht="12.75" customHeight="1">
      <c r="A27" s="79"/>
      <c r="C27" s="82" t="s">
        <v>157</v>
      </c>
      <c r="D27" s="98">
        <v>0.5</v>
      </c>
      <c r="E27" s="98">
        <v>0.6</v>
      </c>
      <c r="F27" s="98">
        <v>0.6</v>
      </c>
      <c r="G27" s="98">
        <v>0.7</v>
      </c>
      <c r="H27" s="98">
        <v>0.9</v>
      </c>
      <c r="I27" s="98">
        <v>0.9</v>
      </c>
      <c r="J27" s="98">
        <v>0.5</v>
      </c>
      <c r="K27" s="98">
        <v>0.6</v>
      </c>
      <c r="L27" s="98">
        <v>0.6</v>
      </c>
      <c r="M27" s="98">
        <v>0.7</v>
      </c>
      <c r="N27" s="98">
        <v>0.9</v>
      </c>
      <c r="O27" s="98">
        <v>0.9</v>
      </c>
      <c r="P27" s="98">
        <v>0.5</v>
      </c>
      <c r="Q27" s="98">
        <v>0.6</v>
      </c>
      <c r="R27" s="98">
        <v>0.6</v>
      </c>
      <c r="S27" s="98">
        <v>0.7</v>
      </c>
      <c r="T27" s="98">
        <v>0.9</v>
      </c>
      <c r="U27" s="98">
        <v>0.9</v>
      </c>
      <c r="V27" s="98">
        <v>0.5</v>
      </c>
      <c r="W27" s="98">
        <v>0.6</v>
      </c>
      <c r="X27" s="98">
        <v>0.6</v>
      </c>
      <c r="Y27" s="98">
        <v>0.7</v>
      </c>
      <c r="Z27" s="98">
        <v>0.9</v>
      </c>
      <c r="AA27" s="98">
        <v>0.9</v>
      </c>
      <c r="AB27" s="76"/>
      <c r="AC27" s="76"/>
      <c r="AD27" s="76"/>
      <c r="AE27" s="76"/>
    </row>
    <row r="28" ht="12.75" customHeight="1">
      <c r="A28" s="79"/>
      <c r="B28" s="76"/>
      <c r="C28" s="76" t="s">
        <v>148</v>
      </c>
      <c r="D28" s="76">
        <f t="shared" ref="D28:D33" si="10">ROUND(SUM($D17:$M17)*D$27,0)</f>
        <v>17</v>
      </c>
      <c r="E28" s="76">
        <f t="shared" ref="E28:AA28" si="9">ROUND(SUM($D17:$M17)*E27,0)</f>
        <v>20</v>
      </c>
      <c r="F28" s="76">
        <f t="shared" si="9"/>
        <v>20</v>
      </c>
      <c r="G28" s="76">
        <f t="shared" si="9"/>
        <v>24</v>
      </c>
      <c r="H28" s="76">
        <f t="shared" si="9"/>
        <v>31</v>
      </c>
      <c r="I28" s="76">
        <f t="shared" si="9"/>
        <v>31</v>
      </c>
      <c r="J28" s="76">
        <f t="shared" si="9"/>
        <v>17</v>
      </c>
      <c r="K28" s="76">
        <f t="shared" si="9"/>
        <v>20</v>
      </c>
      <c r="L28" s="76">
        <f t="shared" si="9"/>
        <v>20</v>
      </c>
      <c r="M28" s="76">
        <f t="shared" si="9"/>
        <v>24</v>
      </c>
      <c r="N28" s="76">
        <f t="shared" si="9"/>
        <v>31</v>
      </c>
      <c r="O28" s="76">
        <f t="shared" si="9"/>
        <v>31</v>
      </c>
      <c r="P28" s="76">
        <f t="shared" si="9"/>
        <v>17</v>
      </c>
      <c r="Q28" s="76">
        <f t="shared" si="9"/>
        <v>20</v>
      </c>
      <c r="R28" s="76">
        <f t="shared" si="9"/>
        <v>20</v>
      </c>
      <c r="S28" s="76">
        <f t="shared" si="9"/>
        <v>24</v>
      </c>
      <c r="T28" s="76">
        <f t="shared" si="9"/>
        <v>31</v>
      </c>
      <c r="U28" s="76">
        <f t="shared" si="9"/>
        <v>31</v>
      </c>
      <c r="V28" s="76">
        <f t="shared" si="9"/>
        <v>17</v>
      </c>
      <c r="W28" s="76">
        <f t="shared" si="9"/>
        <v>20</v>
      </c>
      <c r="X28" s="76">
        <f t="shared" si="9"/>
        <v>20</v>
      </c>
      <c r="Y28" s="76">
        <f t="shared" si="9"/>
        <v>24</v>
      </c>
      <c r="Z28" s="76">
        <f t="shared" si="9"/>
        <v>31</v>
      </c>
      <c r="AA28" s="76">
        <f t="shared" si="9"/>
        <v>31</v>
      </c>
      <c r="AB28" s="76"/>
      <c r="AC28" s="76"/>
      <c r="AD28" s="76"/>
      <c r="AE28" s="76"/>
    </row>
    <row r="29" ht="12.75" customHeight="1">
      <c r="A29" s="79"/>
      <c r="B29" s="76"/>
      <c r="C29" s="76" t="s">
        <v>76</v>
      </c>
      <c r="D29" s="76">
        <f t="shared" si="10"/>
        <v>22</v>
      </c>
      <c r="E29" s="76">
        <f t="shared" ref="E29:AA29" si="11">ROUND(SUM($D18:$M18)*E$27,0)</f>
        <v>26</v>
      </c>
      <c r="F29" s="76">
        <f t="shared" si="11"/>
        <v>26</v>
      </c>
      <c r="G29" s="76">
        <f t="shared" si="11"/>
        <v>30</v>
      </c>
      <c r="H29" s="76">
        <f t="shared" si="11"/>
        <v>39</v>
      </c>
      <c r="I29" s="76">
        <f t="shared" si="11"/>
        <v>39</v>
      </c>
      <c r="J29" s="76">
        <f t="shared" si="11"/>
        <v>22</v>
      </c>
      <c r="K29" s="76">
        <f t="shared" si="11"/>
        <v>26</v>
      </c>
      <c r="L29" s="76">
        <f t="shared" si="11"/>
        <v>26</v>
      </c>
      <c r="M29" s="76">
        <f t="shared" si="11"/>
        <v>30</v>
      </c>
      <c r="N29" s="76">
        <f t="shared" si="11"/>
        <v>39</v>
      </c>
      <c r="O29" s="76">
        <f t="shared" si="11"/>
        <v>39</v>
      </c>
      <c r="P29" s="76">
        <f t="shared" si="11"/>
        <v>22</v>
      </c>
      <c r="Q29" s="76">
        <f t="shared" si="11"/>
        <v>26</v>
      </c>
      <c r="R29" s="76">
        <f t="shared" si="11"/>
        <v>26</v>
      </c>
      <c r="S29" s="76">
        <f t="shared" si="11"/>
        <v>30</v>
      </c>
      <c r="T29" s="76">
        <f t="shared" si="11"/>
        <v>39</v>
      </c>
      <c r="U29" s="76">
        <f t="shared" si="11"/>
        <v>39</v>
      </c>
      <c r="V29" s="76">
        <f t="shared" si="11"/>
        <v>22</v>
      </c>
      <c r="W29" s="76">
        <f t="shared" si="11"/>
        <v>26</v>
      </c>
      <c r="X29" s="76">
        <f t="shared" si="11"/>
        <v>26</v>
      </c>
      <c r="Y29" s="76">
        <f t="shared" si="11"/>
        <v>30</v>
      </c>
      <c r="Z29" s="76">
        <f t="shared" si="11"/>
        <v>39</v>
      </c>
      <c r="AA29" s="76">
        <f t="shared" si="11"/>
        <v>39</v>
      </c>
      <c r="AB29" s="76"/>
      <c r="AC29" s="76"/>
      <c r="AD29" s="76"/>
      <c r="AE29" s="76"/>
    </row>
    <row r="30" ht="12.75" customHeight="1">
      <c r="A30" s="79"/>
      <c r="B30" s="76"/>
      <c r="C30" s="76" t="s">
        <v>80</v>
      </c>
      <c r="D30" s="76">
        <f t="shared" si="10"/>
        <v>21</v>
      </c>
      <c r="E30" s="76">
        <f t="shared" ref="E30:AA30" si="12">ROUND(SUM($D19:$M19)*E$27,0)</f>
        <v>25</v>
      </c>
      <c r="F30" s="76">
        <f t="shared" si="12"/>
        <v>25</v>
      </c>
      <c r="G30" s="76">
        <f t="shared" si="12"/>
        <v>29</v>
      </c>
      <c r="H30" s="76">
        <f t="shared" si="12"/>
        <v>37</v>
      </c>
      <c r="I30" s="76">
        <f t="shared" si="12"/>
        <v>37</v>
      </c>
      <c r="J30" s="76">
        <f t="shared" si="12"/>
        <v>21</v>
      </c>
      <c r="K30" s="76">
        <f t="shared" si="12"/>
        <v>25</v>
      </c>
      <c r="L30" s="76">
        <f t="shared" si="12"/>
        <v>25</v>
      </c>
      <c r="M30" s="76">
        <f t="shared" si="12"/>
        <v>29</v>
      </c>
      <c r="N30" s="76">
        <f t="shared" si="12"/>
        <v>37</v>
      </c>
      <c r="O30" s="76">
        <f t="shared" si="12"/>
        <v>37</v>
      </c>
      <c r="P30" s="76">
        <f t="shared" si="12"/>
        <v>21</v>
      </c>
      <c r="Q30" s="76">
        <f t="shared" si="12"/>
        <v>25</v>
      </c>
      <c r="R30" s="76">
        <f t="shared" si="12"/>
        <v>25</v>
      </c>
      <c r="S30" s="76">
        <f t="shared" si="12"/>
        <v>29</v>
      </c>
      <c r="T30" s="76">
        <f t="shared" si="12"/>
        <v>37</v>
      </c>
      <c r="U30" s="76">
        <f t="shared" si="12"/>
        <v>37</v>
      </c>
      <c r="V30" s="76">
        <f t="shared" si="12"/>
        <v>21</v>
      </c>
      <c r="W30" s="76">
        <f t="shared" si="12"/>
        <v>25</v>
      </c>
      <c r="X30" s="76">
        <f t="shared" si="12"/>
        <v>25</v>
      </c>
      <c r="Y30" s="76">
        <f t="shared" si="12"/>
        <v>29</v>
      </c>
      <c r="Z30" s="76">
        <f t="shared" si="12"/>
        <v>37</v>
      </c>
      <c r="AA30" s="76">
        <f t="shared" si="12"/>
        <v>37</v>
      </c>
      <c r="AB30" s="76"/>
      <c r="AC30" s="76"/>
      <c r="AD30" s="76"/>
      <c r="AE30" s="76"/>
    </row>
    <row r="31" ht="12.75" customHeight="1">
      <c r="A31" s="79"/>
      <c r="B31" s="76"/>
      <c r="C31" s="76" t="s">
        <v>83</v>
      </c>
      <c r="D31" s="76">
        <f t="shared" si="10"/>
        <v>18</v>
      </c>
      <c r="E31" s="76">
        <f t="shared" ref="E31:AA31" si="13">ROUND(SUM($D20:$M20)*E$27,0)</f>
        <v>22</v>
      </c>
      <c r="F31" s="76">
        <f t="shared" si="13"/>
        <v>22</v>
      </c>
      <c r="G31" s="76">
        <f t="shared" si="13"/>
        <v>25</v>
      </c>
      <c r="H31" s="76">
        <f t="shared" si="13"/>
        <v>32</v>
      </c>
      <c r="I31" s="76">
        <f t="shared" si="13"/>
        <v>32</v>
      </c>
      <c r="J31" s="76">
        <f t="shared" si="13"/>
        <v>18</v>
      </c>
      <c r="K31" s="76">
        <f t="shared" si="13"/>
        <v>22</v>
      </c>
      <c r="L31" s="76">
        <f t="shared" si="13"/>
        <v>22</v>
      </c>
      <c r="M31" s="76">
        <f t="shared" si="13"/>
        <v>25</v>
      </c>
      <c r="N31" s="76">
        <f t="shared" si="13"/>
        <v>32</v>
      </c>
      <c r="O31" s="76">
        <f t="shared" si="13"/>
        <v>32</v>
      </c>
      <c r="P31" s="76">
        <f t="shared" si="13"/>
        <v>18</v>
      </c>
      <c r="Q31" s="76">
        <f t="shared" si="13"/>
        <v>22</v>
      </c>
      <c r="R31" s="76">
        <f t="shared" si="13"/>
        <v>22</v>
      </c>
      <c r="S31" s="76">
        <f t="shared" si="13"/>
        <v>25</v>
      </c>
      <c r="T31" s="76">
        <f t="shared" si="13"/>
        <v>32</v>
      </c>
      <c r="U31" s="76">
        <f t="shared" si="13"/>
        <v>32</v>
      </c>
      <c r="V31" s="76">
        <f t="shared" si="13"/>
        <v>18</v>
      </c>
      <c r="W31" s="76">
        <f t="shared" si="13"/>
        <v>22</v>
      </c>
      <c r="X31" s="76">
        <f t="shared" si="13"/>
        <v>22</v>
      </c>
      <c r="Y31" s="76">
        <f t="shared" si="13"/>
        <v>25</v>
      </c>
      <c r="Z31" s="76">
        <f t="shared" si="13"/>
        <v>32</v>
      </c>
      <c r="AA31" s="76">
        <f t="shared" si="13"/>
        <v>32</v>
      </c>
      <c r="AB31" s="76"/>
      <c r="AC31" s="76"/>
      <c r="AD31" s="76"/>
      <c r="AE31" s="76"/>
    </row>
    <row r="32" ht="12.75" customHeight="1">
      <c r="A32" s="79"/>
      <c r="B32" s="76"/>
      <c r="C32" s="76" t="s">
        <v>87</v>
      </c>
      <c r="D32" s="76">
        <f t="shared" si="10"/>
        <v>9</v>
      </c>
      <c r="E32" s="76">
        <f t="shared" ref="E32:AA32" si="14">ROUND(SUM($D21:$M21)*E$27,0)</f>
        <v>10</v>
      </c>
      <c r="F32" s="76">
        <f t="shared" si="14"/>
        <v>10</v>
      </c>
      <c r="G32" s="76">
        <f t="shared" si="14"/>
        <v>12</v>
      </c>
      <c r="H32" s="76">
        <f t="shared" si="14"/>
        <v>15</v>
      </c>
      <c r="I32" s="76">
        <f t="shared" si="14"/>
        <v>15</v>
      </c>
      <c r="J32" s="76">
        <f t="shared" si="14"/>
        <v>9</v>
      </c>
      <c r="K32" s="76">
        <f t="shared" si="14"/>
        <v>10</v>
      </c>
      <c r="L32" s="76">
        <f t="shared" si="14"/>
        <v>10</v>
      </c>
      <c r="M32" s="76">
        <f t="shared" si="14"/>
        <v>12</v>
      </c>
      <c r="N32" s="76">
        <f t="shared" si="14"/>
        <v>15</v>
      </c>
      <c r="O32" s="76">
        <f t="shared" si="14"/>
        <v>15</v>
      </c>
      <c r="P32" s="76">
        <f t="shared" si="14"/>
        <v>9</v>
      </c>
      <c r="Q32" s="76">
        <f t="shared" si="14"/>
        <v>10</v>
      </c>
      <c r="R32" s="76">
        <f t="shared" si="14"/>
        <v>10</v>
      </c>
      <c r="S32" s="76">
        <f t="shared" si="14"/>
        <v>12</v>
      </c>
      <c r="T32" s="76">
        <f t="shared" si="14"/>
        <v>15</v>
      </c>
      <c r="U32" s="76">
        <f t="shared" si="14"/>
        <v>15</v>
      </c>
      <c r="V32" s="76">
        <f t="shared" si="14"/>
        <v>9</v>
      </c>
      <c r="W32" s="76">
        <f t="shared" si="14"/>
        <v>10</v>
      </c>
      <c r="X32" s="76">
        <f t="shared" si="14"/>
        <v>10</v>
      </c>
      <c r="Y32" s="76">
        <f t="shared" si="14"/>
        <v>12</v>
      </c>
      <c r="Z32" s="76">
        <f t="shared" si="14"/>
        <v>15</v>
      </c>
      <c r="AA32" s="76">
        <f t="shared" si="14"/>
        <v>15</v>
      </c>
      <c r="AB32" s="76"/>
      <c r="AC32" s="76"/>
      <c r="AD32" s="76"/>
      <c r="AE32" s="76"/>
    </row>
    <row r="33" ht="12.75" customHeight="1">
      <c r="A33" s="79"/>
      <c r="B33" s="76"/>
      <c r="C33" s="76" t="s">
        <v>464</v>
      </c>
      <c r="D33" s="76">
        <f t="shared" si="10"/>
        <v>8</v>
      </c>
      <c r="E33" s="76">
        <f t="shared" ref="E33:AA33" si="15">ROUND(SUM($D22:$M22)*E$27,0)</f>
        <v>10</v>
      </c>
      <c r="F33" s="76">
        <f t="shared" si="15"/>
        <v>10</v>
      </c>
      <c r="G33" s="76">
        <f t="shared" si="15"/>
        <v>11</v>
      </c>
      <c r="H33" s="76">
        <f t="shared" si="15"/>
        <v>14</v>
      </c>
      <c r="I33" s="76">
        <f t="shared" si="15"/>
        <v>14</v>
      </c>
      <c r="J33" s="76">
        <f t="shared" si="15"/>
        <v>8</v>
      </c>
      <c r="K33" s="76">
        <f t="shared" si="15"/>
        <v>10</v>
      </c>
      <c r="L33" s="76">
        <f t="shared" si="15"/>
        <v>10</v>
      </c>
      <c r="M33" s="76">
        <f t="shared" si="15"/>
        <v>11</v>
      </c>
      <c r="N33" s="76">
        <f t="shared" si="15"/>
        <v>14</v>
      </c>
      <c r="O33" s="76">
        <f t="shared" si="15"/>
        <v>14</v>
      </c>
      <c r="P33" s="76">
        <f t="shared" si="15"/>
        <v>8</v>
      </c>
      <c r="Q33" s="76">
        <f t="shared" si="15"/>
        <v>10</v>
      </c>
      <c r="R33" s="76">
        <f t="shared" si="15"/>
        <v>10</v>
      </c>
      <c r="S33" s="76">
        <f t="shared" si="15"/>
        <v>11</v>
      </c>
      <c r="T33" s="76">
        <f t="shared" si="15"/>
        <v>14</v>
      </c>
      <c r="U33" s="76">
        <f t="shared" si="15"/>
        <v>14</v>
      </c>
      <c r="V33" s="76">
        <f t="shared" si="15"/>
        <v>8</v>
      </c>
      <c r="W33" s="76">
        <f t="shared" si="15"/>
        <v>10</v>
      </c>
      <c r="X33" s="76">
        <f t="shared" si="15"/>
        <v>10</v>
      </c>
      <c r="Y33" s="76">
        <f t="shared" si="15"/>
        <v>11</v>
      </c>
      <c r="Z33" s="76">
        <f t="shared" si="15"/>
        <v>14</v>
      </c>
      <c r="AA33" s="76">
        <f t="shared" si="15"/>
        <v>14</v>
      </c>
      <c r="AB33" s="76"/>
      <c r="AC33" s="76"/>
      <c r="AD33" s="76"/>
      <c r="AE33" s="76"/>
    </row>
    <row r="34" ht="12.75" customHeight="1">
      <c r="A34" s="79"/>
      <c r="B34" s="76"/>
      <c r="C34" s="76"/>
      <c r="D34" s="93">
        <f t="shared" ref="D34:AA34" si="16">SUM(D28:D33)</f>
        <v>95</v>
      </c>
      <c r="E34" s="93">
        <f t="shared" si="16"/>
        <v>113</v>
      </c>
      <c r="F34" s="93">
        <f t="shared" si="16"/>
        <v>113</v>
      </c>
      <c r="G34" s="93">
        <f t="shared" si="16"/>
        <v>131</v>
      </c>
      <c r="H34" s="93">
        <f t="shared" si="16"/>
        <v>168</v>
      </c>
      <c r="I34" s="93">
        <f t="shared" si="16"/>
        <v>168</v>
      </c>
      <c r="J34" s="93">
        <f t="shared" si="16"/>
        <v>95</v>
      </c>
      <c r="K34" s="93">
        <f t="shared" si="16"/>
        <v>113</v>
      </c>
      <c r="L34" s="93">
        <f t="shared" si="16"/>
        <v>113</v>
      </c>
      <c r="M34" s="93">
        <f t="shared" si="16"/>
        <v>131</v>
      </c>
      <c r="N34" s="93">
        <f t="shared" si="16"/>
        <v>168</v>
      </c>
      <c r="O34" s="93">
        <f t="shared" si="16"/>
        <v>168</v>
      </c>
      <c r="P34" s="93">
        <f t="shared" si="16"/>
        <v>95</v>
      </c>
      <c r="Q34" s="93">
        <f t="shared" si="16"/>
        <v>113</v>
      </c>
      <c r="R34" s="93">
        <f t="shared" si="16"/>
        <v>113</v>
      </c>
      <c r="S34" s="93">
        <f t="shared" si="16"/>
        <v>131</v>
      </c>
      <c r="T34" s="93">
        <f t="shared" si="16"/>
        <v>168</v>
      </c>
      <c r="U34" s="93">
        <f t="shared" si="16"/>
        <v>168</v>
      </c>
      <c r="V34" s="93">
        <f t="shared" si="16"/>
        <v>95</v>
      </c>
      <c r="W34" s="93">
        <f t="shared" si="16"/>
        <v>113</v>
      </c>
      <c r="X34" s="93">
        <f t="shared" si="16"/>
        <v>113</v>
      </c>
      <c r="Y34" s="93">
        <f t="shared" si="16"/>
        <v>131</v>
      </c>
      <c r="Z34" s="93">
        <f t="shared" si="16"/>
        <v>168</v>
      </c>
      <c r="AA34" s="93">
        <f t="shared" si="16"/>
        <v>168</v>
      </c>
      <c r="AB34" s="76"/>
      <c r="AC34" s="76"/>
      <c r="AD34" s="76"/>
      <c r="AE34" s="76"/>
    </row>
    <row r="35" ht="12.75" customHeight="1">
      <c r="A35" s="79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 ht="12.75" customHeight="1">
      <c r="A36" s="79"/>
      <c r="B36" s="76"/>
      <c r="C36" s="80" t="s">
        <v>158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 ht="12.75" customHeight="1">
      <c r="A37" s="79"/>
      <c r="B37" s="76"/>
      <c r="C37" s="76"/>
      <c r="D37" s="76">
        <v>2024.0</v>
      </c>
      <c r="E37" s="76"/>
      <c r="F37" s="76"/>
      <c r="G37" s="76"/>
      <c r="H37" s="76"/>
      <c r="I37" s="76"/>
      <c r="J37" s="76"/>
      <c r="K37" s="95" t="s">
        <v>465</v>
      </c>
      <c r="L37" s="76"/>
      <c r="M37" s="76"/>
      <c r="N37" s="76"/>
      <c r="O37" s="76"/>
      <c r="P37" s="76">
        <v>2025.0</v>
      </c>
      <c r="Q37" s="76"/>
      <c r="R37" s="76"/>
      <c r="S37" s="76"/>
      <c r="T37" s="76"/>
      <c r="U37" s="76"/>
      <c r="V37" s="76"/>
      <c r="W37" s="95" t="s">
        <v>465</v>
      </c>
      <c r="X37" s="76"/>
      <c r="Y37" s="76"/>
      <c r="Z37" s="76"/>
      <c r="AA37" s="76"/>
      <c r="AB37" s="76"/>
      <c r="AC37" s="76"/>
      <c r="AD37" s="76"/>
      <c r="AE37" s="76"/>
    </row>
    <row r="38" ht="12.75" customHeight="1">
      <c r="A38" s="79"/>
      <c r="B38" s="76"/>
      <c r="C38" s="82" t="s">
        <v>159</v>
      </c>
      <c r="D38" s="76">
        <v>1.0</v>
      </c>
      <c r="E38" s="76">
        <v>2.0</v>
      </c>
      <c r="F38" s="76">
        <v>3.0</v>
      </c>
      <c r="G38" s="76">
        <v>4.0</v>
      </c>
      <c r="H38" s="76">
        <v>5.0</v>
      </c>
      <c r="I38" s="76">
        <v>6.0</v>
      </c>
      <c r="J38" s="76">
        <v>7.0</v>
      </c>
      <c r="K38" s="76">
        <v>8.0</v>
      </c>
      <c r="L38" s="76">
        <v>9.0</v>
      </c>
      <c r="M38" s="76">
        <v>10.0</v>
      </c>
      <c r="N38" s="76">
        <v>11.0</v>
      </c>
      <c r="O38" s="76">
        <v>12.0</v>
      </c>
      <c r="P38" s="76">
        <v>1.0</v>
      </c>
      <c r="Q38" s="76">
        <v>2.0</v>
      </c>
      <c r="R38" s="76">
        <v>3.0</v>
      </c>
      <c r="S38" s="76">
        <v>4.0</v>
      </c>
      <c r="T38" s="76">
        <v>5.0</v>
      </c>
      <c r="U38" s="76">
        <v>6.0</v>
      </c>
      <c r="V38" s="76">
        <v>7.0</v>
      </c>
      <c r="W38" s="76">
        <v>8.0</v>
      </c>
      <c r="X38" s="76">
        <v>9.0</v>
      </c>
      <c r="Y38" s="76">
        <v>10.0</v>
      </c>
      <c r="Z38" s="76">
        <v>11.0</v>
      </c>
      <c r="AA38" s="76">
        <v>12.0</v>
      </c>
      <c r="AB38" s="76"/>
      <c r="AC38" s="76"/>
      <c r="AD38" s="76"/>
      <c r="AE38" s="76"/>
    </row>
    <row r="39" ht="12.75" customHeight="1">
      <c r="A39" s="79"/>
      <c r="B39" s="76"/>
      <c r="C39" s="82" t="s">
        <v>160</v>
      </c>
      <c r="D39" s="98">
        <v>0.05</v>
      </c>
      <c r="E39" s="98">
        <v>0.1</v>
      </c>
      <c r="F39" s="98">
        <v>0.25</v>
      </c>
      <c r="G39" s="98">
        <v>0.3</v>
      </c>
      <c r="H39" s="98">
        <v>0.5</v>
      </c>
      <c r="I39" s="98">
        <v>0.8</v>
      </c>
      <c r="J39" s="98">
        <v>0.8</v>
      </c>
      <c r="K39" s="98">
        <v>0.2</v>
      </c>
      <c r="L39" s="98">
        <v>0.6</v>
      </c>
      <c r="M39" s="98">
        <v>0.6</v>
      </c>
      <c r="N39" s="98">
        <v>0.6</v>
      </c>
      <c r="O39" s="98">
        <v>0.4</v>
      </c>
      <c r="P39" s="98">
        <v>0.5</v>
      </c>
      <c r="Q39" s="98">
        <v>0.6</v>
      </c>
      <c r="R39" s="98">
        <v>0.7</v>
      </c>
      <c r="S39" s="98">
        <v>0.7</v>
      </c>
      <c r="T39" s="98">
        <v>0.8</v>
      </c>
      <c r="U39" s="98">
        <v>0.9</v>
      </c>
      <c r="V39" s="98">
        <v>0.9</v>
      </c>
      <c r="W39" s="98">
        <v>0.3</v>
      </c>
      <c r="X39" s="98">
        <v>0.9</v>
      </c>
      <c r="Y39" s="98">
        <v>0.8</v>
      </c>
      <c r="Z39" s="98">
        <v>0.7</v>
      </c>
      <c r="AA39" s="98">
        <v>0.5</v>
      </c>
      <c r="AB39" s="76"/>
      <c r="AC39" s="76"/>
      <c r="AD39" s="76"/>
      <c r="AE39" s="76"/>
    </row>
    <row r="40" ht="12.75" customHeight="1">
      <c r="A40" s="79"/>
      <c r="B40" s="76"/>
      <c r="C40" s="76" t="s">
        <v>148</v>
      </c>
      <c r="D40" s="76">
        <f t="shared" ref="D40:AA40" si="17">ROUND(SUM($D28:$AA28)*D$39,0)</f>
        <v>29</v>
      </c>
      <c r="E40" s="76">
        <f t="shared" si="17"/>
        <v>57</v>
      </c>
      <c r="F40" s="76">
        <f t="shared" si="17"/>
        <v>143</v>
      </c>
      <c r="G40" s="76">
        <f t="shared" si="17"/>
        <v>172</v>
      </c>
      <c r="H40" s="76">
        <f t="shared" si="17"/>
        <v>286</v>
      </c>
      <c r="I40" s="76">
        <f t="shared" si="17"/>
        <v>458</v>
      </c>
      <c r="J40" s="76">
        <f t="shared" si="17"/>
        <v>458</v>
      </c>
      <c r="K40" s="76">
        <f t="shared" si="17"/>
        <v>114</v>
      </c>
      <c r="L40" s="76">
        <f t="shared" si="17"/>
        <v>343</v>
      </c>
      <c r="M40" s="76">
        <f t="shared" si="17"/>
        <v>343</v>
      </c>
      <c r="N40" s="76">
        <f t="shared" si="17"/>
        <v>343</v>
      </c>
      <c r="O40" s="76">
        <f t="shared" si="17"/>
        <v>229</v>
      </c>
      <c r="P40" s="76">
        <f t="shared" si="17"/>
        <v>286</v>
      </c>
      <c r="Q40" s="76">
        <f t="shared" si="17"/>
        <v>343</v>
      </c>
      <c r="R40" s="76">
        <f t="shared" si="17"/>
        <v>400</v>
      </c>
      <c r="S40" s="76">
        <f t="shared" si="17"/>
        <v>400</v>
      </c>
      <c r="T40" s="76">
        <f t="shared" si="17"/>
        <v>458</v>
      </c>
      <c r="U40" s="76">
        <f t="shared" si="17"/>
        <v>515</v>
      </c>
      <c r="V40" s="76">
        <f t="shared" si="17"/>
        <v>515</v>
      </c>
      <c r="W40" s="76">
        <f t="shared" si="17"/>
        <v>172</v>
      </c>
      <c r="X40" s="76">
        <f t="shared" si="17"/>
        <v>515</v>
      </c>
      <c r="Y40" s="76">
        <f t="shared" si="17"/>
        <v>458</v>
      </c>
      <c r="Z40" s="76">
        <f t="shared" si="17"/>
        <v>400</v>
      </c>
      <c r="AA40" s="76">
        <f t="shared" si="17"/>
        <v>286</v>
      </c>
      <c r="AB40" s="76"/>
      <c r="AC40" s="76"/>
      <c r="AD40" s="76"/>
      <c r="AE40" s="76"/>
    </row>
    <row r="41" ht="12.75" customHeight="1">
      <c r="A41" s="79"/>
      <c r="B41" s="76"/>
      <c r="C41" s="76" t="s">
        <v>76</v>
      </c>
      <c r="D41" s="76">
        <f t="shared" ref="D41:AA41" si="18">ROUND(SUM($D29:$AA29)*D$39,0)</f>
        <v>36</v>
      </c>
      <c r="E41" s="76">
        <f t="shared" si="18"/>
        <v>73</v>
      </c>
      <c r="F41" s="76">
        <f t="shared" si="18"/>
        <v>182</v>
      </c>
      <c r="G41" s="76">
        <f t="shared" si="18"/>
        <v>218</v>
      </c>
      <c r="H41" s="76">
        <f t="shared" si="18"/>
        <v>364</v>
      </c>
      <c r="I41" s="76">
        <f t="shared" si="18"/>
        <v>582</v>
      </c>
      <c r="J41" s="76">
        <f t="shared" si="18"/>
        <v>582</v>
      </c>
      <c r="K41" s="76">
        <f t="shared" si="18"/>
        <v>146</v>
      </c>
      <c r="L41" s="76">
        <f t="shared" si="18"/>
        <v>437</v>
      </c>
      <c r="M41" s="76">
        <f t="shared" si="18"/>
        <v>437</v>
      </c>
      <c r="N41" s="76">
        <f t="shared" si="18"/>
        <v>437</v>
      </c>
      <c r="O41" s="76">
        <f t="shared" si="18"/>
        <v>291</v>
      </c>
      <c r="P41" s="76">
        <f t="shared" si="18"/>
        <v>364</v>
      </c>
      <c r="Q41" s="76">
        <f t="shared" si="18"/>
        <v>437</v>
      </c>
      <c r="R41" s="76">
        <f t="shared" si="18"/>
        <v>510</v>
      </c>
      <c r="S41" s="76">
        <f t="shared" si="18"/>
        <v>510</v>
      </c>
      <c r="T41" s="76">
        <f t="shared" si="18"/>
        <v>582</v>
      </c>
      <c r="U41" s="76">
        <f t="shared" si="18"/>
        <v>655</v>
      </c>
      <c r="V41" s="76">
        <f t="shared" si="18"/>
        <v>655</v>
      </c>
      <c r="W41" s="76">
        <f t="shared" si="18"/>
        <v>218</v>
      </c>
      <c r="X41" s="76">
        <f t="shared" si="18"/>
        <v>655</v>
      </c>
      <c r="Y41" s="76">
        <f t="shared" si="18"/>
        <v>582</v>
      </c>
      <c r="Z41" s="76">
        <f t="shared" si="18"/>
        <v>510</v>
      </c>
      <c r="AA41" s="76">
        <f t="shared" si="18"/>
        <v>364</v>
      </c>
      <c r="AB41" s="76"/>
      <c r="AC41" s="76"/>
      <c r="AD41" s="76"/>
      <c r="AE41" s="76"/>
    </row>
    <row r="42" ht="12.75" customHeight="1">
      <c r="A42" s="79"/>
      <c r="B42" s="76"/>
      <c r="C42" s="76" t="s">
        <v>80</v>
      </c>
      <c r="D42" s="76">
        <f t="shared" ref="D42:AA42" si="19">ROUND(SUM($D30:$AA30)*D$39,0)</f>
        <v>35</v>
      </c>
      <c r="E42" s="76">
        <f t="shared" si="19"/>
        <v>70</v>
      </c>
      <c r="F42" s="76">
        <f t="shared" si="19"/>
        <v>174</v>
      </c>
      <c r="G42" s="76">
        <f t="shared" si="19"/>
        <v>209</v>
      </c>
      <c r="H42" s="76">
        <f t="shared" si="19"/>
        <v>348</v>
      </c>
      <c r="I42" s="76">
        <f t="shared" si="19"/>
        <v>557</v>
      </c>
      <c r="J42" s="76">
        <f t="shared" si="19"/>
        <v>557</v>
      </c>
      <c r="K42" s="76">
        <f t="shared" si="19"/>
        <v>139</v>
      </c>
      <c r="L42" s="76">
        <f t="shared" si="19"/>
        <v>418</v>
      </c>
      <c r="M42" s="76">
        <f t="shared" si="19"/>
        <v>418</v>
      </c>
      <c r="N42" s="76">
        <f t="shared" si="19"/>
        <v>418</v>
      </c>
      <c r="O42" s="76">
        <f t="shared" si="19"/>
        <v>278</v>
      </c>
      <c r="P42" s="76">
        <f t="shared" si="19"/>
        <v>348</v>
      </c>
      <c r="Q42" s="76">
        <f t="shared" si="19"/>
        <v>418</v>
      </c>
      <c r="R42" s="76">
        <f t="shared" si="19"/>
        <v>487</v>
      </c>
      <c r="S42" s="76">
        <f t="shared" si="19"/>
        <v>487</v>
      </c>
      <c r="T42" s="76">
        <f t="shared" si="19"/>
        <v>557</v>
      </c>
      <c r="U42" s="76">
        <f t="shared" si="19"/>
        <v>626</v>
      </c>
      <c r="V42" s="76">
        <f t="shared" si="19"/>
        <v>626</v>
      </c>
      <c r="W42" s="76">
        <f t="shared" si="19"/>
        <v>209</v>
      </c>
      <c r="X42" s="76">
        <f t="shared" si="19"/>
        <v>626</v>
      </c>
      <c r="Y42" s="76">
        <f t="shared" si="19"/>
        <v>557</v>
      </c>
      <c r="Z42" s="76">
        <f t="shared" si="19"/>
        <v>487</v>
      </c>
      <c r="AA42" s="76">
        <f t="shared" si="19"/>
        <v>348</v>
      </c>
      <c r="AB42" s="76"/>
      <c r="AC42" s="76"/>
      <c r="AD42" s="76"/>
      <c r="AE42" s="76"/>
    </row>
    <row r="43" ht="12.75" customHeight="1">
      <c r="A43" s="79"/>
      <c r="B43" s="76"/>
      <c r="C43" s="76" t="s">
        <v>83</v>
      </c>
      <c r="D43" s="76">
        <f t="shared" ref="D43:AA43" si="20">ROUND(SUM($D31:$AA31)*D$39,0)</f>
        <v>30</v>
      </c>
      <c r="E43" s="76">
        <f t="shared" si="20"/>
        <v>60</v>
      </c>
      <c r="F43" s="76">
        <f t="shared" si="20"/>
        <v>151</v>
      </c>
      <c r="G43" s="76">
        <f t="shared" si="20"/>
        <v>181</v>
      </c>
      <c r="H43" s="76">
        <f t="shared" si="20"/>
        <v>302</v>
      </c>
      <c r="I43" s="76">
        <f t="shared" si="20"/>
        <v>483</v>
      </c>
      <c r="J43" s="76">
        <f t="shared" si="20"/>
        <v>483</v>
      </c>
      <c r="K43" s="76">
        <f t="shared" si="20"/>
        <v>121</v>
      </c>
      <c r="L43" s="76">
        <f t="shared" si="20"/>
        <v>362</v>
      </c>
      <c r="M43" s="76">
        <f t="shared" si="20"/>
        <v>362</v>
      </c>
      <c r="N43" s="76">
        <f t="shared" si="20"/>
        <v>362</v>
      </c>
      <c r="O43" s="76">
        <f t="shared" si="20"/>
        <v>242</v>
      </c>
      <c r="P43" s="76">
        <f t="shared" si="20"/>
        <v>302</v>
      </c>
      <c r="Q43" s="76">
        <f t="shared" si="20"/>
        <v>362</v>
      </c>
      <c r="R43" s="76">
        <f t="shared" si="20"/>
        <v>423</v>
      </c>
      <c r="S43" s="76">
        <f t="shared" si="20"/>
        <v>423</v>
      </c>
      <c r="T43" s="76">
        <f t="shared" si="20"/>
        <v>483</v>
      </c>
      <c r="U43" s="76">
        <f t="shared" si="20"/>
        <v>544</v>
      </c>
      <c r="V43" s="76">
        <f t="shared" si="20"/>
        <v>544</v>
      </c>
      <c r="W43" s="76">
        <f t="shared" si="20"/>
        <v>181</v>
      </c>
      <c r="X43" s="76">
        <f t="shared" si="20"/>
        <v>544</v>
      </c>
      <c r="Y43" s="76">
        <f t="shared" si="20"/>
        <v>483</v>
      </c>
      <c r="Z43" s="76">
        <f t="shared" si="20"/>
        <v>423</v>
      </c>
      <c r="AA43" s="76">
        <f t="shared" si="20"/>
        <v>302</v>
      </c>
      <c r="AB43" s="76"/>
      <c r="AC43" s="76"/>
      <c r="AD43" s="76"/>
      <c r="AE43" s="76"/>
    </row>
    <row r="44" ht="12.75" customHeight="1">
      <c r="A44" s="79"/>
      <c r="B44" s="76"/>
      <c r="C44" s="76" t="s">
        <v>87</v>
      </c>
      <c r="D44" s="76">
        <f t="shared" ref="D44:AA44" si="21">ROUND(SUM($D32:$AA32)*D$39,0)</f>
        <v>14</v>
      </c>
      <c r="E44" s="76">
        <f t="shared" si="21"/>
        <v>28</v>
      </c>
      <c r="F44" s="76">
        <f t="shared" si="21"/>
        <v>71</v>
      </c>
      <c r="G44" s="76">
        <f t="shared" si="21"/>
        <v>85</v>
      </c>
      <c r="H44" s="76">
        <f t="shared" si="21"/>
        <v>142</v>
      </c>
      <c r="I44" s="76">
        <f t="shared" si="21"/>
        <v>227</v>
      </c>
      <c r="J44" s="76">
        <f t="shared" si="21"/>
        <v>227</v>
      </c>
      <c r="K44" s="76">
        <f t="shared" si="21"/>
        <v>57</v>
      </c>
      <c r="L44" s="76">
        <f t="shared" si="21"/>
        <v>170</v>
      </c>
      <c r="M44" s="76">
        <f t="shared" si="21"/>
        <v>170</v>
      </c>
      <c r="N44" s="76">
        <f t="shared" si="21"/>
        <v>170</v>
      </c>
      <c r="O44" s="76">
        <f t="shared" si="21"/>
        <v>114</v>
      </c>
      <c r="P44" s="76">
        <f t="shared" si="21"/>
        <v>142</v>
      </c>
      <c r="Q44" s="76">
        <f t="shared" si="21"/>
        <v>170</v>
      </c>
      <c r="R44" s="76">
        <f t="shared" si="21"/>
        <v>199</v>
      </c>
      <c r="S44" s="76">
        <f t="shared" si="21"/>
        <v>199</v>
      </c>
      <c r="T44" s="76">
        <f t="shared" si="21"/>
        <v>227</v>
      </c>
      <c r="U44" s="76">
        <f t="shared" si="21"/>
        <v>256</v>
      </c>
      <c r="V44" s="76">
        <f t="shared" si="21"/>
        <v>256</v>
      </c>
      <c r="W44" s="76">
        <f t="shared" si="21"/>
        <v>85</v>
      </c>
      <c r="X44" s="76">
        <f t="shared" si="21"/>
        <v>256</v>
      </c>
      <c r="Y44" s="76">
        <f t="shared" si="21"/>
        <v>227</v>
      </c>
      <c r="Z44" s="76">
        <f t="shared" si="21"/>
        <v>199</v>
      </c>
      <c r="AA44" s="76">
        <f t="shared" si="21"/>
        <v>142</v>
      </c>
      <c r="AB44" s="76"/>
      <c r="AC44" s="76"/>
      <c r="AD44" s="76"/>
      <c r="AE44" s="76"/>
    </row>
    <row r="45" ht="12.75" customHeight="1">
      <c r="A45" s="79"/>
      <c r="B45" s="76"/>
      <c r="C45" s="76" t="s">
        <v>464</v>
      </c>
      <c r="D45" s="76">
        <f t="shared" ref="D45:AA45" si="22">ROUND(SUM($D33:$AA33)*D$39,0)</f>
        <v>13</v>
      </c>
      <c r="E45" s="76">
        <f t="shared" si="22"/>
        <v>27</v>
      </c>
      <c r="F45" s="76">
        <f t="shared" si="22"/>
        <v>67</v>
      </c>
      <c r="G45" s="76">
        <f t="shared" si="22"/>
        <v>80</v>
      </c>
      <c r="H45" s="76">
        <f t="shared" si="22"/>
        <v>134</v>
      </c>
      <c r="I45" s="76">
        <f t="shared" si="22"/>
        <v>214</v>
      </c>
      <c r="J45" s="76">
        <f t="shared" si="22"/>
        <v>214</v>
      </c>
      <c r="K45" s="76">
        <f t="shared" si="22"/>
        <v>54</v>
      </c>
      <c r="L45" s="76">
        <f t="shared" si="22"/>
        <v>161</v>
      </c>
      <c r="M45" s="76">
        <f t="shared" si="22"/>
        <v>161</v>
      </c>
      <c r="N45" s="76">
        <f t="shared" si="22"/>
        <v>161</v>
      </c>
      <c r="O45" s="76">
        <f t="shared" si="22"/>
        <v>107</v>
      </c>
      <c r="P45" s="76">
        <f t="shared" si="22"/>
        <v>134</v>
      </c>
      <c r="Q45" s="76">
        <f t="shared" si="22"/>
        <v>161</v>
      </c>
      <c r="R45" s="76">
        <f t="shared" si="22"/>
        <v>188</v>
      </c>
      <c r="S45" s="76">
        <f t="shared" si="22"/>
        <v>188</v>
      </c>
      <c r="T45" s="76">
        <f t="shared" si="22"/>
        <v>214</v>
      </c>
      <c r="U45" s="76">
        <f t="shared" si="22"/>
        <v>241</v>
      </c>
      <c r="V45" s="76">
        <f t="shared" si="22"/>
        <v>241</v>
      </c>
      <c r="W45" s="76">
        <f t="shared" si="22"/>
        <v>80</v>
      </c>
      <c r="X45" s="76">
        <f t="shared" si="22"/>
        <v>241</v>
      </c>
      <c r="Y45" s="76">
        <f t="shared" si="22"/>
        <v>214</v>
      </c>
      <c r="Z45" s="76">
        <f t="shared" si="22"/>
        <v>188</v>
      </c>
      <c r="AA45" s="76">
        <f t="shared" si="22"/>
        <v>134</v>
      </c>
      <c r="AB45" s="76"/>
      <c r="AC45" s="76"/>
      <c r="AD45" s="76"/>
      <c r="AE45" s="76"/>
    </row>
    <row r="46" ht="12.75" customHeight="1">
      <c r="A46" s="79"/>
      <c r="B46" s="76"/>
      <c r="D46" s="93">
        <f t="shared" ref="D46:AA46" si="23">SUM(D40:D45)</f>
        <v>157</v>
      </c>
      <c r="E46" s="93">
        <f t="shared" si="23"/>
        <v>315</v>
      </c>
      <c r="F46" s="93">
        <f t="shared" si="23"/>
        <v>788</v>
      </c>
      <c r="G46" s="93">
        <f t="shared" si="23"/>
        <v>945</v>
      </c>
      <c r="H46" s="93">
        <f t="shared" si="23"/>
        <v>1576</v>
      </c>
      <c r="I46" s="93">
        <f t="shared" si="23"/>
        <v>2521</v>
      </c>
      <c r="J46" s="93">
        <f t="shared" si="23"/>
        <v>2521</v>
      </c>
      <c r="K46" s="93">
        <f t="shared" si="23"/>
        <v>631</v>
      </c>
      <c r="L46" s="93">
        <f t="shared" si="23"/>
        <v>1891</v>
      </c>
      <c r="M46" s="93">
        <f t="shared" si="23"/>
        <v>1891</v>
      </c>
      <c r="N46" s="93">
        <f t="shared" si="23"/>
        <v>1891</v>
      </c>
      <c r="O46" s="93">
        <f t="shared" si="23"/>
        <v>1261</v>
      </c>
      <c r="P46" s="93">
        <f t="shared" si="23"/>
        <v>1576</v>
      </c>
      <c r="Q46" s="93">
        <f t="shared" si="23"/>
        <v>1891</v>
      </c>
      <c r="R46" s="93">
        <f t="shared" si="23"/>
        <v>2207</v>
      </c>
      <c r="S46" s="93">
        <f t="shared" si="23"/>
        <v>2207</v>
      </c>
      <c r="T46" s="93">
        <f t="shared" si="23"/>
        <v>2521</v>
      </c>
      <c r="U46" s="93">
        <f t="shared" si="23"/>
        <v>2837</v>
      </c>
      <c r="V46" s="93">
        <f t="shared" si="23"/>
        <v>2837</v>
      </c>
      <c r="W46" s="93">
        <f t="shared" si="23"/>
        <v>945</v>
      </c>
      <c r="X46" s="93">
        <f t="shared" si="23"/>
        <v>2837</v>
      </c>
      <c r="Y46" s="93">
        <f t="shared" si="23"/>
        <v>2521</v>
      </c>
      <c r="Z46" s="93">
        <f t="shared" si="23"/>
        <v>2207</v>
      </c>
      <c r="AA46" s="93">
        <f t="shared" si="23"/>
        <v>1576</v>
      </c>
      <c r="AB46" s="76"/>
      <c r="AC46" s="76"/>
      <c r="AD46" s="76"/>
      <c r="AE46" s="76"/>
    </row>
    <row r="47" ht="12.75" customHeight="1">
      <c r="A47" s="79"/>
      <c r="B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 ht="12.75" customHeight="1">
      <c r="A48" s="79"/>
      <c r="B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 ht="12.75" customHeight="1">
      <c r="A49" s="79"/>
      <c r="B49" s="76"/>
      <c r="C49" s="80" t="s">
        <v>163</v>
      </c>
      <c r="AB49" s="76"/>
      <c r="AC49" s="76"/>
      <c r="AD49" s="76"/>
      <c r="AE49" s="76"/>
    </row>
    <row r="50" ht="12.75" customHeight="1">
      <c r="A50" s="79"/>
      <c r="B50" s="76"/>
      <c r="C50" s="76"/>
      <c r="D50" s="76">
        <v>2024.0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>
        <v>2025.0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 ht="12.75" customHeight="1">
      <c r="A51" s="79"/>
      <c r="B51" s="76"/>
      <c r="C51" s="82" t="s">
        <v>159</v>
      </c>
      <c r="D51" s="76">
        <v>1.0</v>
      </c>
      <c r="E51" s="76">
        <v>2.0</v>
      </c>
      <c r="F51" s="76">
        <v>3.0</v>
      </c>
      <c r="G51" s="76">
        <v>4.0</v>
      </c>
      <c r="H51" s="76">
        <v>5.0</v>
      </c>
      <c r="I51" s="76">
        <v>6.0</v>
      </c>
      <c r="J51" s="76">
        <v>7.0</v>
      </c>
      <c r="K51" s="76">
        <v>8.0</v>
      </c>
      <c r="L51" s="76">
        <v>9.0</v>
      </c>
      <c r="M51" s="76">
        <v>10.0</v>
      </c>
      <c r="N51" s="76">
        <v>11.0</v>
      </c>
      <c r="O51" s="76">
        <v>12.0</v>
      </c>
      <c r="P51" s="76">
        <v>1.0</v>
      </c>
      <c r="Q51" s="76">
        <v>2.0</v>
      </c>
      <c r="R51" s="76">
        <v>3.0</v>
      </c>
      <c r="S51" s="76">
        <v>4.0</v>
      </c>
      <c r="T51" s="76">
        <v>5.0</v>
      </c>
      <c r="U51" s="76">
        <v>6.0</v>
      </c>
      <c r="V51" s="76">
        <v>7.0</v>
      </c>
      <c r="W51" s="76">
        <v>8.0</v>
      </c>
      <c r="X51" s="76">
        <v>9.0</v>
      </c>
      <c r="Y51" s="76">
        <v>10.0</v>
      </c>
      <c r="Z51" s="76">
        <v>11.0</v>
      </c>
      <c r="AA51" s="76">
        <v>12.0</v>
      </c>
      <c r="AB51" s="76"/>
      <c r="AC51" s="76"/>
      <c r="AD51" s="76"/>
      <c r="AE51" s="76"/>
    </row>
    <row r="52" ht="12.75" customHeight="1">
      <c r="A52" s="79"/>
      <c r="B52" s="76"/>
      <c r="C52" s="82" t="s">
        <v>164</v>
      </c>
      <c r="D52" s="107">
        <f t="shared" ref="D52:AA52" si="24">D53/24</f>
        <v>70.84090909</v>
      </c>
      <c r="E52" s="107">
        <f t="shared" si="24"/>
        <v>141.8560606</v>
      </c>
      <c r="F52" s="107">
        <f t="shared" si="24"/>
        <v>355.5625</v>
      </c>
      <c r="G52" s="107">
        <f t="shared" si="24"/>
        <v>426.4034091</v>
      </c>
      <c r="H52" s="107">
        <f t="shared" si="24"/>
        <v>711.125</v>
      </c>
      <c r="I52" s="107">
        <f t="shared" si="24"/>
        <v>1137.528409</v>
      </c>
      <c r="J52" s="107">
        <f t="shared" si="24"/>
        <v>1137.528409</v>
      </c>
      <c r="K52" s="107">
        <f t="shared" si="24"/>
        <v>284.7215909</v>
      </c>
      <c r="L52" s="107">
        <f t="shared" si="24"/>
        <v>852.9810606</v>
      </c>
      <c r="M52" s="107">
        <f t="shared" si="24"/>
        <v>852.9810606</v>
      </c>
      <c r="N52" s="107">
        <f t="shared" si="24"/>
        <v>852.9810606</v>
      </c>
      <c r="O52" s="107">
        <f t="shared" si="24"/>
        <v>569.2689394</v>
      </c>
      <c r="P52" s="107">
        <f t="shared" si="24"/>
        <v>711.125</v>
      </c>
      <c r="Q52" s="107">
        <f t="shared" si="24"/>
        <v>852.9810606</v>
      </c>
      <c r="R52" s="107">
        <f t="shared" si="24"/>
        <v>995.8465909</v>
      </c>
      <c r="S52" s="107">
        <f t="shared" si="24"/>
        <v>995.8465909</v>
      </c>
      <c r="T52" s="107">
        <f t="shared" si="24"/>
        <v>1137.528409</v>
      </c>
      <c r="U52" s="107">
        <f t="shared" si="24"/>
        <v>1280.393939</v>
      </c>
      <c r="V52" s="107">
        <f t="shared" si="24"/>
        <v>1280.393939</v>
      </c>
      <c r="W52" s="107">
        <f t="shared" si="24"/>
        <v>426.4034091</v>
      </c>
      <c r="X52" s="107">
        <f t="shared" si="24"/>
        <v>1280.393939</v>
      </c>
      <c r="Y52" s="107">
        <f t="shared" si="24"/>
        <v>1137.528409</v>
      </c>
      <c r="Z52" s="107">
        <f t="shared" si="24"/>
        <v>995.8465909</v>
      </c>
      <c r="AA52" s="107">
        <f t="shared" si="24"/>
        <v>711.125</v>
      </c>
      <c r="AB52" s="76"/>
      <c r="AC52" s="76"/>
      <c r="AD52" s="76"/>
      <c r="AE52" s="76"/>
    </row>
    <row r="53" ht="12.75" customHeight="1">
      <c r="A53" s="79"/>
      <c r="B53" s="76"/>
      <c r="C53" s="82" t="s">
        <v>165</v>
      </c>
      <c r="D53" s="108">
        <f t="shared" ref="D53:AA53" si="25">SUM(D54:D59)</f>
        <v>1700.181818</v>
      </c>
      <c r="E53" s="108">
        <f t="shared" si="25"/>
        <v>3404.545455</v>
      </c>
      <c r="F53" s="108">
        <f t="shared" si="25"/>
        <v>8533.5</v>
      </c>
      <c r="G53" s="108">
        <f t="shared" si="25"/>
        <v>10233.68182</v>
      </c>
      <c r="H53" s="108">
        <f t="shared" si="25"/>
        <v>17067</v>
      </c>
      <c r="I53" s="108">
        <f t="shared" si="25"/>
        <v>27300.68182</v>
      </c>
      <c r="J53" s="108">
        <f t="shared" si="25"/>
        <v>27300.68182</v>
      </c>
      <c r="K53" s="108">
        <f t="shared" si="25"/>
        <v>6833.318182</v>
      </c>
      <c r="L53" s="108">
        <f t="shared" si="25"/>
        <v>20471.54545</v>
      </c>
      <c r="M53" s="108">
        <f t="shared" si="25"/>
        <v>20471.54545</v>
      </c>
      <c r="N53" s="108">
        <f t="shared" si="25"/>
        <v>20471.54545</v>
      </c>
      <c r="O53" s="108">
        <f t="shared" si="25"/>
        <v>13662.45455</v>
      </c>
      <c r="P53" s="109">
        <f t="shared" si="25"/>
        <v>17067</v>
      </c>
      <c r="Q53" s="109">
        <f t="shared" si="25"/>
        <v>20471.54545</v>
      </c>
      <c r="R53" s="109">
        <f t="shared" si="25"/>
        <v>23900.31818</v>
      </c>
      <c r="S53" s="109">
        <f t="shared" si="25"/>
        <v>23900.31818</v>
      </c>
      <c r="T53" s="109">
        <f t="shared" si="25"/>
        <v>27300.68182</v>
      </c>
      <c r="U53" s="109">
        <f t="shared" si="25"/>
        <v>30729.45455</v>
      </c>
      <c r="V53" s="109">
        <f t="shared" si="25"/>
        <v>30729.45455</v>
      </c>
      <c r="W53" s="109">
        <f t="shared" si="25"/>
        <v>10233.68182</v>
      </c>
      <c r="X53" s="109">
        <f t="shared" si="25"/>
        <v>30729.45455</v>
      </c>
      <c r="Y53" s="109">
        <f t="shared" si="25"/>
        <v>27300.68182</v>
      </c>
      <c r="Z53" s="109">
        <f t="shared" si="25"/>
        <v>23900.31818</v>
      </c>
      <c r="AA53" s="109">
        <f t="shared" si="25"/>
        <v>17067</v>
      </c>
      <c r="AB53" s="76"/>
      <c r="AC53" s="76"/>
      <c r="AD53" s="76"/>
      <c r="AE53" s="76"/>
    </row>
    <row r="54" ht="12.75" customHeight="1">
      <c r="A54" s="79"/>
      <c r="B54" s="595">
        <f>UNIT_PRICE_CLIENT_A</f>
        <v>5</v>
      </c>
      <c r="C54" s="76" t="s">
        <v>148</v>
      </c>
      <c r="D54" s="76">
        <f t="shared" ref="D54:AA54" si="26">D40*$B54</f>
        <v>145</v>
      </c>
      <c r="E54" s="76">
        <f t="shared" si="26"/>
        <v>285</v>
      </c>
      <c r="F54" s="76">
        <f t="shared" si="26"/>
        <v>715</v>
      </c>
      <c r="G54" s="76">
        <f t="shared" si="26"/>
        <v>860</v>
      </c>
      <c r="H54" s="76">
        <f t="shared" si="26"/>
        <v>1430</v>
      </c>
      <c r="I54" s="76">
        <f t="shared" si="26"/>
        <v>2290</v>
      </c>
      <c r="J54" s="76">
        <f t="shared" si="26"/>
        <v>2290</v>
      </c>
      <c r="K54" s="76">
        <f t="shared" si="26"/>
        <v>570</v>
      </c>
      <c r="L54" s="76">
        <f t="shared" si="26"/>
        <v>1715</v>
      </c>
      <c r="M54" s="76">
        <f t="shared" si="26"/>
        <v>1715</v>
      </c>
      <c r="N54" s="76">
        <f t="shared" si="26"/>
        <v>1715</v>
      </c>
      <c r="O54" s="76">
        <f t="shared" si="26"/>
        <v>1145</v>
      </c>
      <c r="P54" s="76">
        <f t="shared" si="26"/>
        <v>1430</v>
      </c>
      <c r="Q54" s="76">
        <f t="shared" si="26"/>
        <v>1715</v>
      </c>
      <c r="R54" s="76">
        <f t="shared" si="26"/>
        <v>2000</v>
      </c>
      <c r="S54" s="76">
        <f t="shared" si="26"/>
        <v>2000</v>
      </c>
      <c r="T54" s="76">
        <f t="shared" si="26"/>
        <v>2290</v>
      </c>
      <c r="U54" s="76">
        <f t="shared" si="26"/>
        <v>2575</v>
      </c>
      <c r="V54" s="76">
        <f t="shared" si="26"/>
        <v>2575</v>
      </c>
      <c r="W54" s="76">
        <f t="shared" si="26"/>
        <v>860</v>
      </c>
      <c r="X54" s="76">
        <f t="shared" si="26"/>
        <v>2575</v>
      </c>
      <c r="Y54" s="76">
        <f t="shared" si="26"/>
        <v>2290</v>
      </c>
      <c r="Z54" s="76">
        <f t="shared" si="26"/>
        <v>2000</v>
      </c>
      <c r="AA54" s="76">
        <f t="shared" si="26"/>
        <v>1430</v>
      </c>
      <c r="AB54" s="76"/>
      <c r="AC54" s="76"/>
      <c r="AD54" s="76"/>
      <c r="AE54" s="76"/>
    </row>
    <row r="55" ht="12.75" customHeight="1">
      <c r="A55" s="79"/>
      <c r="B55" s="595">
        <f>UNIT_PRICE_CLIENT_B</f>
        <v>9.181818182</v>
      </c>
      <c r="C55" s="76" t="s">
        <v>76</v>
      </c>
      <c r="D55" s="76">
        <f t="shared" ref="D55:AA55" si="27">D41*$B55</f>
        <v>330.5454545</v>
      </c>
      <c r="E55" s="76">
        <f t="shared" si="27"/>
        <v>670.2727273</v>
      </c>
      <c r="F55" s="76">
        <f t="shared" si="27"/>
        <v>1671.090909</v>
      </c>
      <c r="G55" s="76">
        <f t="shared" si="27"/>
        <v>2001.636364</v>
      </c>
      <c r="H55" s="76">
        <f t="shared" si="27"/>
        <v>3342.181818</v>
      </c>
      <c r="I55" s="76">
        <f t="shared" si="27"/>
        <v>5343.818182</v>
      </c>
      <c r="J55" s="76">
        <f t="shared" si="27"/>
        <v>5343.818182</v>
      </c>
      <c r="K55" s="76">
        <f t="shared" si="27"/>
        <v>1340.545455</v>
      </c>
      <c r="L55" s="76">
        <f t="shared" si="27"/>
        <v>4012.454545</v>
      </c>
      <c r="M55" s="76">
        <f t="shared" si="27"/>
        <v>4012.454545</v>
      </c>
      <c r="N55" s="76">
        <f t="shared" si="27"/>
        <v>4012.454545</v>
      </c>
      <c r="O55" s="76">
        <f t="shared" si="27"/>
        <v>2671.909091</v>
      </c>
      <c r="P55" s="76">
        <f t="shared" si="27"/>
        <v>3342.181818</v>
      </c>
      <c r="Q55" s="76">
        <f t="shared" si="27"/>
        <v>4012.454545</v>
      </c>
      <c r="R55" s="76">
        <f t="shared" si="27"/>
        <v>4682.727273</v>
      </c>
      <c r="S55" s="76">
        <f t="shared" si="27"/>
        <v>4682.727273</v>
      </c>
      <c r="T55" s="76">
        <f t="shared" si="27"/>
        <v>5343.818182</v>
      </c>
      <c r="U55" s="76">
        <f t="shared" si="27"/>
        <v>6014.090909</v>
      </c>
      <c r="V55" s="76">
        <f t="shared" si="27"/>
        <v>6014.090909</v>
      </c>
      <c r="W55" s="76">
        <f t="shared" si="27"/>
        <v>2001.636364</v>
      </c>
      <c r="X55" s="76">
        <f t="shared" si="27"/>
        <v>6014.090909</v>
      </c>
      <c r="Y55" s="76">
        <f t="shared" si="27"/>
        <v>5343.818182</v>
      </c>
      <c r="Z55" s="76">
        <f t="shared" si="27"/>
        <v>4682.727273</v>
      </c>
      <c r="AA55" s="76">
        <f t="shared" si="27"/>
        <v>3342.181818</v>
      </c>
      <c r="AB55" s="76"/>
      <c r="AC55" s="76"/>
      <c r="AD55" s="76"/>
      <c r="AE55" s="76"/>
    </row>
    <row r="56" ht="12.75" customHeight="1">
      <c r="A56" s="79"/>
      <c r="B56" s="595">
        <f>UNIT_PRICE_CLIENT_C</f>
        <v>12.72727273</v>
      </c>
      <c r="C56" s="76" t="s">
        <v>80</v>
      </c>
      <c r="D56" s="76">
        <f t="shared" ref="D56:AA56" si="28">D42*$B56</f>
        <v>445.4545455</v>
      </c>
      <c r="E56" s="76">
        <f t="shared" si="28"/>
        <v>890.9090909</v>
      </c>
      <c r="F56" s="76">
        <f t="shared" si="28"/>
        <v>2214.545455</v>
      </c>
      <c r="G56" s="76">
        <f t="shared" si="28"/>
        <v>2660</v>
      </c>
      <c r="H56" s="76">
        <f t="shared" si="28"/>
        <v>4429.090909</v>
      </c>
      <c r="I56" s="76">
        <f t="shared" si="28"/>
        <v>7089.090909</v>
      </c>
      <c r="J56" s="76">
        <f t="shared" si="28"/>
        <v>7089.090909</v>
      </c>
      <c r="K56" s="76">
        <f t="shared" si="28"/>
        <v>1769.090909</v>
      </c>
      <c r="L56" s="76">
        <f t="shared" si="28"/>
        <v>5320</v>
      </c>
      <c r="M56" s="76">
        <f t="shared" si="28"/>
        <v>5320</v>
      </c>
      <c r="N56" s="76">
        <f t="shared" si="28"/>
        <v>5320</v>
      </c>
      <c r="O56" s="76">
        <f t="shared" si="28"/>
        <v>3538.181818</v>
      </c>
      <c r="P56" s="76">
        <f t="shared" si="28"/>
        <v>4429.090909</v>
      </c>
      <c r="Q56" s="76">
        <f t="shared" si="28"/>
        <v>5320</v>
      </c>
      <c r="R56" s="76">
        <f t="shared" si="28"/>
        <v>6198.181818</v>
      </c>
      <c r="S56" s="76">
        <f t="shared" si="28"/>
        <v>6198.181818</v>
      </c>
      <c r="T56" s="76">
        <f t="shared" si="28"/>
        <v>7089.090909</v>
      </c>
      <c r="U56" s="76">
        <f t="shared" si="28"/>
        <v>7967.272727</v>
      </c>
      <c r="V56" s="76">
        <f t="shared" si="28"/>
        <v>7967.272727</v>
      </c>
      <c r="W56" s="76">
        <f t="shared" si="28"/>
        <v>2660</v>
      </c>
      <c r="X56" s="76">
        <f t="shared" si="28"/>
        <v>7967.272727</v>
      </c>
      <c r="Y56" s="76">
        <f t="shared" si="28"/>
        <v>7089.090909</v>
      </c>
      <c r="Z56" s="76">
        <f t="shared" si="28"/>
        <v>6198.181818</v>
      </c>
      <c r="AA56" s="76">
        <f t="shared" si="28"/>
        <v>4429.090909</v>
      </c>
      <c r="AB56" s="76"/>
      <c r="AC56" s="76"/>
      <c r="AD56" s="76"/>
      <c r="AE56" s="76"/>
    </row>
    <row r="57" ht="12.75" customHeight="1">
      <c r="A57" s="79"/>
      <c r="B57" s="595">
        <f>UNIT_PRICE_CLIENT_D</f>
        <v>16.36363636</v>
      </c>
      <c r="C57" s="76" t="s">
        <v>83</v>
      </c>
      <c r="D57" s="76">
        <f t="shared" ref="D57:AA57" si="29">D43*$B57</f>
        <v>490.9090909</v>
      </c>
      <c r="E57" s="76">
        <f t="shared" si="29"/>
        <v>981.8181818</v>
      </c>
      <c r="F57" s="76">
        <f t="shared" si="29"/>
        <v>2470.909091</v>
      </c>
      <c r="G57" s="76">
        <f t="shared" si="29"/>
        <v>2961.818182</v>
      </c>
      <c r="H57" s="76">
        <f t="shared" si="29"/>
        <v>4941.818182</v>
      </c>
      <c r="I57" s="76">
        <f t="shared" si="29"/>
        <v>7903.636364</v>
      </c>
      <c r="J57" s="76">
        <f t="shared" si="29"/>
        <v>7903.636364</v>
      </c>
      <c r="K57" s="76">
        <f t="shared" si="29"/>
        <v>1980</v>
      </c>
      <c r="L57" s="76">
        <f t="shared" si="29"/>
        <v>5923.636364</v>
      </c>
      <c r="M57" s="76">
        <f t="shared" si="29"/>
        <v>5923.636364</v>
      </c>
      <c r="N57" s="76">
        <f t="shared" si="29"/>
        <v>5923.636364</v>
      </c>
      <c r="O57" s="76">
        <f t="shared" si="29"/>
        <v>3960</v>
      </c>
      <c r="P57" s="76">
        <f t="shared" si="29"/>
        <v>4941.818182</v>
      </c>
      <c r="Q57" s="76">
        <f t="shared" si="29"/>
        <v>5923.636364</v>
      </c>
      <c r="R57" s="76">
        <f t="shared" si="29"/>
        <v>6921.818182</v>
      </c>
      <c r="S57" s="76">
        <f t="shared" si="29"/>
        <v>6921.818182</v>
      </c>
      <c r="T57" s="76">
        <f t="shared" si="29"/>
        <v>7903.636364</v>
      </c>
      <c r="U57" s="76">
        <f t="shared" si="29"/>
        <v>8901.818182</v>
      </c>
      <c r="V57" s="76">
        <f t="shared" si="29"/>
        <v>8901.818182</v>
      </c>
      <c r="W57" s="76">
        <f t="shared" si="29"/>
        <v>2961.818182</v>
      </c>
      <c r="X57" s="76">
        <f t="shared" si="29"/>
        <v>8901.818182</v>
      </c>
      <c r="Y57" s="76">
        <f t="shared" si="29"/>
        <v>7903.636364</v>
      </c>
      <c r="Z57" s="76">
        <f t="shared" si="29"/>
        <v>6921.818182</v>
      </c>
      <c r="AA57" s="76">
        <f t="shared" si="29"/>
        <v>4941.818182</v>
      </c>
      <c r="AB57" s="76"/>
      <c r="AC57" s="76"/>
      <c r="AD57" s="76"/>
      <c r="AE57" s="76"/>
    </row>
    <row r="58" ht="12.75" customHeight="1">
      <c r="A58" s="79"/>
      <c r="B58" s="595">
        <f>UNIT_PRICE_CLIENT_E</f>
        <v>20.59090909</v>
      </c>
      <c r="C58" s="76" t="s">
        <v>87</v>
      </c>
      <c r="D58" s="76">
        <f t="shared" ref="D58:AA58" si="30">D44*$B58</f>
        <v>288.2727273</v>
      </c>
      <c r="E58" s="76">
        <f t="shared" si="30"/>
        <v>576.5454545</v>
      </c>
      <c r="F58" s="76">
        <f t="shared" si="30"/>
        <v>1461.954545</v>
      </c>
      <c r="G58" s="76">
        <f t="shared" si="30"/>
        <v>1750.227273</v>
      </c>
      <c r="H58" s="76">
        <f t="shared" si="30"/>
        <v>2923.909091</v>
      </c>
      <c r="I58" s="76">
        <f t="shared" si="30"/>
        <v>4674.136364</v>
      </c>
      <c r="J58" s="76">
        <f t="shared" si="30"/>
        <v>4674.136364</v>
      </c>
      <c r="K58" s="76">
        <f t="shared" si="30"/>
        <v>1173.681818</v>
      </c>
      <c r="L58" s="76">
        <f t="shared" si="30"/>
        <v>3500.454545</v>
      </c>
      <c r="M58" s="76">
        <f t="shared" si="30"/>
        <v>3500.454545</v>
      </c>
      <c r="N58" s="76">
        <f t="shared" si="30"/>
        <v>3500.454545</v>
      </c>
      <c r="O58" s="76">
        <f t="shared" si="30"/>
        <v>2347.363636</v>
      </c>
      <c r="P58" s="76">
        <f t="shared" si="30"/>
        <v>2923.909091</v>
      </c>
      <c r="Q58" s="76">
        <f t="shared" si="30"/>
        <v>3500.454545</v>
      </c>
      <c r="R58" s="76">
        <f t="shared" si="30"/>
        <v>4097.590909</v>
      </c>
      <c r="S58" s="76">
        <f t="shared" si="30"/>
        <v>4097.590909</v>
      </c>
      <c r="T58" s="76">
        <f t="shared" si="30"/>
        <v>4674.136364</v>
      </c>
      <c r="U58" s="76">
        <f t="shared" si="30"/>
        <v>5271.272727</v>
      </c>
      <c r="V58" s="76">
        <f t="shared" si="30"/>
        <v>5271.272727</v>
      </c>
      <c r="W58" s="76">
        <f t="shared" si="30"/>
        <v>1750.227273</v>
      </c>
      <c r="X58" s="76">
        <f t="shared" si="30"/>
        <v>5271.272727</v>
      </c>
      <c r="Y58" s="76">
        <f t="shared" si="30"/>
        <v>4674.136364</v>
      </c>
      <c r="Z58" s="76">
        <f t="shared" si="30"/>
        <v>4097.590909</v>
      </c>
      <c r="AA58" s="76">
        <f t="shared" si="30"/>
        <v>2923.909091</v>
      </c>
      <c r="AB58" s="76"/>
      <c r="AC58" s="76"/>
      <c r="AD58" s="76"/>
      <c r="AE58" s="76"/>
    </row>
    <row r="59" ht="12.75" customHeight="1">
      <c r="A59" s="79"/>
      <c r="B59" s="595">
        <f>UNIT_PRICE_CLIENT_F</f>
        <v>0</v>
      </c>
      <c r="C59" s="76" t="s">
        <v>464</v>
      </c>
      <c r="D59" s="76">
        <f t="shared" ref="D59:AA59" si="31">D45*$B59</f>
        <v>0</v>
      </c>
      <c r="E59" s="76">
        <f t="shared" si="31"/>
        <v>0</v>
      </c>
      <c r="F59" s="76">
        <f t="shared" si="31"/>
        <v>0</v>
      </c>
      <c r="G59" s="76">
        <f t="shared" si="31"/>
        <v>0</v>
      </c>
      <c r="H59" s="76">
        <f t="shared" si="31"/>
        <v>0</v>
      </c>
      <c r="I59" s="76">
        <f t="shared" si="31"/>
        <v>0</v>
      </c>
      <c r="J59" s="76">
        <f t="shared" si="31"/>
        <v>0</v>
      </c>
      <c r="K59" s="76">
        <f t="shared" si="31"/>
        <v>0</v>
      </c>
      <c r="L59" s="76">
        <f t="shared" si="31"/>
        <v>0</v>
      </c>
      <c r="M59" s="76">
        <f t="shared" si="31"/>
        <v>0</v>
      </c>
      <c r="N59" s="76">
        <f t="shared" si="31"/>
        <v>0</v>
      </c>
      <c r="O59" s="76">
        <f t="shared" si="31"/>
        <v>0</v>
      </c>
      <c r="P59" s="76">
        <f t="shared" si="31"/>
        <v>0</v>
      </c>
      <c r="Q59" s="76">
        <f t="shared" si="31"/>
        <v>0</v>
      </c>
      <c r="R59" s="76">
        <f t="shared" si="31"/>
        <v>0</v>
      </c>
      <c r="S59" s="76">
        <f t="shared" si="31"/>
        <v>0</v>
      </c>
      <c r="T59" s="76">
        <f t="shared" si="31"/>
        <v>0</v>
      </c>
      <c r="U59" s="76">
        <f t="shared" si="31"/>
        <v>0</v>
      </c>
      <c r="V59" s="76">
        <f t="shared" si="31"/>
        <v>0</v>
      </c>
      <c r="W59" s="76">
        <f t="shared" si="31"/>
        <v>0</v>
      </c>
      <c r="X59" s="76">
        <f t="shared" si="31"/>
        <v>0</v>
      </c>
      <c r="Y59" s="76">
        <f t="shared" si="31"/>
        <v>0</v>
      </c>
      <c r="Z59" s="76">
        <f t="shared" si="31"/>
        <v>0</v>
      </c>
      <c r="AA59" s="76">
        <f t="shared" si="31"/>
        <v>0</v>
      </c>
      <c r="AB59" s="76"/>
      <c r="AC59" s="76"/>
      <c r="AD59" s="76"/>
      <c r="AE59" s="76"/>
    </row>
    <row r="60" ht="12.0" customHeight="1">
      <c r="A60" s="79"/>
      <c r="B60" s="111"/>
      <c r="C60" s="111"/>
      <c r="D60" s="112">
        <f>SUM(D53:O53)</f>
        <v>177450.6818</v>
      </c>
      <c r="P60" s="113">
        <f>SUM(P53:AA53)</f>
        <v>283329.9091</v>
      </c>
      <c r="AB60" s="111"/>
      <c r="AD60" s="111"/>
      <c r="AE60" s="111"/>
    </row>
    <row r="61" ht="12.75" customHeight="1">
      <c r="A61" s="79"/>
      <c r="B61" s="76"/>
      <c r="AB61" s="76"/>
      <c r="AC61" s="76"/>
      <c r="AD61" s="76"/>
      <c r="AE61" s="76"/>
    </row>
    <row r="62" ht="12.75" customHeight="1">
      <c r="A62" s="79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115">
        <f>(P60-D60)/D60</f>
        <v>0.5966684725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 ht="12.75" customHeight="1">
      <c r="A63" s="79"/>
      <c r="B63" s="76"/>
      <c r="C63" s="76"/>
      <c r="D63" s="110"/>
      <c r="E63" s="76"/>
      <c r="F63" s="76"/>
      <c r="G63" s="76"/>
      <c r="H63" s="76"/>
      <c r="I63" s="76"/>
      <c r="J63" s="76"/>
      <c r="K63" s="76"/>
      <c r="L63" s="76"/>
      <c r="M63" s="76"/>
      <c r="N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 ht="12.75" customHeight="1">
      <c r="A64" s="79"/>
      <c r="B64" s="76"/>
      <c r="C64" s="76"/>
      <c r="D64" s="110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 ht="12.75" customHeight="1">
      <c r="A65" s="79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 ht="12.75" customHeight="1">
      <c r="A66" s="118"/>
      <c r="AB66" s="76"/>
      <c r="AC66" s="76"/>
      <c r="AD66" s="76"/>
      <c r="AE66" s="76"/>
    </row>
    <row r="67" ht="12.75" customHeight="1">
      <c r="A67" s="118"/>
      <c r="AB67" s="76"/>
      <c r="AC67" s="76"/>
      <c r="AD67" s="76"/>
      <c r="AE67" s="76"/>
    </row>
    <row r="68" ht="12.75" customHeight="1">
      <c r="A68" s="118"/>
      <c r="AB68" s="76"/>
      <c r="AC68" s="76"/>
      <c r="AD68" s="76"/>
      <c r="AE68" s="76"/>
    </row>
    <row r="69" ht="12.75" customHeight="1">
      <c r="A69" s="118"/>
      <c r="AB69" s="76"/>
      <c r="AC69" s="76"/>
      <c r="AD69" s="76"/>
      <c r="AE69" s="76"/>
    </row>
    <row r="70" ht="12.75" customHeight="1">
      <c r="A70" s="118"/>
      <c r="AB70" s="76"/>
      <c r="AC70" s="76"/>
      <c r="AD70" s="76"/>
      <c r="AE70" s="76"/>
    </row>
    <row r="71" ht="12.75" customHeight="1">
      <c r="AB71" s="76"/>
      <c r="AC71" s="76"/>
      <c r="AD71" s="76"/>
      <c r="AE71" s="76"/>
    </row>
    <row r="72" ht="12.75" customHeight="1">
      <c r="AB72" s="76"/>
      <c r="AC72" s="76"/>
      <c r="AD72" s="76"/>
      <c r="AE72" s="76"/>
    </row>
    <row r="73" ht="12.75" customHeight="1">
      <c r="A73" s="596" t="s">
        <v>466</v>
      </c>
      <c r="AB73" s="76"/>
      <c r="AC73" s="76"/>
      <c r="AD73" s="76"/>
      <c r="AE73" s="76"/>
    </row>
    <row r="74" ht="12.75" customHeight="1">
      <c r="B74" s="76"/>
      <c r="C74" s="80" t="s">
        <v>140</v>
      </c>
      <c r="E74" s="76"/>
      <c r="F74" s="76"/>
      <c r="G74" s="76"/>
      <c r="H74" s="76"/>
      <c r="I74" s="76"/>
      <c r="J74" s="76"/>
      <c r="K74" s="76"/>
      <c r="L74" s="76"/>
      <c r="M74" s="76"/>
      <c r="AB74" s="76"/>
      <c r="AC74" s="76"/>
      <c r="AD74" s="76"/>
      <c r="AE74" s="76"/>
    </row>
    <row r="75" ht="12.75" customHeight="1">
      <c r="A75" s="597"/>
      <c r="B75" s="76"/>
      <c r="C75" s="82" t="s">
        <v>157</v>
      </c>
      <c r="D75" s="76">
        <v>8.0</v>
      </c>
      <c r="E75" s="76">
        <v>9.0</v>
      </c>
      <c r="F75" s="76">
        <v>10.0</v>
      </c>
      <c r="G75" s="76">
        <v>11.0</v>
      </c>
      <c r="H75" s="76">
        <v>12.0</v>
      </c>
      <c r="I75" s="76">
        <v>13.0</v>
      </c>
      <c r="J75" s="76">
        <v>14.0</v>
      </c>
      <c r="K75" s="76">
        <v>15.0</v>
      </c>
      <c r="L75" s="76">
        <v>16.0</v>
      </c>
      <c r="M75" s="76">
        <v>17.0</v>
      </c>
      <c r="AB75" s="76"/>
      <c r="AC75" s="76"/>
      <c r="AD75" s="76"/>
      <c r="AE75" s="76"/>
    </row>
    <row r="76" ht="12.75" customHeight="1">
      <c r="A76" s="597"/>
      <c r="B76" s="76"/>
      <c r="C76" s="76" t="s">
        <v>148</v>
      </c>
      <c r="D76" s="98">
        <v>0.35</v>
      </c>
      <c r="E76" s="98">
        <v>0.5</v>
      </c>
      <c r="F76" s="98">
        <v>0.5</v>
      </c>
      <c r="G76" s="98">
        <v>0.05</v>
      </c>
      <c r="H76" s="98">
        <v>0.02</v>
      </c>
      <c r="I76" s="98"/>
      <c r="J76" s="98">
        <v>0.2</v>
      </c>
      <c r="K76" s="98">
        <v>0.2</v>
      </c>
      <c r="L76" s="98">
        <v>0.4</v>
      </c>
      <c r="M76" s="98">
        <v>0.45</v>
      </c>
      <c r="AB76" s="76"/>
      <c r="AC76" s="76"/>
      <c r="AD76" s="76"/>
      <c r="AE76" s="76"/>
    </row>
    <row r="77" ht="12.75" customHeight="1">
      <c r="A77" s="597"/>
      <c r="B77" s="76"/>
      <c r="C77" s="76" t="s">
        <v>76</v>
      </c>
      <c r="D77" s="98">
        <v>0.35</v>
      </c>
      <c r="E77" s="98">
        <v>0.4</v>
      </c>
      <c r="F77" s="98">
        <v>0.3</v>
      </c>
      <c r="G77" s="98">
        <v>0.1</v>
      </c>
      <c r="H77" s="98">
        <v>0.05</v>
      </c>
      <c r="I77" s="98"/>
      <c r="J77" s="98">
        <v>0.25</v>
      </c>
      <c r="K77" s="98">
        <v>0.35</v>
      </c>
      <c r="L77" s="98">
        <v>0.55</v>
      </c>
      <c r="M77" s="98">
        <v>0.55</v>
      </c>
      <c r="AB77" s="76"/>
      <c r="AC77" s="76"/>
      <c r="AD77" s="76"/>
      <c r="AE77" s="76"/>
    </row>
    <row r="78" ht="12.75" customHeight="1">
      <c r="A78" s="597"/>
      <c r="B78" s="76"/>
      <c r="C78" s="76" t="s">
        <v>80</v>
      </c>
      <c r="D78" s="98">
        <v>0.3</v>
      </c>
      <c r="E78" s="98">
        <v>0.05</v>
      </c>
      <c r="F78" s="98">
        <v>0.1</v>
      </c>
      <c r="G78" s="98">
        <v>0.25</v>
      </c>
      <c r="H78" s="98">
        <v>0.16</v>
      </c>
      <c r="I78" s="98">
        <v>0.1</v>
      </c>
      <c r="J78" s="98">
        <v>0.1</v>
      </c>
      <c r="K78" s="98">
        <v>0.05</v>
      </c>
      <c r="L78" s="98">
        <v>0.05</v>
      </c>
      <c r="M78" s="98"/>
      <c r="AB78" s="76"/>
      <c r="AC78" s="76"/>
      <c r="AD78" s="76"/>
      <c r="AE78" s="76"/>
    </row>
    <row r="79" ht="12.75" customHeight="1">
      <c r="A79" s="597"/>
      <c r="B79" s="76"/>
      <c r="C79" s="76" t="s">
        <v>83</v>
      </c>
      <c r="D79" s="98"/>
      <c r="E79" s="98">
        <v>0.05</v>
      </c>
      <c r="F79" s="98">
        <v>0.1</v>
      </c>
      <c r="G79" s="98">
        <v>0.35</v>
      </c>
      <c r="H79" s="98">
        <v>0.5</v>
      </c>
      <c r="I79" s="98">
        <v>0.35</v>
      </c>
      <c r="J79" s="98">
        <v>0.15</v>
      </c>
      <c r="K79" s="98">
        <v>0.15</v>
      </c>
      <c r="L79" s="98"/>
      <c r="M79" s="98"/>
      <c r="AB79" s="76"/>
      <c r="AC79" s="76"/>
      <c r="AD79" s="76"/>
      <c r="AE79" s="76"/>
    </row>
    <row r="80" ht="12.75" customHeight="1">
      <c r="A80" s="597"/>
      <c r="B80" s="76"/>
      <c r="C80" s="76" t="s">
        <v>87</v>
      </c>
      <c r="D80" s="98"/>
      <c r="E80" s="98"/>
      <c r="F80" s="98"/>
      <c r="G80" s="98">
        <v>0.18</v>
      </c>
      <c r="H80" s="98">
        <v>0.2</v>
      </c>
      <c r="I80" s="98">
        <v>0.35</v>
      </c>
      <c r="J80" s="98">
        <v>0.2</v>
      </c>
      <c r="K80" s="98">
        <v>0.2</v>
      </c>
      <c r="L80" s="98"/>
      <c r="M80" s="98"/>
      <c r="AB80" s="76"/>
      <c r="AC80" s="76"/>
      <c r="AD80" s="76"/>
      <c r="AE80" s="76"/>
    </row>
    <row r="81" ht="12.75" customHeight="1">
      <c r="A81" s="597"/>
      <c r="B81" s="76"/>
      <c r="C81" s="76" t="s">
        <v>464</v>
      </c>
      <c r="D81" s="598"/>
      <c r="E81" s="599"/>
      <c r="F81" s="599"/>
      <c r="G81" s="599">
        <v>0.07</v>
      </c>
      <c r="H81" s="599">
        <v>0.07</v>
      </c>
      <c r="I81" s="599">
        <v>0.2</v>
      </c>
      <c r="J81" s="599">
        <v>0.1</v>
      </c>
      <c r="K81" s="599">
        <v>0.05</v>
      </c>
      <c r="L81" s="598"/>
      <c r="M81" s="598"/>
      <c r="AB81" s="76"/>
      <c r="AC81" s="76"/>
      <c r="AD81" s="76"/>
      <c r="AE81" s="76"/>
    </row>
    <row r="82" ht="12.75" customHeight="1">
      <c r="A82" s="597"/>
      <c r="B82" s="76"/>
      <c r="C82" s="76"/>
      <c r="D82" s="89">
        <f t="shared" ref="D82:M82" si="32">SUM(D76:D81)</f>
        <v>1</v>
      </c>
      <c r="E82" s="89">
        <f t="shared" si="32"/>
        <v>1</v>
      </c>
      <c r="F82" s="89">
        <f t="shared" si="32"/>
        <v>1</v>
      </c>
      <c r="G82" s="89">
        <f t="shared" si="32"/>
        <v>1</v>
      </c>
      <c r="H82" s="89">
        <f t="shared" si="32"/>
        <v>1</v>
      </c>
      <c r="I82" s="89">
        <f t="shared" si="32"/>
        <v>1</v>
      </c>
      <c r="J82" s="89">
        <f t="shared" si="32"/>
        <v>1</v>
      </c>
      <c r="K82" s="89">
        <f t="shared" si="32"/>
        <v>1</v>
      </c>
      <c r="L82" s="89">
        <f t="shared" si="32"/>
        <v>1</v>
      </c>
      <c r="M82" s="89">
        <f t="shared" si="32"/>
        <v>1</v>
      </c>
      <c r="AB82" s="76"/>
      <c r="AC82" s="76"/>
      <c r="AD82" s="76"/>
      <c r="AE82" s="76"/>
    </row>
    <row r="83" ht="12.75" customHeight="1">
      <c r="A83" s="597"/>
      <c r="AB83" s="76"/>
      <c r="AC83" s="76"/>
      <c r="AD83" s="76"/>
      <c r="AE83" s="76"/>
    </row>
    <row r="84" ht="12.75" customHeight="1">
      <c r="A84" s="597"/>
      <c r="AB84" s="76"/>
      <c r="AC84" s="76"/>
      <c r="AD84" s="76"/>
      <c r="AE84" s="76"/>
    </row>
    <row r="85" ht="12.75" customHeight="1">
      <c r="A85" s="103"/>
      <c r="B85" s="76"/>
      <c r="C85" s="80" t="s">
        <v>140</v>
      </c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 ht="12.75" customHeight="1">
      <c r="A86" s="103"/>
      <c r="B86" s="76"/>
      <c r="D86" s="76">
        <v>8.0</v>
      </c>
      <c r="E86" s="76">
        <v>9.0</v>
      </c>
      <c r="F86" s="76">
        <v>10.0</v>
      </c>
      <c r="G86" s="76">
        <v>11.0</v>
      </c>
      <c r="H86" s="76">
        <v>12.0</v>
      </c>
      <c r="I86" s="76">
        <v>13.0</v>
      </c>
      <c r="J86" s="76">
        <v>14.0</v>
      </c>
      <c r="K86" s="76">
        <v>15.0</v>
      </c>
      <c r="L86" s="76">
        <v>16.0</v>
      </c>
      <c r="M86" s="76">
        <v>17.0</v>
      </c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 ht="12.75" customHeight="1">
      <c r="A87" s="103"/>
      <c r="B87" s="76"/>
      <c r="C87" s="82" t="s">
        <v>149</v>
      </c>
      <c r="D87" s="159">
        <v>2.0</v>
      </c>
      <c r="E87" s="159">
        <v>3.0</v>
      </c>
      <c r="F87" s="159">
        <v>3.0</v>
      </c>
      <c r="G87" s="159">
        <v>3.0</v>
      </c>
      <c r="H87" s="159">
        <v>5.0</v>
      </c>
      <c r="I87" s="159">
        <v>5.0</v>
      </c>
      <c r="J87" s="159">
        <v>5.0</v>
      </c>
      <c r="K87" s="159">
        <v>5.0</v>
      </c>
      <c r="L87" s="159">
        <v>2.0</v>
      </c>
      <c r="M87" s="159">
        <v>0.0</v>
      </c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 ht="12.75" customHeight="1">
      <c r="A88" s="103"/>
      <c r="B88" s="76"/>
      <c r="C88" s="76" t="s">
        <v>72</v>
      </c>
      <c r="D88" s="91">
        <f t="shared" ref="D88:M88" si="33">ROUND( D$87*D76,0)</f>
        <v>1</v>
      </c>
      <c r="E88" s="91">
        <f t="shared" si="33"/>
        <v>2</v>
      </c>
      <c r="F88" s="91">
        <f t="shared" si="33"/>
        <v>2</v>
      </c>
      <c r="G88" s="91">
        <f t="shared" si="33"/>
        <v>0</v>
      </c>
      <c r="H88" s="91">
        <f t="shared" si="33"/>
        <v>0</v>
      </c>
      <c r="I88" s="91">
        <f t="shared" si="33"/>
        <v>0</v>
      </c>
      <c r="J88" s="91">
        <f t="shared" si="33"/>
        <v>1</v>
      </c>
      <c r="K88" s="91">
        <f t="shared" si="33"/>
        <v>1</v>
      </c>
      <c r="L88" s="91">
        <f t="shared" si="33"/>
        <v>1</v>
      </c>
      <c r="M88" s="91">
        <f t="shared" si="33"/>
        <v>0</v>
      </c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 ht="12.75" customHeight="1">
      <c r="A89" s="103"/>
      <c r="B89" s="76"/>
      <c r="C89" s="76" t="s">
        <v>76</v>
      </c>
      <c r="D89" s="91">
        <f t="shared" ref="D89:M89" si="34">ROUND( D$87*D77,0)</f>
        <v>1</v>
      </c>
      <c r="E89" s="91">
        <f t="shared" si="34"/>
        <v>1</v>
      </c>
      <c r="F89" s="91">
        <f t="shared" si="34"/>
        <v>1</v>
      </c>
      <c r="G89" s="91">
        <f t="shared" si="34"/>
        <v>0</v>
      </c>
      <c r="H89" s="91">
        <f t="shared" si="34"/>
        <v>0</v>
      </c>
      <c r="I89" s="91">
        <f t="shared" si="34"/>
        <v>0</v>
      </c>
      <c r="J89" s="91">
        <f t="shared" si="34"/>
        <v>1</v>
      </c>
      <c r="K89" s="91">
        <f t="shared" si="34"/>
        <v>2</v>
      </c>
      <c r="L89" s="91">
        <f t="shared" si="34"/>
        <v>1</v>
      </c>
      <c r="M89" s="91">
        <f t="shared" si="34"/>
        <v>0</v>
      </c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 ht="12.75" customHeight="1">
      <c r="A90" s="103"/>
      <c r="B90" s="76"/>
      <c r="C90" s="76" t="s">
        <v>80</v>
      </c>
      <c r="D90" s="91">
        <f t="shared" ref="D90:M90" si="35">ROUND( D$87*D78,0)</f>
        <v>1</v>
      </c>
      <c r="E90" s="91">
        <f t="shared" si="35"/>
        <v>0</v>
      </c>
      <c r="F90" s="91">
        <f t="shared" si="35"/>
        <v>0</v>
      </c>
      <c r="G90" s="91">
        <f t="shared" si="35"/>
        <v>1</v>
      </c>
      <c r="H90" s="91">
        <f t="shared" si="35"/>
        <v>1</v>
      </c>
      <c r="I90" s="91">
        <f t="shared" si="35"/>
        <v>1</v>
      </c>
      <c r="J90" s="91">
        <f t="shared" si="35"/>
        <v>1</v>
      </c>
      <c r="K90" s="91">
        <f t="shared" si="35"/>
        <v>0</v>
      </c>
      <c r="L90" s="91">
        <f t="shared" si="35"/>
        <v>0</v>
      </c>
      <c r="M90" s="91">
        <f t="shared" si="35"/>
        <v>0</v>
      </c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 ht="12.75" customHeight="1">
      <c r="A91" s="103"/>
      <c r="B91" s="76"/>
      <c r="C91" s="76" t="s">
        <v>83</v>
      </c>
      <c r="D91" s="91">
        <f t="shared" ref="D91:M91" si="36">ROUND( D$87*D79,0)</f>
        <v>0</v>
      </c>
      <c r="E91" s="91">
        <f t="shared" si="36"/>
        <v>0</v>
      </c>
      <c r="F91" s="91">
        <f t="shared" si="36"/>
        <v>0</v>
      </c>
      <c r="G91" s="91">
        <f t="shared" si="36"/>
        <v>1</v>
      </c>
      <c r="H91" s="91">
        <f t="shared" si="36"/>
        <v>3</v>
      </c>
      <c r="I91" s="91">
        <f t="shared" si="36"/>
        <v>2</v>
      </c>
      <c r="J91" s="91">
        <f t="shared" si="36"/>
        <v>1</v>
      </c>
      <c r="K91" s="91">
        <f t="shared" si="36"/>
        <v>1</v>
      </c>
      <c r="L91" s="91">
        <f t="shared" si="36"/>
        <v>0</v>
      </c>
      <c r="M91" s="91">
        <f t="shared" si="36"/>
        <v>0</v>
      </c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 ht="12.75" customHeight="1">
      <c r="A92" s="103"/>
      <c r="B92" s="76"/>
      <c r="C92" s="76" t="s">
        <v>87</v>
      </c>
      <c r="D92" s="91">
        <f t="shared" ref="D92:M92" si="37">ROUND( D$87*D80,0)</f>
        <v>0</v>
      </c>
      <c r="E92" s="91">
        <f t="shared" si="37"/>
        <v>0</v>
      </c>
      <c r="F92" s="91">
        <f t="shared" si="37"/>
        <v>0</v>
      </c>
      <c r="G92" s="91">
        <f t="shared" si="37"/>
        <v>1</v>
      </c>
      <c r="H92" s="91">
        <f t="shared" si="37"/>
        <v>1</v>
      </c>
      <c r="I92" s="91">
        <f t="shared" si="37"/>
        <v>2</v>
      </c>
      <c r="J92" s="91">
        <f t="shared" si="37"/>
        <v>1</v>
      </c>
      <c r="K92" s="91">
        <f t="shared" si="37"/>
        <v>1</v>
      </c>
      <c r="L92" s="91">
        <f t="shared" si="37"/>
        <v>0</v>
      </c>
      <c r="M92" s="91">
        <f t="shared" si="37"/>
        <v>0</v>
      </c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 ht="12.75" customHeight="1">
      <c r="A93" s="103"/>
      <c r="B93" s="76"/>
      <c r="C93" s="76" t="s">
        <v>464</v>
      </c>
      <c r="D93" s="91">
        <f t="shared" ref="D93:M93" si="38">ROUND( D$87*D81,0)</f>
        <v>0</v>
      </c>
      <c r="E93" s="91">
        <f t="shared" si="38"/>
        <v>0</v>
      </c>
      <c r="F93" s="91">
        <f t="shared" si="38"/>
        <v>0</v>
      </c>
      <c r="G93" s="91">
        <f t="shared" si="38"/>
        <v>0</v>
      </c>
      <c r="H93" s="91">
        <f t="shared" si="38"/>
        <v>0</v>
      </c>
      <c r="I93" s="91">
        <f t="shared" si="38"/>
        <v>1</v>
      </c>
      <c r="J93" s="91">
        <f t="shared" si="38"/>
        <v>1</v>
      </c>
      <c r="K93" s="91">
        <f t="shared" si="38"/>
        <v>0</v>
      </c>
      <c r="L93" s="91">
        <f t="shared" si="38"/>
        <v>0</v>
      </c>
      <c r="M93" s="91">
        <f t="shared" si="38"/>
        <v>0</v>
      </c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 ht="12.75" customHeight="1">
      <c r="A94" s="103"/>
      <c r="B94" s="76"/>
      <c r="C94" s="76"/>
      <c r="D94" s="93">
        <f t="shared" ref="D94:M94" si="39">SUM(D88:D93)</f>
        <v>3</v>
      </c>
      <c r="E94" s="93">
        <f t="shared" si="39"/>
        <v>3</v>
      </c>
      <c r="F94" s="93">
        <f t="shared" si="39"/>
        <v>3</v>
      </c>
      <c r="G94" s="93">
        <f t="shared" si="39"/>
        <v>3</v>
      </c>
      <c r="H94" s="93">
        <f t="shared" si="39"/>
        <v>5</v>
      </c>
      <c r="I94" s="93">
        <f t="shared" si="39"/>
        <v>6</v>
      </c>
      <c r="J94" s="93">
        <f t="shared" si="39"/>
        <v>6</v>
      </c>
      <c r="K94" s="93">
        <f t="shared" si="39"/>
        <v>5</v>
      </c>
      <c r="L94" s="93">
        <f t="shared" si="39"/>
        <v>2</v>
      </c>
      <c r="M94" s="93">
        <f t="shared" si="39"/>
        <v>0</v>
      </c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 ht="12.75" customHeight="1">
      <c r="A95" s="103"/>
      <c r="B95" s="76"/>
      <c r="C95" s="80" t="s">
        <v>150</v>
      </c>
      <c r="D95" s="95" t="s">
        <v>151</v>
      </c>
      <c r="E95" s="95" t="s">
        <v>152</v>
      </c>
      <c r="F95" s="95" t="s">
        <v>153</v>
      </c>
      <c r="G95" s="95" t="s">
        <v>154</v>
      </c>
      <c r="H95" s="95" t="s">
        <v>155</v>
      </c>
      <c r="I95" s="95" t="s">
        <v>156</v>
      </c>
      <c r="J95" s="95" t="s">
        <v>151</v>
      </c>
      <c r="K95" s="95" t="s">
        <v>152</v>
      </c>
      <c r="L95" s="95" t="s">
        <v>153</v>
      </c>
      <c r="M95" s="95" t="s">
        <v>154</v>
      </c>
      <c r="N95" s="95" t="s">
        <v>155</v>
      </c>
      <c r="O95" s="95" t="s">
        <v>156</v>
      </c>
      <c r="P95" s="95" t="s">
        <v>151</v>
      </c>
      <c r="Q95" s="95" t="s">
        <v>152</v>
      </c>
      <c r="R95" s="95" t="s">
        <v>153</v>
      </c>
      <c r="S95" s="95" t="s">
        <v>154</v>
      </c>
      <c r="T95" s="95" t="s">
        <v>155</v>
      </c>
      <c r="U95" s="95" t="s">
        <v>156</v>
      </c>
      <c r="V95" s="95" t="s">
        <v>151</v>
      </c>
      <c r="W95" s="95" t="s">
        <v>152</v>
      </c>
      <c r="X95" s="95" t="s">
        <v>153</v>
      </c>
      <c r="Y95" s="95" t="s">
        <v>154</v>
      </c>
      <c r="Z95" s="95" t="s">
        <v>155</v>
      </c>
      <c r="AA95" s="95" t="s">
        <v>156</v>
      </c>
      <c r="AB95" s="76"/>
      <c r="AC95" s="76"/>
      <c r="AD95" s="76"/>
      <c r="AE95" s="76"/>
    </row>
    <row r="96" ht="12.75" customHeight="1">
      <c r="A96" s="103"/>
      <c r="B96" s="76"/>
      <c r="C96" s="76"/>
      <c r="D96" s="76">
        <v>1.0</v>
      </c>
      <c r="E96" s="76">
        <v>2.0</v>
      </c>
      <c r="F96" s="76">
        <v>3.0</v>
      </c>
      <c r="G96" s="76">
        <v>4.0</v>
      </c>
      <c r="H96" s="76">
        <v>5.0</v>
      </c>
      <c r="I96" s="76">
        <v>6.0</v>
      </c>
      <c r="J96" s="76">
        <v>7.0</v>
      </c>
      <c r="K96" s="76">
        <v>8.0</v>
      </c>
      <c r="L96" s="76">
        <v>9.0</v>
      </c>
      <c r="M96" s="76">
        <v>10.0</v>
      </c>
      <c r="N96" s="76">
        <v>11.0</v>
      </c>
      <c r="O96" s="76">
        <v>12.0</v>
      </c>
      <c r="P96" s="76">
        <v>13.0</v>
      </c>
      <c r="Q96" s="76">
        <v>14.0</v>
      </c>
      <c r="R96" s="76">
        <v>15.0</v>
      </c>
      <c r="S96" s="76">
        <v>16.0</v>
      </c>
      <c r="T96" s="76">
        <v>17.0</v>
      </c>
      <c r="U96" s="76">
        <v>18.0</v>
      </c>
      <c r="V96" s="76">
        <v>19.0</v>
      </c>
      <c r="W96" s="76">
        <v>20.0</v>
      </c>
      <c r="X96" s="76">
        <v>21.0</v>
      </c>
      <c r="Y96" s="76">
        <v>22.0</v>
      </c>
      <c r="Z96" s="76">
        <v>23.0</v>
      </c>
      <c r="AA96" s="76">
        <v>24.0</v>
      </c>
      <c r="AB96" s="76"/>
      <c r="AC96" s="76"/>
      <c r="AD96" s="76"/>
      <c r="AE96" s="76"/>
    </row>
    <row r="97" ht="12.75" customHeight="1">
      <c r="A97" s="103"/>
      <c r="C97" s="82" t="s">
        <v>157</v>
      </c>
      <c r="D97" s="98">
        <v>0.8</v>
      </c>
      <c r="E97" s="98">
        <v>0.8</v>
      </c>
      <c r="F97" s="98">
        <v>0.7</v>
      </c>
      <c r="G97" s="98">
        <v>0.6</v>
      </c>
      <c r="H97" s="98">
        <v>0.7</v>
      </c>
      <c r="I97" s="98">
        <v>0.8</v>
      </c>
      <c r="J97" s="98">
        <v>0.8</v>
      </c>
      <c r="K97" s="98">
        <v>0.8</v>
      </c>
      <c r="L97" s="98">
        <v>0.7</v>
      </c>
      <c r="M97" s="98">
        <v>0.6</v>
      </c>
      <c r="N97" s="98">
        <v>0.7</v>
      </c>
      <c r="O97" s="98">
        <v>0.8</v>
      </c>
      <c r="P97" s="98">
        <v>0.8</v>
      </c>
      <c r="Q97" s="98">
        <v>0.8</v>
      </c>
      <c r="R97" s="98">
        <v>0.7</v>
      </c>
      <c r="S97" s="98">
        <v>0.6</v>
      </c>
      <c r="T97" s="98">
        <v>0.7</v>
      </c>
      <c r="U97" s="98">
        <v>0.8</v>
      </c>
      <c r="V97" s="98">
        <v>0.8</v>
      </c>
      <c r="W97" s="98">
        <v>0.8</v>
      </c>
      <c r="X97" s="98">
        <v>0.7</v>
      </c>
      <c r="Y97" s="98">
        <v>0.6</v>
      </c>
      <c r="Z97" s="98">
        <v>0.7</v>
      </c>
      <c r="AA97" s="98">
        <v>0.8</v>
      </c>
      <c r="AB97" s="76"/>
      <c r="AC97" s="76"/>
      <c r="AD97" s="76"/>
      <c r="AE97" s="76"/>
    </row>
    <row r="98" ht="12.75" customHeight="1">
      <c r="A98" s="103"/>
      <c r="B98" s="76"/>
      <c r="C98" s="76" t="s">
        <v>148</v>
      </c>
      <c r="D98" s="76">
        <f t="shared" ref="D98:AA98" si="40">ROUND(SUM($D88:$M88)*D$97,0)</f>
        <v>6</v>
      </c>
      <c r="E98" s="76">
        <f t="shared" si="40"/>
        <v>6</v>
      </c>
      <c r="F98" s="76">
        <f t="shared" si="40"/>
        <v>6</v>
      </c>
      <c r="G98" s="76">
        <f t="shared" si="40"/>
        <v>5</v>
      </c>
      <c r="H98" s="76">
        <f t="shared" si="40"/>
        <v>6</v>
      </c>
      <c r="I98" s="76">
        <f t="shared" si="40"/>
        <v>6</v>
      </c>
      <c r="J98" s="76">
        <f t="shared" si="40"/>
        <v>6</v>
      </c>
      <c r="K98" s="76">
        <f t="shared" si="40"/>
        <v>6</v>
      </c>
      <c r="L98" s="76">
        <f t="shared" si="40"/>
        <v>6</v>
      </c>
      <c r="M98" s="76">
        <f t="shared" si="40"/>
        <v>5</v>
      </c>
      <c r="N98" s="76">
        <f t="shared" si="40"/>
        <v>6</v>
      </c>
      <c r="O98" s="76">
        <f t="shared" si="40"/>
        <v>6</v>
      </c>
      <c r="P98" s="76">
        <f t="shared" si="40"/>
        <v>6</v>
      </c>
      <c r="Q98" s="76">
        <f t="shared" si="40"/>
        <v>6</v>
      </c>
      <c r="R98" s="76">
        <f t="shared" si="40"/>
        <v>6</v>
      </c>
      <c r="S98" s="76">
        <f t="shared" si="40"/>
        <v>5</v>
      </c>
      <c r="T98" s="76">
        <f t="shared" si="40"/>
        <v>6</v>
      </c>
      <c r="U98" s="76">
        <f t="shared" si="40"/>
        <v>6</v>
      </c>
      <c r="V98" s="76">
        <f t="shared" si="40"/>
        <v>6</v>
      </c>
      <c r="W98" s="76">
        <f t="shared" si="40"/>
        <v>6</v>
      </c>
      <c r="X98" s="76">
        <f t="shared" si="40"/>
        <v>6</v>
      </c>
      <c r="Y98" s="76">
        <f t="shared" si="40"/>
        <v>5</v>
      </c>
      <c r="Z98" s="76">
        <f t="shared" si="40"/>
        <v>6</v>
      </c>
      <c r="AA98" s="76">
        <f t="shared" si="40"/>
        <v>6</v>
      </c>
      <c r="AB98" s="76"/>
      <c r="AC98" s="76"/>
      <c r="AD98" s="76"/>
      <c r="AE98" s="76"/>
    </row>
    <row r="99" ht="12.75" customHeight="1">
      <c r="A99" s="103"/>
      <c r="B99" s="76"/>
      <c r="C99" s="76" t="s">
        <v>76</v>
      </c>
      <c r="D99" s="76">
        <f t="shared" ref="D99:AA99" si="41">ROUND(SUM($D89:$M89)*D$97,0)</f>
        <v>6</v>
      </c>
      <c r="E99" s="76">
        <f t="shared" si="41"/>
        <v>6</v>
      </c>
      <c r="F99" s="76">
        <f t="shared" si="41"/>
        <v>5</v>
      </c>
      <c r="G99" s="76">
        <f t="shared" si="41"/>
        <v>4</v>
      </c>
      <c r="H99" s="76">
        <f t="shared" si="41"/>
        <v>5</v>
      </c>
      <c r="I99" s="76">
        <f t="shared" si="41"/>
        <v>6</v>
      </c>
      <c r="J99" s="76">
        <f t="shared" si="41"/>
        <v>6</v>
      </c>
      <c r="K99" s="76">
        <f t="shared" si="41"/>
        <v>6</v>
      </c>
      <c r="L99" s="76">
        <f t="shared" si="41"/>
        <v>5</v>
      </c>
      <c r="M99" s="76">
        <f t="shared" si="41"/>
        <v>4</v>
      </c>
      <c r="N99" s="76">
        <f t="shared" si="41"/>
        <v>5</v>
      </c>
      <c r="O99" s="76">
        <f t="shared" si="41"/>
        <v>6</v>
      </c>
      <c r="P99" s="76">
        <f t="shared" si="41"/>
        <v>6</v>
      </c>
      <c r="Q99" s="76">
        <f t="shared" si="41"/>
        <v>6</v>
      </c>
      <c r="R99" s="76">
        <f t="shared" si="41"/>
        <v>5</v>
      </c>
      <c r="S99" s="76">
        <f t="shared" si="41"/>
        <v>4</v>
      </c>
      <c r="T99" s="76">
        <f t="shared" si="41"/>
        <v>5</v>
      </c>
      <c r="U99" s="76">
        <f t="shared" si="41"/>
        <v>6</v>
      </c>
      <c r="V99" s="76">
        <f t="shared" si="41"/>
        <v>6</v>
      </c>
      <c r="W99" s="76">
        <f t="shared" si="41"/>
        <v>6</v>
      </c>
      <c r="X99" s="76">
        <f t="shared" si="41"/>
        <v>5</v>
      </c>
      <c r="Y99" s="76">
        <f t="shared" si="41"/>
        <v>4</v>
      </c>
      <c r="Z99" s="76">
        <f t="shared" si="41"/>
        <v>5</v>
      </c>
      <c r="AA99" s="76">
        <f t="shared" si="41"/>
        <v>6</v>
      </c>
      <c r="AB99" s="76"/>
      <c r="AC99" s="76"/>
      <c r="AD99" s="76"/>
      <c r="AE99" s="76"/>
    </row>
    <row r="100" ht="12.75" customHeight="1">
      <c r="A100" s="103"/>
      <c r="B100" s="76"/>
      <c r="C100" s="76" t="s">
        <v>80</v>
      </c>
      <c r="D100" s="76">
        <f t="shared" ref="D100:AA100" si="42">ROUND(SUM($D90:$M90)*D$97,0)</f>
        <v>4</v>
      </c>
      <c r="E100" s="76">
        <f t="shared" si="42"/>
        <v>4</v>
      </c>
      <c r="F100" s="76">
        <f t="shared" si="42"/>
        <v>4</v>
      </c>
      <c r="G100" s="76">
        <f t="shared" si="42"/>
        <v>3</v>
      </c>
      <c r="H100" s="76">
        <f t="shared" si="42"/>
        <v>4</v>
      </c>
      <c r="I100" s="76">
        <f t="shared" si="42"/>
        <v>4</v>
      </c>
      <c r="J100" s="76">
        <f t="shared" si="42"/>
        <v>4</v>
      </c>
      <c r="K100" s="76">
        <f t="shared" si="42"/>
        <v>4</v>
      </c>
      <c r="L100" s="76">
        <f t="shared" si="42"/>
        <v>4</v>
      </c>
      <c r="M100" s="76">
        <f t="shared" si="42"/>
        <v>3</v>
      </c>
      <c r="N100" s="76">
        <f t="shared" si="42"/>
        <v>4</v>
      </c>
      <c r="O100" s="76">
        <f t="shared" si="42"/>
        <v>4</v>
      </c>
      <c r="P100" s="76">
        <f t="shared" si="42"/>
        <v>4</v>
      </c>
      <c r="Q100" s="76">
        <f t="shared" si="42"/>
        <v>4</v>
      </c>
      <c r="R100" s="76">
        <f t="shared" si="42"/>
        <v>4</v>
      </c>
      <c r="S100" s="76">
        <f t="shared" si="42"/>
        <v>3</v>
      </c>
      <c r="T100" s="76">
        <f t="shared" si="42"/>
        <v>4</v>
      </c>
      <c r="U100" s="76">
        <f t="shared" si="42"/>
        <v>4</v>
      </c>
      <c r="V100" s="76">
        <f t="shared" si="42"/>
        <v>4</v>
      </c>
      <c r="W100" s="76">
        <f t="shared" si="42"/>
        <v>4</v>
      </c>
      <c r="X100" s="76">
        <f t="shared" si="42"/>
        <v>4</v>
      </c>
      <c r="Y100" s="76">
        <f t="shared" si="42"/>
        <v>3</v>
      </c>
      <c r="Z100" s="76">
        <f t="shared" si="42"/>
        <v>4</v>
      </c>
      <c r="AA100" s="76">
        <f t="shared" si="42"/>
        <v>4</v>
      </c>
      <c r="AB100" s="76"/>
      <c r="AC100" s="76"/>
      <c r="AD100" s="76"/>
      <c r="AE100" s="76"/>
    </row>
    <row r="101" ht="12.75" customHeight="1">
      <c r="A101" s="103"/>
      <c r="B101" s="76"/>
      <c r="C101" s="76" t="s">
        <v>83</v>
      </c>
      <c r="D101" s="76">
        <f t="shared" ref="D101:AA101" si="43">ROUND(SUM($D91:$M91)*D$97,0)</f>
        <v>6</v>
      </c>
      <c r="E101" s="76">
        <f t="shared" si="43"/>
        <v>6</v>
      </c>
      <c r="F101" s="76">
        <f t="shared" si="43"/>
        <v>6</v>
      </c>
      <c r="G101" s="76">
        <f t="shared" si="43"/>
        <v>5</v>
      </c>
      <c r="H101" s="76">
        <f t="shared" si="43"/>
        <v>6</v>
      </c>
      <c r="I101" s="76">
        <f t="shared" si="43"/>
        <v>6</v>
      </c>
      <c r="J101" s="76">
        <f t="shared" si="43"/>
        <v>6</v>
      </c>
      <c r="K101" s="76">
        <f t="shared" si="43"/>
        <v>6</v>
      </c>
      <c r="L101" s="76">
        <f t="shared" si="43"/>
        <v>6</v>
      </c>
      <c r="M101" s="76">
        <f t="shared" si="43"/>
        <v>5</v>
      </c>
      <c r="N101" s="76">
        <f t="shared" si="43"/>
        <v>6</v>
      </c>
      <c r="O101" s="76">
        <f t="shared" si="43"/>
        <v>6</v>
      </c>
      <c r="P101" s="76">
        <f t="shared" si="43"/>
        <v>6</v>
      </c>
      <c r="Q101" s="76">
        <f t="shared" si="43"/>
        <v>6</v>
      </c>
      <c r="R101" s="76">
        <f t="shared" si="43"/>
        <v>6</v>
      </c>
      <c r="S101" s="76">
        <f t="shared" si="43"/>
        <v>5</v>
      </c>
      <c r="T101" s="76">
        <f t="shared" si="43"/>
        <v>6</v>
      </c>
      <c r="U101" s="76">
        <f t="shared" si="43"/>
        <v>6</v>
      </c>
      <c r="V101" s="76">
        <f t="shared" si="43"/>
        <v>6</v>
      </c>
      <c r="W101" s="76">
        <f t="shared" si="43"/>
        <v>6</v>
      </c>
      <c r="X101" s="76">
        <f t="shared" si="43"/>
        <v>6</v>
      </c>
      <c r="Y101" s="76">
        <f t="shared" si="43"/>
        <v>5</v>
      </c>
      <c r="Z101" s="76">
        <f t="shared" si="43"/>
        <v>6</v>
      </c>
      <c r="AA101" s="76">
        <f t="shared" si="43"/>
        <v>6</v>
      </c>
      <c r="AB101" s="76"/>
      <c r="AC101" s="76"/>
      <c r="AD101" s="76"/>
      <c r="AE101" s="76"/>
    </row>
    <row r="102" ht="12.75" customHeight="1">
      <c r="A102" s="103"/>
      <c r="B102" s="76"/>
      <c r="C102" s="76" t="s">
        <v>87</v>
      </c>
      <c r="D102" s="76">
        <f t="shared" ref="D102:AA102" si="44">ROUND(SUM($D92:$M92)*D$97,0)</f>
        <v>5</v>
      </c>
      <c r="E102" s="76">
        <f t="shared" si="44"/>
        <v>5</v>
      </c>
      <c r="F102" s="76">
        <f t="shared" si="44"/>
        <v>4</v>
      </c>
      <c r="G102" s="76">
        <f t="shared" si="44"/>
        <v>4</v>
      </c>
      <c r="H102" s="76">
        <f t="shared" si="44"/>
        <v>4</v>
      </c>
      <c r="I102" s="76">
        <f t="shared" si="44"/>
        <v>5</v>
      </c>
      <c r="J102" s="76">
        <f t="shared" si="44"/>
        <v>5</v>
      </c>
      <c r="K102" s="76">
        <f t="shared" si="44"/>
        <v>5</v>
      </c>
      <c r="L102" s="76">
        <f t="shared" si="44"/>
        <v>4</v>
      </c>
      <c r="M102" s="76">
        <f t="shared" si="44"/>
        <v>4</v>
      </c>
      <c r="N102" s="76">
        <f t="shared" si="44"/>
        <v>4</v>
      </c>
      <c r="O102" s="76">
        <f t="shared" si="44"/>
        <v>5</v>
      </c>
      <c r="P102" s="76">
        <f t="shared" si="44"/>
        <v>5</v>
      </c>
      <c r="Q102" s="76">
        <f t="shared" si="44"/>
        <v>5</v>
      </c>
      <c r="R102" s="76">
        <f t="shared" si="44"/>
        <v>4</v>
      </c>
      <c r="S102" s="76">
        <f t="shared" si="44"/>
        <v>4</v>
      </c>
      <c r="T102" s="76">
        <f t="shared" si="44"/>
        <v>4</v>
      </c>
      <c r="U102" s="76">
        <f t="shared" si="44"/>
        <v>5</v>
      </c>
      <c r="V102" s="76">
        <f t="shared" si="44"/>
        <v>5</v>
      </c>
      <c r="W102" s="76">
        <f t="shared" si="44"/>
        <v>5</v>
      </c>
      <c r="X102" s="76">
        <f t="shared" si="44"/>
        <v>4</v>
      </c>
      <c r="Y102" s="76">
        <f t="shared" si="44"/>
        <v>4</v>
      </c>
      <c r="Z102" s="76">
        <f t="shared" si="44"/>
        <v>4</v>
      </c>
      <c r="AA102" s="76">
        <f t="shared" si="44"/>
        <v>5</v>
      </c>
      <c r="AB102" s="76"/>
      <c r="AC102" s="76"/>
      <c r="AD102" s="76"/>
      <c r="AE102" s="76"/>
    </row>
    <row r="103" ht="12.75" customHeight="1">
      <c r="A103" s="103"/>
      <c r="B103" s="76"/>
      <c r="C103" s="76" t="s">
        <v>464</v>
      </c>
      <c r="D103" s="76">
        <f t="shared" ref="D103:AA103" si="45">ROUND(SUM($D93:$M93)*D$97,0)</f>
        <v>2</v>
      </c>
      <c r="E103" s="76">
        <f t="shared" si="45"/>
        <v>2</v>
      </c>
      <c r="F103" s="76">
        <f t="shared" si="45"/>
        <v>1</v>
      </c>
      <c r="G103" s="76">
        <f t="shared" si="45"/>
        <v>1</v>
      </c>
      <c r="H103" s="76">
        <f t="shared" si="45"/>
        <v>1</v>
      </c>
      <c r="I103" s="76">
        <f t="shared" si="45"/>
        <v>2</v>
      </c>
      <c r="J103" s="76">
        <f t="shared" si="45"/>
        <v>2</v>
      </c>
      <c r="K103" s="76">
        <f t="shared" si="45"/>
        <v>2</v>
      </c>
      <c r="L103" s="76">
        <f t="shared" si="45"/>
        <v>1</v>
      </c>
      <c r="M103" s="76">
        <f t="shared" si="45"/>
        <v>1</v>
      </c>
      <c r="N103" s="76">
        <f t="shared" si="45"/>
        <v>1</v>
      </c>
      <c r="O103" s="76">
        <f t="shared" si="45"/>
        <v>2</v>
      </c>
      <c r="P103" s="76">
        <f t="shared" si="45"/>
        <v>2</v>
      </c>
      <c r="Q103" s="76">
        <f t="shared" si="45"/>
        <v>2</v>
      </c>
      <c r="R103" s="76">
        <f t="shared" si="45"/>
        <v>1</v>
      </c>
      <c r="S103" s="76">
        <f t="shared" si="45"/>
        <v>1</v>
      </c>
      <c r="T103" s="76">
        <f t="shared" si="45"/>
        <v>1</v>
      </c>
      <c r="U103" s="76">
        <f t="shared" si="45"/>
        <v>2</v>
      </c>
      <c r="V103" s="76">
        <f t="shared" si="45"/>
        <v>2</v>
      </c>
      <c r="W103" s="76">
        <f t="shared" si="45"/>
        <v>2</v>
      </c>
      <c r="X103" s="76">
        <f t="shared" si="45"/>
        <v>1</v>
      </c>
      <c r="Y103" s="76">
        <f t="shared" si="45"/>
        <v>1</v>
      </c>
      <c r="Z103" s="76">
        <f t="shared" si="45"/>
        <v>1</v>
      </c>
      <c r="AA103" s="76">
        <f t="shared" si="45"/>
        <v>2</v>
      </c>
      <c r="AB103" s="76"/>
      <c r="AC103" s="76"/>
      <c r="AD103" s="76"/>
      <c r="AE103" s="76"/>
    </row>
    <row r="104" ht="12.75" customHeight="1">
      <c r="A104" s="103"/>
      <c r="B104" s="76"/>
      <c r="C104" s="76"/>
      <c r="D104" s="93">
        <f t="shared" ref="D104:AA104" si="46">SUM(D98:D103)</f>
        <v>29</v>
      </c>
      <c r="E104" s="93">
        <f t="shared" si="46"/>
        <v>29</v>
      </c>
      <c r="F104" s="93">
        <f t="shared" si="46"/>
        <v>26</v>
      </c>
      <c r="G104" s="93">
        <f t="shared" si="46"/>
        <v>22</v>
      </c>
      <c r="H104" s="93">
        <f t="shared" si="46"/>
        <v>26</v>
      </c>
      <c r="I104" s="93">
        <f t="shared" si="46"/>
        <v>29</v>
      </c>
      <c r="J104" s="93">
        <f t="shared" si="46"/>
        <v>29</v>
      </c>
      <c r="K104" s="93">
        <f t="shared" si="46"/>
        <v>29</v>
      </c>
      <c r="L104" s="93">
        <f t="shared" si="46"/>
        <v>26</v>
      </c>
      <c r="M104" s="93">
        <f t="shared" si="46"/>
        <v>22</v>
      </c>
      <c r="N104" s="93">
        <f t="shared" si="46"/>
        <v>26</v>
      </c>
      <c r="O104" s="93">
        <f t="shared" si="46"/>
        <v>29</v>
      </c>
      <c r="P104" s="93">
        <f t="shared" si="46"/>
        <v>29</v>
      </c>
      <c r="Q104" s="93">
        <f t="shared" si="46"/>
        <v>29</v>
      </c>
      <c r="R104" s="93">
        <f t="shared" si="46"/>
        <v>26</v>
      </c>
      <c r="S104" s="93">
        <f t="shared" si="46"/>
        <v>22</v>
      </c>
      <c r="T104" s="93">
        <f t="shared" si="46"/>
        <v>26</v>
      </c>
      <c r="U104" s="93">
        <f t="shared" si="46"/>
        <v>29</v>
      </c>
      <c r="V104" s="93">
        <f t="shared" si="46"/>
        <v>29</v>
      </c>
      <c r="W104" s="93">
        <f t="shared" si="46"/>
        <v>29</v>
      </c>
      <c r="X104" s="93">
        <f t="shared" si="46"/>
        <v>26</v>
      </c>
      <c r="Y104" s="93">
        <f t="shared" si="46"/>
        <v>22</v>
      </c>
      <c r="Z104" s="93">
        <f t="shared" si="46"/>
        <v>26</v>
      </c>
      <c r="AA104" s="93">
        <f t="shared" si="46"/>
        <v>29</v>
      </c>
      <c r="AB104" s="76"/>
      <c r="AC104" s="76"/>
      <c r="AD104" s="76"/>
      <c r="AE104" s="76"/>
    </row>
    <row r="105" ht="12.75" customHeight="1">
      <c r="A105" s="103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 ht="12.75" customHeight="1">
      <c r="A106" s="103"/>
      <c r="B106" s="76"/>
      <c r="C106" s="80" t="s">
        <v>158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 ht="12.75" customHeight="1">
      <c r="A107" s="103"/>
      <c r="B107" s="76"/>
      <c r="C107" s="76"/>
      <c r="D107" s="76">
        <v>2024.0</v>
      </c>
      <c r="E107" s="76"/>
      <c r="F107" s="76"/>
      <c r="G107" s="76"/>
      <c r="H107" s="76"/>
      <c r="I107" s="76"/>
      <c r="J107" s="76"/>
      <c r="K107" s="95" t="s">
        <v>465</v>
      </c>
      <c r="L107" s="76"/>
      <c r="M107" s="76"/>
      <c r="N107" s="76"/>
      <c r="O107" s="76"/>
      <c r="P107" s="76">
        <v>2025.0</v>
      </c>
      <c r="Q107" s="76"/>
      <c r="R107" s="76"/>
      <c r="S107" s="76"/>
      <c r="T107" s="76"/>
      <c r="U107" s="76"/>
      <c r="V107" s="76"/>
      <c r="W107" s="95" t="s">
        <v>465</v>
      </c>
      <c r="X107" s="76"/>
      <c r="Y107" s="76"/>
      <c r="Z107" s="76"/>
      <c r="AA107" s="76"/>
      <c r="AB107" s="76"/>
      <c r="AC107" s="76"/>
      <c r="AD107" s="76"/>
      <c r="AE107" s="76"/>
    </row>
    <row r="108" ht="12.75" customHeight="1">
      <c r="A108" s="103"/>
      <c r="B108" s="76"/>
      <c r="C108" s="82" t="s">
        <v>159</v>
      </c>
      <c r="D108" s="76">
        <v>1.0</v>
      </c>
      <c r="E108" s="76">
        <v>2.0</v>
      </c>
      <c r="F108" s="76">
        <v>3.0</v>
      </c>
      <c r="G108" s="76">
        <v>4.0</v>
      </c>
      <c r="H108" s="76">
        <v>5.0</v>
      </c>
      <c r="I108" s="76">
        <v>6.0</v>
      </c>
      <c r="J108" s="76">
        <v>7.0</v>
      </c>
      <c r="K108" s="76">
        <v>8.0</v>
      </c>
      <c r="L108" s="76">
        <v>9.0</v>
      </c>
      <c r="M108" s="76">
        <v>10.0</v>
      </c>
      <c r="N108" s="76">
        <v>11.0</v>
      </c>
      <c r="O108" s="76">
        <v>12.0</v>
      </c>
      <c r="P108" s="76">
        <v>1.0</v>
      </c>
      <c r="Q108" s="76">
        <v>2.0</v>
      </c>
      <c r="R108" s="76">
        <v>3.0</v>
      </c>
      <c r="S108" s="76">
        <v>4.0</v>
      </c>
      <c r="T108" s="76">
        <v>5.0</v>
      </c>
      <c r="U108" s="76">
        <v>6.0</v>
      </c>
      <c r="V108" s="76">
        <v>7.0</v>
      </c>
      <c r="W108" s="76">
        <v>8.0</v>
      </c>
      <c r="X108" s="76">
        <v>9.0</v>
      </c>
      <c r="Y108" s="76">
        <v>10.0</v>
      </c>
      <c r="Z108" s="76">
        <v>11.0</v>
      </c>
      <c r="AA108" s="76">
        <v>12.0</v>
      </c>
      <c r="AB108" s="76"/>
      <c r="AC108" s="76"/>
      <c r="AD108" s="76"/>
      <c r="AE108" s="76"/>
    </row>
    <row r="109" ht="12.75" customHeight="1">
      <c r="A109" s="103"/>
      <c r="B109" s="76"/>
      <c r="C109" s="82" t="s">
        <v>160</v>
      </c>
      <c r="D109" s="98">
        <v>0.0</v>
      </c>
      <c r="E109" s="98">
        <v>0.0</v>
      </c>
      <c r="F109" s="98">
        <v>0.0</v>
      </c>
      <c r="G109" s="98">
        <v>0.2</v>
      </c>
      <c r="H109" s="98">
        <v>0.2</v>
      </c>
      <c r="I109" s="98">
        <v>0.25</v>
      </c>
      <c r="J109" s="98">
        <v>0.25</v>
      </c>
      <c r="K109" s="98">
        <v>0.1</v>
      </c>
      <c r="L109" s="98">
        <v>0.3</v>
      </c>
      <c r="M109" s="98">
        <v>0.3</v>
      </c>
      <c r="N109" s="98">
        <v>0.35</v>
      </c>
      <c r="O109" s="98">
        <v>0.4</v>
      </c>
      <c r="P109" s="98">
        <v>0.4</v>
      </c>
      <c r="Q109" s="98">
        <v>0.45</v>
      </c>
      <c r="R109" s="98">
        <v>0.45</v>
      </c>
      <c r="S109" s="98">
        <v>0.45</v>
      </c>
      <c r="T109" s="98">
        <v>0.3</v>
      </c>
      <c r="U109" s="98">
        <v>0.25</v>
      </c>
      <c r="V109" s="98">
        <v>0.2</v>
      </c>
      <c r="W109" s="98">
        <v>0.1</v>
      </c>
      <c r="X109" s="98">
        <v>0.3</v>
      </c>
      <c r="Y109" s="98">
        <v>0.55</v>
      </c>
      <c r="Z109" s="98">
        <v>0.55</v>
      </c>
      <c r="AA109" s="98">
        <v>0.5</v>
      </c>
      <c r="AB109" s="76"/>
      <c r="AC109" s="76"/>
      <c r="AD109" s="76"/>
      <c r="AE109" s="76"/>
    </row>
    <row r="110" ht="12.75" customHeight="1">
      <c r="A110" s="103"/>
      <c r="B110" s="76"/>
      <c r="C110" s="76" t="s">
        <v>148</v>
      </c>
      <c r="D110" s="76">
        <f t="shared" ref="D110:AA110" si="47">ROUND(SUM($D98:$AA98)*D$109,0)</f>
        <v>0</v>
      </c>
      <c r="E110" s="76">
        <f t="shared" si="47"/>
        <v>0</v>
      </c>
      <c r="F110" s="76">
        <f t="shared" si="47"/>
        <v>0</v>
      </c>
      <c r="G110" s="76">
        <f t="shared" si="47"/>
        <v>28</v>
      </c>
      <c r="H110" s="76">
        <f t="shared" si="47"/>
        <v>28</v>
      </c>
      <c r="I110" s="76">
        <f t="shared" si="47"/>
        <v>35</v>
      </c>
      <c r="J110" s="76">
        <f t="shared" si="47"/>
        <v>35</v>
      </c>
      <c r="K110" s="76">
        <f t="shared" si="47"/>
        <v>14</v>
      </c>
      <c r="L110" s="76">
        <f t="shared" si="47"/>
        <v>42</v>
      </c>
      <c r="M110" s="76">
        <f t="shared" si="47"/>
        <v>42</v>
      </c>
      <c r="N110" s="76">
        <f t="shared" si="47"/>
        <v>49</v>
      </c>
      <c r="O110" s="76">
        <f t="shared" si="47"/>
        <v>56</v>
      </c>
      <c r="P110" s="76">
        <f t="shared" si="47"/>
        <v>56</v>
      </c>
      <c r="Q110" s="76">
        <f t="shared" si="47"/>
        <v>63</v>
      </c>
      <c r="R110" s="76">
        <f t="shared" si="47"/>
        <v>63</v>
      </c>
      <c r="S110" s="76">
        <f t="shared" si="47"/>
        <v>63</v>
      </c>
      <c r="T110" s="76">
        <f t="shared" si="47"/>
        <v>42</v>
      </c>
      <c r="U110" s="76">
        <f t="shared" si="47"/>
        <v>35</v>
      </c>
      <c r="V110" s="76">
        <f t="shared" si="47"/>
        <v>28</v>
      </c>
      <c r="W110" s="76">
        <f t="shared" si="47"/>
        <v>14</v>
      </c>
      <c r="X110" s="76">
        <f t="shared" si="47"/>
        <v>42</v>
      </c>
      <c r="Y110" s="76">
        <f t="shared" si="47"/>
        <v>77</v>
      </c>
      <c r="Z110" s="76">
        <f t="shared" si="47"/>
        <v>77</v>
      </c>
      <c r="AA110" s="76">
        <f t="shared" si="47"/>
        <v>70</v>
      </c>
      <c r="AB110" s="76"/>
      <c r="AC110" s="76"/>
      <c r="AD110" s="76"/>
      <c r="AE110" s="76"/>
    </row>
    <row r="111" ht="12.75" customHeight="1">
      <c r="A111" s="103"/>
      <c r="B111" s="76"/>
      <c r="C111" s="76" t="s">
        <v>76</v>
      </c>
      <c r="D111" s="76">
        <f t="shared" ref="D111:AA111" si="48">ROUND(SUM($D99:$AA99)*D$109,0)</f>
        <v>0</v>
      </c>
      <c r="E111" s="76">
        <f t="shared" si="48"/>
        <v>0</v>
      </c>
      <c r="F111" s="76">
        <f t="shared" si="48"/>
        <v>0</v>
      </c>
      <c r="G111" s="76">
        <f t="shared" si="48"/>
        <v>26</v>
      </c>
      <c r="H111" s="76">
        <f t="shared" si="48"/>
        <v>26</v>
      </c>
      <c r="I111" s="76">
        <f t="shared" si="48"/>
        <v>32</v>
      </c>
      <c r="J111" s="76">
        <f t="shared" si="48"/>
        <v>32</v>
      </c>
      <c r="K111" s="76">
        <f t="shared" si="48"/>
        <v>13</v>
      </c>
      <c r="L111" s="76">
        <f t="shared" si="48"/>
        <v>38</v>
      </c>
      <c r="M111" s="76">
        <f t="shared" si="48"/>
        <v>38</v>
      </c>
      <c r="N111" s="76">
        <f t="shared" si="48"/>
        <v>45</v>
      </c>
      <c r="O111" s="76">
        <f t="shared" si="48"/>
        <v>51</v>
      </c>
      <c r="P111" s="76">
        <f t="shared" si="48"/>
        <v>51</v>
      </c>
      <c r="Q111" s="76">
        <f t="shared" si="48"/>
        <v>58</v>
      </c>
      <c r="R111" s="76">
        <f t="shared" si="48"/>
        <v>58</v>
      </c>
      <c r="S111" s="76">
        <f t="shared" si="48"/>
        <v>58</v>
      </c>
      <c r="T111" s="76">
        <f t="shared" si="48"/>
        <v>38</v>
      </c>
      <c r="U111" s="76">
        <f t="shared" si="48"/>
        <v>32</v>
      </c>
      <c r="V111" s="76">
        <f t="shared" si="48"/>
        <v>26</v>
      </c>
      <c r="W111" s="76">
        <f t="shared" si="48"/>
        <v>13</v>
      </c>
      <c r="X111" s="76">
        <f t="shared" si="48"/>
        <v>38</v>
      </c>
      <c r="Y111" s="76">
        <f t="shared" si="48"/>
        <v>70</v>
      </c>
      <c r="Z111" s="76">
        <f t="shared" si="48"/>
        <v>70</v>
      </c>
      <c r="AA111" s="76">
        <f t="shared" si="48"/>
        <v>64</v>
      </c>
      <c r="AB111" s="76"/>
      <c r="AC111" s="76"/>
      <c r="AD111" s="76"/>
      <c r="AE111" s="76"/>
    </row>
    <row r="112" ht="12.75" customHeight="1">
      <c r="A112" s="103"/>
      <c r="B112" s="76"/>
      <c r="C112" s="76" t="s">
        <v>80</v>
      </c>
      <c r="D112" s="76">
        <f t="shared" ref="D112:AA112" si="49">ROUND(SUM($D100:$AA100)*D$109,0)</f>
        <v>0</v>
      </c>
      <c r="E112" s="76">
        <f t="shared" si="49"/>
        <v>0</v>
      </c>
      <c r="F112" s="76">
        <f t="shared" si="49"/>
        <v>0</v>
      </c>
      <c r="G112" s="76">
        <f t="shared" si="49"/>
        <v>18</v>
      </c>
      <c r="H112" s="76">
        <f t="shared" si="49"/>
        <v>18</v>
      </c>
      <c r="I112" s="76">
        <f t="shared" si="49"/>
        <v>23</v>
      </c>
      <c r="J112" s="76">
        <f t="shared" si="49"/>
        <v>23</v>
      </c>
      <c r="K112" s="76">
        <f t="shared" si="49"/>
        <v>9</v>
      </c>
      <c r="L112" s="76">
        <f t="shared" si="49"/>
        <v>28</v>
      </c>
      <c r="M112" s="76">
        <f t="shared" si="49"/>
        <v>28</v>
      </c>
      <c r="N112" s="76">
        <f t="shared" si="49"/>
        <v>32</v>
      </c>
      <c r="O112" s="76">
        <f t="shared" si="49"/>
        <v>37</v>
      </c>
      <c r="P112" s="76">
        <f t="shared" si="49"/>
        <v>37</v>
      </c>
      <c r="Q112" s="76">
        <f t="shared" si="49"/>
        <v>41</v>
      </c>
      <c r="R112" s="76">
        <f t="shared" si="49"/>
        <v>41</v>
      </c>
      <c r="S112" s="76">
        <f t="shared" si="49"/>
        <v>41</v>
      </c>
      <c r="T112" s="76">
        <f t="shared" si="49"/>
        <v>28</v>
      </c>
      <c r="U112" s="76">
        <f t="shared" si="49"/>
        <v>23</v>
      </c>
      <c r="V112" s="76">
        <f t="shared" si="49"/>
        <v>18</v>
      </c>
      <c r="W112" s="76">
        <f t="shared" si="49"/>
        <v>9</v>
      </c>
      <c r="X112" s="76">
        <f t="shared" si="49"/>
        <v>28</v>
      </c>
      <c r="Y112" s="76">
        <f t="shared" si="49"/>
        <v>51</v>
      </c>
      <c r="Z112" s="76">
        <f t="shared" si="49"/>
        <v>51</v>
      </c>
      <c r="AA112" s="76">
        <f t="shared" si="49"/>
        <v>46</v>
      </c>
      <c r="AB112" s="76"/>
      <c r="AC112" s="76"/>
      <c r="AD112" s="76"/>
      <c r="AE112" s="76"/>
    </row>
    <row r="113" ht="12.75" customHeight="1">
      <c r="A113" s="103"/>
      <c r="B113" s="76"/>
      <c r="C113" s="76" t="s">
        <v>83</v>
      </c>
      <c r="D113" s="76">
        <f t="shared" ref="D113:AA113" si="50">ROUND(SUM($D101:$AA101)*D$109,0)</f>
        <v>0</v>
      </c>
      <c r="E113" s="76">
        <f t="shared" si="50"/>
        <v>0</v>
      </c>
      <c r="F113" s="76">
        <f t="shared" si="50"/>
        <v>0</v>
      </c>
      <c r="G113" s="76">
        <f t="shared" si="50"/>
        <v>28</v>
      </c>
      <c r="H113" s="76">
        <f t="shared" si="50"/>
        <v>28</v>
      </c>
      <c r="I113" s="76">
        <f t="shared" si="50"/>
        <v>35</v>
      </c>
      <c r="J113" s="76">
        <f t="shared" si="50"/>
        <v>35</v>
      </c>
      <c r="K113" s="76">
        <f t="shared" si="50"/>
        <v>14</v>
      </c>
      <c r="L113" s="76">
        <f t="shared" si="50"/>
        <v>42</v>
      </c>
      <c r="M113" s="76">
        <f t="shared" si="50"/>
        <v>42</v>
      </c>
      <c r="N113" s="76">
        <f t="shared" si="50"/>
        <v>49</v>
      </c>
      <c r="O113" s="76">
        <f t="shared" si="50"/>
        <v>56</v>
      </c>
      <c r="P113" s="76">
        <f t="shared" si="50"/>
        <v>56</v>
      </c>
      <c r="Q113" s="76">
        <f t="shared" si="50"/>
        <v>63</v>
      </c>
      <c r="R113" s="76">
        <f t="shared" si="50"/>
        <v>63</v>
      </c>
      <c r="S113" s="76">
        <f t="shared" si="50"/>
        <v>63</v>
      </c>
      <c r="T113" s="76">
        <f t="shared" si="50"/>
        <v>42</v>
      </c>
      <c r="U113" s="76">
        <f t="shared" si="50"/>
        <v>35</v>
      </c>
      <c r="V113" s="76">
        <f t="shared" si="50"/>
        <v>28</v>
      </c>
      <c r="W113" s="76">
        <f t="shared" si="50"/>
        <v>14</v>
      </c>
      <c r="X113" s="76">
        <f t="shared" si="50"/>
        <v>42</v>
      </c>
      <c r="Y113" s="76">
        <f t="shared" si="50"/>
        <v>77</v>
      </c>
      <c r="Z113" s="76">
        <f t="shared" si="50"/>
        <v>77</v>
      </c>
      <c r="AA113" s="76">
        <f t="shared" si="50"/>
        <v>70</v>
      </c>
      <c r="AB113" s="76"/>
      <c r="AC113" s="76"/>
      <c r="AD113" s="76"/>
      <c r="AE113" s="76"/>
    </row>
    <row r="114" ht="12.75" customHeight="1">
      <c r="A114" s="103"/>
      <c r="B114" s="76"/>
      <c r="C114" s="76" t="s">
        <v>87</v>
      </c>
      <c r="D114" s="76">
        <f t="shared" ref="D114:AA114" si="51">ROUND(SUM($D102:$AA102)*D$109,0)</f>
        <v>0</v>
      </c>
      <c r="E114" s="76">
        <f t="shared" si="51"/>
        <v>0</v>
      </c>
      <c r="F114" s="76">
        <f t="shared" si="51"/>
        <v>0</v>
      </c>
      <c r="G114" s="76">
        <f t="shared" si="51"/>
        <v>22</v>
      </c>
      <c r="H114" s="76">
        <f t="shared" si="51"/>
        <v>22</v>
      </c>
      <c r="I114" s="76">
        <f t="shared" si="51"/>
        <v>27</v>
      </c>
      <c r="J114" s="76">
        <f t="shared" si="51"/>
        <v>27</v>
      </c>
      <c r="K114" s="76">
        <f t="shared" si="51"/>
        <v>11</v>
      </c>
      <c r="L114" s="76">
        <f t="shared" si="51"/>
        <v>32</v>
      </c>
      <c r="M114" s="76">
        <f t="shared" si="51"/>
        <v>32</v>
      </c>
      <c r="N114" s="76">
        <f t="shared" si="51"/>
        <v>38</v>
      </c>
      <c r="O114" s="76">
        <f t="shared" si="51"/>
        <v>43</v>
      </c>
      <c r="P114" s="76">
        <f t="shared" si="51"/>
        <v>43</v>
      </c>
      <c r="Q114" s="76">
        <f t="shared" si="51"/>
        <v>49</v>
      </c>
      <c r="R114" s="76">
        <f t="shared" si="51"/>
        <v>49</v>
      </c>
      <c r="S114" s="76">
        <f t="shared" si="51"/>
        <v>49</v>
      </c>
      <c r="T114" s="76">
        <f t="shared" si="51"/>
        <v>32</v>
      </c>
      <c r="U114" s="76">
        <f t="shared" si="51"/>
        <v>27</v>
      </c>
      <c r="V114" s="76">
        <f t="shared" si="51"/>
        <v>22</v>
      </c>
      <c r="W114" s="76">
        <f t="shared" si="51"/>
        <v>11</v>
      </c>
      <c r="X114" s="76">
        <f t="shared" si="51"/>
        <v>32</v>
      </c>
      <c r="Y114" s="76">
        <f t="shared" si="51"/>
        <v>59</v>
      </c>
      <c r="Z114" s="76">
        <f t="shared" si="51"/>
        <v>59</v>
      </c>
      <c r="AA114" s="76">
        <f t="shared" si="51"/>
        <v>54</v>
      </c>
      <c r="AB114" s="76"/>
      <c r="AC114" s="76"/>
      <c r="AD114" s="76"/>
      <c r="AE114" s="76"/>
    </row>
    <row r="115" ht="12.75" customHeight="1">
      <c r="A115" s="103"/>
      <c r="B115" s="76"/>
      <c r="C115" s="76" t="s">
        <v>464</v>
      </c>
      <c r="D115" s="76">
        <f t="shared" ref="D115:AA115" si="52">ROUND(SUM($D103:$AA103)*D$109,0)</f>
        <v>0</v>
      </c>
      <c r="E115" s="76">
        <f t="shared" si="52"/>
        <v>0</v>
      </c>
      <c r="F115" s="76">
        <f t="shared" si="52"/>
        <v>0</v>
      </c>
      <c r="G115" s="76">
        <f t="shared" si="52"/>
        <v>7</v>
      </c>
      <c r="H115" s="76">
        <f t="shared" si="52"/>
        <v>7</v>
      </c>
      <c r="I115" s="76">
        <f t="shared" si="52"/>
        <v>9</v>
      </c>
      <c r="J115" s="76">
        <f t="shared" si="52"/>
        <v>9</v>
      </c>
      <c r="K115" s="76">
        <f t="shared" si="52"/>
        <v>4</v>
      </c>
      <c r="L115" s="76">
        <f t="shared" si="52"/>
        <v>11</v>
      </c>
      <c r="M115" s="76">
        <f t="shared" si="52"/>
        <v>11</v>
      </c>
      <c r="N115" s="76">
        <f t="shared" si="52"/>
        <v>13</v>
      </c>
      <c r="O115" s="76">
        <f t="shared" si="52"/>
        <v>14</v>
      </c>
      <c r="P115" s="76">
        <f t="shared" si="52"/>
        <v>14</v>
      </c>
      <c r="Q115" s="76">
        <f t="shared" si="52"/>
        <v>16</v>
      </c>
      <c r="R115" s="76">
        <f t="shared" si="52"/>
        <v>16</v>
      </c>
      <c r="S115" s="76">
        <f t="shared" si="52"/>
        <v>16</v>
      </c>
      <c r="T115" s="76">
        <f t="shared" si="52"/>
        <v>11</v>
      </c>
      <c r="U115" s="76">
        <f t="shared" si="52"/>
        <v>9</v>
      </c>
      <c r="V115" s="76">
        <f t="shared" si="52"/>
        <v>7</v>
      </c>
      <c r="W115" s="76">
        <f t="shared" si="52"/>
        <v>4</v>
      </c>
      <c r="X115" s="76">
        <f t="shared" si="52"/>
        <v>11</v>
      </c>
      <c r="Y115" s="76">
        <f t="shared" si="52"/>
        <v>20</v>
      </c>
      <c r="Z115" s="76">
        <f t="shared" si="52"/>
        <v>20</v>
      </c>
      <c r="AA115" s="76">
        <f t="shared" si="52"/>
        <v>18</v>
      </c>
      <c r="AB115" s="76"/>
      <c r="AC115" s="76"/>
      <c r="AD115" s="76"/>
      <c r="AE115" s="76"/>
    </row>
    <row r="116" ht="12.75" customHeight="1">
      <c r="A116" s="103"/>
      <c r="B116" s="76"/>
      <c r="D116" s="93">
        <f t="shared" ref="D116:AA116" si="53">SUM(D110:D115)</f>
        <v>0</v>
      </c>
      <c r="E116" s="93">
        <f t="shared" si="53"/>
        <v>0</v>
      </c>
      <c r="F116" s="93">
        <f t="shared" si="53"/>
        <v>0</v>
      </c>
      <c r="G116" s="93">
        <f t="shared" si="53"/>
        <v>129</v>
      </c>
      <c r="H116" s="93">
        <f t="shared" si="53"/>
        <v>129</v>
      </c>
      <c r="I116" s="93">
        <f t="shared" si="53"/>
        <v>161</v>
      </c>
      <c r="J116" s="93">
        <f t="shared" si="53"/>
        <v>161</v>
      </c>
      <c r="K116" s="93">
        <f t="shared" si="53"/>
        <v>65</v>
      </c>
      <c r="L116" s="93">
        <f t="shared" si="53"/>
        <v>193</v>
      </c>
      <c r="M116" s="93">
        <f t="shared" si="53"/>
        <v>193</v>
      </c>
      <c r="N116" s="93">
        <f t="shared" si="53"/>
        <v>226</v>
      </c>
      <c r="O116" s="93">
        <f t="shared" si="53"/>
        <v>257</v>
      </c>
      <c r="P116" s="93">
        <f t="shared" si="53"/>
        <v>257</v>
      </c>
      <c r="Q116" s="93">
        <f t="shared" si="53"/>
        <v>290</v>
      </c>
      <c r="R116" s="93">
        <f t="shared" si="53"/>
        <v>290</v>
      </c>
      <c r="S116" s="93">
        <f t="shared" si="53"/>
        <v>290</v>
      </c>
      <c r="T116" s="93">
        <f t="shared" si="53"/>
        <v>193</v>
      </c>
      <c r="U116" s="93">
        <f t="shared" si="53"/>
        <v>161</v>
      </c>
      <c r="V116" s="93">
        <f t="shared" si="53"/>
        <v>129</v>
      </c>
      <c r="W116" s="93">
        <f t="shared" si="53"/>
        <v>65</v>
      </c>
      <c r="X116" s="93">
        <f t="shared" si="53"/>
        <v>193</v>
      </c>
      <c r="Y116" s="93">
        <f t="shared" si="53"/>
        <v>354</v>
      </c>
      <c r="Z116" s="93">
        <f t="shared" si="53"/>
        <v>354</v>
      </c>
      <c r="AA116" s="93">
        <f t="shared" si="53"/>
        <v>322</v>
      </c>
      <c r="AB116" s="76"/>
      <c r="AC116" s="76"/>
      <c r="AD116" s="76"/>
      <c r="AE116" s="76"/>
    </row>
    <row r="117" ht="12.75" customHeight="1">
      <c r="A117" s="103"/>
      <c r="B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 ht="12.75" customHeight="1">
      <c r="A118" s="103"/>
      <c r="B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 ht="12.75" customHeight="1">
      <c r="A119" s="103"/>
      <c r="B119" s="76"/>
      <c r="C119" s="80" t="s">
        <v>163</v>
      </c>
      <c r="AB119" s="76"/>
      <c r="AC119" s="76"/>
      <c r="AD119" s="76"/>
      <c r="AE119" s="76"/>
    </row>
    <row r="120" ht="12.75" customHeight="1">
      <c r="A120" s="103"/>
      <c r="B120" s="76"/>
      <c r="C120" s="76"/>
      <c r="D120" s="76">
        <v>2024.0</v>
      </c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>
        <v>2025.0</v>
      </c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 ht="12.75" customHeight="1">
      <c r="A121" s="103"/>
      <c r="B121" s="76"/>
      <c r="C121" s="82" t="s">
        <v>159</v>
      </c>
      <c r="D121" s="76">
        <v>1.0</v>
      </c>
      <c r="E121" s="76">
        <v>2.0</v>
      </c>
      <c r="F121" s="76">
        <v>3.0</v>
      </c>
      <c r="G121" s="76">
        <v>4.0</v>
      </c>
      <c r="H121" s="76">
        <v>5.0</v>
      </c>
      <c r="I121" s="76">
        <v>6.0</v>
      </c>
      <c r="J121" s="76">
        <v>7.0</v>
      </c>
      <c r="K121" s="76">
        <v>8.0</v>
      </c>
      <c r="L121" s="76">
        <v>9.0</v>
      </c>
      <c r="M121" s="76">
        <v>10.0</v>
      </c>
      <c r="N121" s="76">
        <v>11.0</v>
      </c>
      <c r="O121" s="76">
        <v>12.0</v>
      </c>
      <c r="P121" s="76">
        <v>1.0</v>
      </c>
      <c r="Q121" s="76">
        <v>2.0</v>
      </c>
      <c r="R121" s="76">
        <v>3.0</v>
      </c>
      <c r="S121" s="76">
        <v>4.0</v>
      </c>
      <c r="T121" s="76">
        <v>5.0</v>
      </c>
      <c r="U121" s="76">
        <v>6.0</v>
      </c>
      <c r="V121" s="76">
        <v>7.0</v>
      </c>
      <c r="W121" s="76">
        <v>8.0</v>
      </c>
      <c r="X121" s="76">
        <v>9.0</v>
      </c>
      <c r="Y121" s="76">
        <v>10.0</v>
      </c>
      <c r="Z121" s="76">
        <v>11.0</v>
      </c>
      <c r="AA121" s="76">
        <v>12.0</v>
      </c>
      <c r="AB121" s="76"/>
      <c r="AC121" s="76"/>
      <c r="AD121" s="76"/>
      <c r="AE121" s="76"/>
    </row>
    <row r="122" ht="12.75" customHeight="1">
      <c r="A122" s="103"/>
      <c r="B122" s="76"/>
      <c r="C122" s="82" t="s">
        <v>164</v>
      </c>
      <c r="D122" s="107">
        <f t="shared" ref="D122:AA122" si="54">D123/24</f>
        <v>0</v>
      </c>
      <c r="E122" s="107">
        <f t="shared" si="54"/>
        <v>0</v>
      </c>
      <c r="F122" s="107">
        <f t="shared" si="54"/>
        <v>0</v>
      </c>
      <c r="G122" s="107">
        <f t="shared" si="54"/>
        <v>63.29166667</v>
      </c>
      <c r="H122" s="107">
        <f t="shared" si="54"/>
        <v>63.29166667</v>
      </c>
      <c r="I122" s="107">
        <f t="shared" si="54"/>
        <v>78.7594697</v>
      </c>
      <c r="J122" s="107">
        <f t="shared" si="54"/>
        <v>78.7594697</v>
      </c>
      <c r="K122" s="107">
        <f t="shared" si="54"/>
        <v>31.64583333</v>
      </c>
      <c r="L122" s="107">
        <f t="shared" si="54"/>
        <v>94.22727273</v>
      </c>
      <c r="M122" s="107">
        <f t="shared" si="54"/>
        <v>94.22727273</v>
      </c>
      <c r="N122" s="107">
        <f t="shared" si="54"/>
        <v>110.405303</v>
      </c>
      <c r="O122" s="107">
        <f t="shared" si="54"/>
        <v>125.8731061</v>
      </c>
      <c r="P122" s="107">
        <f t="shared" si="54"/>
        <v>125.8731061</v>
      </c>
      <c r="Q122" s="107">
        <f t="shared" si="54"/>
        <v>142.0511364</v>
      </c>
      <c r="R122" s="107">
        <f t="shared" si="54"/>
        <v>142.0511364</v>
      </c>
      <c r="S122" s="107">
        <f t="shared" si="54"/>
        <v>142.0511364</v>
      </c>
      <c r="T122" s="107">
        <f t="shared" si="54"/>
        <v>94.22727273</v>
      </c>
      <c r="U122" s="107">
        <f t="shared" si="54"/>
        <v>78.7594697</v>
      </c>
      <c r="V122" s="107">
        <f t="shared" si="54"/>
        <v>63.29166667</v>
      </c>
      <c r="W122" s="107">
        <f t="shared" si="54"/>
        <v>31.64583333</v>
      </c>
      <c r="X122" s="107">
        <f t="shared" si="54"/>
        <v>94.22727273</v>
      </c>
      <c r="Y122" s="107">
        <f t="shared" si="54"/>
        <v>172.9867424</v>
      </c>
      <c r="Z122" s="107">
        <f t="shared" si="54"/>
        <v>172.9867424</v>
      </c>
      <c r="AA122" s="107">
        <f t="shared" si="54"/>
        <v>157.5189394</v>
      </c>
      <c r="AB122" s="76"/>
      <c r="AC122" s="76"/>
      <c r="AD122" s="76"/>
      <c r="AE122" s="76"/>
    </row>
    <row r="123" ht="12.75" customHeight="1">
      <c r="A123" s="103"/>
      <c r="B123" s="76"/>
      <c r="C123" s="82" t="s">
        <v>165</v>
      </c>
      <c r="D123" s="108">
        <f t="shared" ref="D123:AA123" si="55">SUM(D124:D129)</f>
        <v>0</v>
      </c>
      <c r="E123" s="108">
        <f t="shared" si="55"/>
        <v>0</v>
      </c>
      <c r="F123" s="108">
        <f t="shared" si="55"/>
        <v>0</v>
      </c>
      <c r="G123" s="108">
        <f t="shared" si="55"/>
        <v>1519</v>
      </c>
      <c r="H123" s="108">
        <f t="shared" si="55"/>
        <v>1519</v>
      </c>
      <c r="I123" s="108">
        <f t="shared" si="55"/>
        <v>1890.227273</v>
      </c>
      <c r="J123" s="108">
        <f t="shared" si="55"/>
        <v>1890.227273</v>
      </c>
      <c r="K123" s="108">
        <f t="shared" si="55"/>
        <v>759.5</v>
      </c>
      <c r="L123" s="108">
        <f t="shared" si="55"/>
        <v>2261.454545</v>
      </c>
      <c r="M123" s="108">
        <f t="shared" si="55"/>
        <v>2261.454545</v>
      </c>
      <c r="N123" s="108">
        <f t="shared" si="55"/>
        <v>2649.727273</v>
      </c>
      <c r="O123" s="108">
        <f t="shared" si="55"/>
        <v>3020.954545</v>
      </c>
      <c r="P123" s="109">
        <f t="shared" si="55"/>
        <v>3020.954545</v>
      </c>
      <c r="Q123" s="109">
        <f t="shared" si="55"/>
        <v>3409.227273</v>
      </c>
      <c r="R123" s="109">
        <f t="shared" si="55"/>
        <v>3409.227273</v>
      </c>
      <c r="S123" s="109">
        <f t="shared" si="55"/>
        <v>3409.227273</v>
      </c>
      <c r="T123" s="109">
        <f t="shared" si="55"/>
        <v>2261.454545</v>
      </c>
      <c r="U123" s="109">
        <f t="shared" si="55"/>
        <v>1890.227273</v>
      </c>
      <c r="V123" s="109">
        <f t="shared" si="55"/>
        <v>1519</v>
      </c>
      <c r="W123" s="109">
        <f t="shared" si="55"/>
        <v>759.5</v>
      </c>
      <c r="X123" s="109">
        <f t="shared" si="55"/>
        <v>2261.454545</v>
      </c>
      <c r="Y123" s="109">
        <f t="shared" si="55"/>
        <v>4151.681818</v>
      </c>
      <c r="Z123" s="109">
        <f t="shared" si="55"/>
        <v>4151.681818</v>
      </c>
      <c r="AA123" s="109">
        <f t="shared" si="55"/>
        <v>3780.454545</v>
      </c>
      <c r="AB123" s="76"/>
      <c r="AC123" s="76"/>
      <c r="AD123" s="76"/>
      <c r="AE123" s="76"/>
    </row>
    <row r="124" ht="12.75" customHeight="1">
      <c r="A124" s="103"/>
      <c r="B124" s="595">
        <f>UNIT_PRICE_CLIENT_A</f>
        <v>5</v>
      </c>
      <c r="C124" s="76" t="s">
        <v>148</v>
      </c>
      <c r="D124" s="76">
        <f t="shared" ref="D124:AA124" si="56">D110*$B124</f>
        <v>0</v>
      </c>
      <c r="E124" s="76">
        <f t="shared" si="56"/>
        <v>0</v>
      </c>
      <c r="F124" s="76">
        <f t="shared" si="56"/>
        <v>0</v>
      </c>
      <c r="G124" s="76">
        <f t="shared" si="56"/>
        <v>140</v>
      </c>
      <c r="H124" s="76">
        <f t="shared" si="56"/>
        <v>140</v>
      </c>
      <c r="I124" s="76">
        <f t="shared" si="56"/>
        <v>175</v>
      </c>
      <c r="J124" s="76">
        <f t="shared" si="56"/>
        <v>175</v>
      </c>
      <c r="K124" s="76">
        <f t="shared" si="56"/>
        <v>70</v>
      </c>
      <c r="L124" s="76">
        <f t="shared" si="56"/>
        <v>210</v>
      </c>
      <c r="M124" s="76">
        <f t="shared" si="56"/>
        <v>210</v>
      </c>
      <c r="N124" s="76">
        <f t="shared" si="56"/>
        <v>245</v>
      </c>
      <c r="O124" s="76">
        <f t="shared" si="56"/>
        <v>280</v>
      </c>
      <c r="P124" s="76">
        <f t="shared" si="56"/>
        <v>280</v>
      </c>
      <c r="Q124" s="76">
        <f t="shared" si="56"/>
        <v>315</v>
      </c>
      <c r="R124" s="76">
        <f t="shared" si="56"/>
        <v>315</v>
      </c>
      <c r="S124" s="76">
        <f t="shared" si="56"/>
        <v>315</v>
      </c>
      <c r="T124" s="76">
        <f t="shared" si="56"/>
        <v>210</v>
      </c>
      <c r="U124" s="76">
        <f t="shared" si="56"/>
        <v>175</v>
      </c>
      <c r="V124" s="76">
        <f t="shared" si="56"/>
        <v>140</v>
      </c>
      <c r="W124" s="76">
        <f t="shared" si="56"/>
        <v>70</v>
      </c>
      <c r="X124" s="76">
        <f t="shared" si="56"/>
        <v>210</v>
      </c>
      <c r="Y124" s="76">
        <f t="shared" si="56"/>
        <v>385</v>
      </c>
      <c r="Z124" s="76">
        <f t="shared" si="56"/>
        <v>385</v>
      </c>
      <c r="AA124" s="76">
        <f t="shared" si="56"/>
        <v>350</v>
      </c>
      <c r="AB124" s="76"/>
      <c r="AC124" s="76"/>
      <c r="AD124" s="76"/>
      <c r="AE124" s="76"/>
    </row>
    <row r="125" ht="12.75" customHeight="1">
      <c r="A125" s="103"/>
      <c r="B125" s="595">
        <f>UNIT_PRICE_CLIENT_B</f>
        <v>9.181818182</v>
      </c>
      <c r="C125" s="76" t="s">
        <v>76</v>
      </c>
      <c r="D125" s="76">
        <f t="shared" ref="D125:AA125" si="57">D111*$B125</f>
        <v>0</v>
      </c>
      <c r="E125" s="76">
        <f t="shared" si="57"/>
        <v>0</v>
      </c>
      <c r="F125" s="76">
        <f t="shared" si="57"/>
        <v>0</v>
      </c>
      <c r="G125" s="76">
        <f t="shared" si="57"/>
        <v>238.7272727</v>
      </c>
      <c r="H125" s="76">
        <f t="shared" si="57"/>
        <v>238.7272727</v>
      </c>
      <c r="I125" s="76">
        <f t="shared" si="57"/>
        <v>293.8181818</v>
      </c>
      <c r="J125" s="76">
        <f t="shared" si="57"/>
        <v>293.8181818</v>
      </c>
      <c r="K125" s="76">
        <f t="shared" si="57"/>
        <v>119.3636364</v>
      </c>
      <c r="L125" s="76">
        <f t="shared" si="57"/>
        <v>348.9090909</v>
      </c>
      <c r="M125" s="76">
        <f t="shared" si="57"/>
        <v>348.9090909</v>
      </c>
      <c r="N125" s="76">
        <f t="shared" si="57"/>
        <v>413.1818182</v>
      </c>
      <c r="O125" s="76">
        <f t="shared" si="57"/>
        <v>468.2727273</v>
      </c>
      <c r="P125" s="76">
        <f t="shared" si="57"/>
        <v>468.2727273</v>
      </c>
      <c r="Q125" s="76">
        <f t="shared" si="57"/>
        <v>532.5454545</v>
      </c>
      <c r="R125" s="76">
        <f t="shared" si="57"/>
        <v>532.5454545</v>
      </c>
      <c r="S125" s="76">
        <f t="shared" si="57"/>
        <v>532.5454545</v>
      </c>
      <c r="T125" s="76">
        <f t="shared" si="57"/>
        <v>348.9090909</v>
      </c>
      <c r="U125" s="76">
        <f t="shared" si="57"/>
        <v>293.8181818</v>
      </c>
      <c r="V125" s="76">
        <f t="shared" si="57"/>
        <v>238.7272727</v>
      </c>
      <c r="W125" s="76">
        <f t="shared" si="57"/>
        <v>119.3636364</v>
      </c>
      <c r="X125" s="76">
        <f t="shared" si="57"/>
        <v>348.9090909</v>
      </c>
      <c r="Y125" s="76">
        <f t="shared" si="57"/>
        <v>642.7272727</v>
      </c>
      <c r="Z125" s="76">
        <f t="shared" si="57"/>
        <v>642.7272727</v>
      </c>
      <c r="AA125" s="76">
        <f t="shared" si="57"/>
        <v>587.6363636</v>
      </c>
      <c r="AB125" s="76"/>
      <c r="AC125" s="76"/>
      <c r="AD125" s="76"/>
      <c r="AE125" s="76"/>
    </row>
    <row r="126" ht="12.75" customHeight="1">
      <c r="A126" s="103"/>
      <c r="B126" s="595">
        <f>UNIT_PRICE_CLIENT_C</f>
        <v>12.72727273</v>
      </c>
      <c r="C126" s="76" t="s">
        <v>80</v>
      </c>
      <c r="D126" s="76">
        <f t="shared" ref="D126:AA126" si="58">D112*$B126</f>
        <v>0</v>
      </c>
      <c r="E126" s="76">
        <f t="shared" si="58"/>
        <v>0</v>
      </c>
      <c r="F126" s="76">
        <f t="shared" si="58"/>
        <v>0</v>
      </c>
      <c r="G126" s="76">
        <f t="shared" si="58"/>
        <v>229.0909091</v>
      </c>
      <c r="H126" s="76">
        <f t="shared" si="58"/>
        <v>229.0909091</v>
      </c>
      <c r="I126" s="76">
        <f t="shared" si="58"/>
        <v>292.7272727</v>
      </c>
      <c r="J126" s="76">
        <f t="shared" si="58"/>
        <v>292.7272727</v>
      </c>
      <c r="K126" s="76">
        <f t="shared" si="58"/>
        <v>114.5454545</v>
      </c>
      <c r="L126" s="76">
        <f t="shared" si="58"/>
        <v>356.3636364</v>
      </c>
      <c r="M126" s="76">
        <f t="shared" si="58"/>
        <v>356.3636364</v>
      </c>
      <c r="N126" s="76">
        <f t="shared" si="58"/>
        <v>407.2727273</v>
      </c>
      <c r="O126" s="76">
        <f t="shared" si="58"/>
        <v>470.9090909</v>
      </c>
      <c r="P126" s="76">
        <f t="shared" si="58"/>
        <v>470.9090909</v>
      </c>
      <c r="Q126" s="76">
        <f t="shared" si="58"/>
        <v>521.8181818</v>
      </c>
      <c r="R126" s="76">
        <f t="shared" si="58"/>
        <v>521.8181818</v>
      </c>
      <c r="S126" s="76">
        <f t="shared" si="58"/>
        <v>521.8181818</v>
      </c>
      <c r="T126" s="76">
        <f t="shared" si="58"/>
        <v>356.3636364</v>
      </c>
      <c r="U126" s="76">
        <f t="shared" si="58"/>
        <v>292.7272727</v>
      </c>
      <c r="V126" s="76">
        <f t="shared" si="58"/>
        <v>229.0909091</v>
      </c>
      <c r="W126" s="76">
        <f t="shared" si="58"/>
        <v>114.5454545</v>
      </c>
      <c r="X126" s="76">
        <f t="shared" si="58"/>
        <v>356.3636364</v>
      </c>
      <c r="Y126" s="76">
        <f t="shared" si="58"/>
        <v>649.0909091</v>
      </c>
      <c r="Z126" s="76">
        <f t="shared" si="58"/>
        <v>649.0909091</v>
      </c>
      <c r="AA126" s="76">
        <f t="shared" si="58"/>
        <v>585.4545455</v>
      </c>
      <c r="AB126" s="76"/>
      <c r="AC126" s="76"/>
      <c r="AD126" s="76"/>
      <c r="AE126" s="76"/>
    </row>
    <row r="127" ht="12.75" customHeight="1">
      <c r="A127" s="103"/>
      <c r="B127" s="595">
        <f>UNIT_PRICE_CLIENT_D</f>
        <v>16.36363636</v>
      </c>
      <c r="C127" s="76" t="s">
        <v>83</v>
      </c>
      <c r="D127" s="76">
        <f t="shared" ref="D127:AA127" si="59">D113*$B127</f>
        <v>0</v>
      </c>
      <c r="E127" s="76">
        <f t="shared" si="59"/>
        <v>0</v>
      </c>
      <c r="F127" s="76">
        <f t="shared" si="59"/>
        <v>0</v>
      </c>
      <c r="G127" s="76">
        <f t="shared" si="59"/>
        <v>458.1818182</v>
      </c>
      <c r="H127" s="76">
        <f t="shared" si="59"/>
        <v>458.1818182</v>
      </c>
      <c r="I127" s="76">
        <f t="shared" si="59"/>
        <v>572.7272727</v>
      </c>
      <c r="J127" s="76">
        <f t="shared" si="59"/>
        <v>572.7272727</v>
      </c>
      <c r="K127" s="76">
        <f t="shared" si="59"/>
        <v>229.0909091</v>
      </c>
      <c r="L127" s="76">
        <f t="shared" si="59"/>
        <v>687.2727273</v>
      </c>
      <c r="M127" s="76">
        <f t="shared" si="59"/>
        <v>687.2727273</v>
      </c>
      <c r="N127" s="76">
        <f t="shared" si="59"/>
        <v>801.8181818</v>
      </c>
      <c r="O127" s="76">
        <f t="shared" si="59"/>
        <v>916.3636364</v>
      </c>
      <c r="P127" s="76">
        <f t="shared" si="59"/>
        <v>916.3636364</v>
      </c>
      <c r="Q127" s="76">
        <f t="shared" si="59"/>
        <v>1030.909091</v>
      </c>
      <c r="R127" s="76">
        <f t="shared" si="59"/>
        <v>1030.909091</v>
      </c>
      <c r="S127" s="76">
        <f t="shared" si="59"/>
        <v>1030.909091</v>
      </c>
      <c r="T127" s="76">
        <f t="shared" si="59"/>
        <v>687.2727273</v>
      </c>
      <c r="U127" s="76">
        <f t="shared" si="59"/>
        <v>572.7272727</v>
      </c>
      <c r="V127" s="76">
        <f t="shared" si="59"/>
        <v>458.1818182</v>
      </c>
      <c r="W127" s="76">
        <f t="shared" si="59"/>
        <v>229.0909091</v>
      </c>
      <c r="X127" s="76">
        <f t="shared" si="59"/>
        <v>687.2727273</v>
      </c>
      <c r="Y127" s="76">
        <f t="shared" si="59"/>
        <v>1260</v>
      </c>
      <c r="Z127" s="76">
        <f t="shared" si="59"/>
        <v>1260</v>
      </c>
      <c r="AA127" s="76">
        <f t="shared" si="59"/>
        <v>1145.454545</v>
      </c>
      <c r="AB127" s="76"/>
      <c r="AC127" s="76"/>
      <c r="AD127" s="76"/>
      <c r="AE127" s="76"/>
    </row>
    <row r="128" ht="12.75" customHeight="1">
      <c r="A128" s="103"/>
      <c r="B128" s="595">
        <f>UNIT_PRICE_CLIENT_E</f>
        <v>20.59090909</v>
      </c>
      <c r="C128" s="76" t="s">
        <v>87</v>
      </c>
      <c r="D128" s="76">
        <f t="shared" ref="D128:AA128" si="60">D114*$B128</f>
        <v>0</v>
      </c>
      <c r="E128" s="76">
        <f t="shared" si="60"/>
        <v>0</v>
      </c>
      <c r="F128" s="76">
        <f t="shared" si="60"/>
        <v>0</v>
      </c>
      <c r="G128" s="76">
        <f t="shared" si="60"/>
        <v>453</v>
      </c>
      <c r="H128" s="76">
        <f t="shared" si="60"/>
        <v>453</v>
      </c>
      <c r="I128" s="76">
        <f t="shared" si="60"/>
        <v>555.9545455</v>
      </c>
      <c r="J128" s="76">
        <f t="shared" si="60"/>
        <v>555.9545455</v>
      </c>
      <c r="K128" s="76">
        <f t="shared" si="60"/>
        <v>226.5</v>
      </c>
      <c r="L128" s="76">
        <f t="shared" si="60"/>
        <v>658.9090909</v>
      </c>
      <c r="M128" s="76">
        <f t="shared" si="60"/>
        <v>658.9090909</v>
      </c>
      <c r="N128" s="76">
        <f t="shared" si="60"/>
        <v>782.4545455</v>
      </c>
      <c r="O128" s="76">
        <f t="shared" si="60"/>
        <v>885.4090909</v>
      </c>
      <c r="P128" s="76">
        <f t="shared" si="60"/>
        <v>885.4090909</v>
      </c>
      <c r="Q128" s="76">
        <f t="shared" si="60"/>
        <v>1008.954545</v>
      </c>
      <c r="R128" s="76">
        <f t="shared" si="60"/>
        <v>1008.954545</v>
      </c>
      <c r="S128" s="76">
        <f t="shared" si="60"/>
        <v>1008.954545</v>
      </c>
      <c r="T128" s="76">
        <f t="shared" si="60"/>
        <v>658.9090909</v>
      </c>
      <c r="U128" s="76">
        <f t="shared" si="60"/>
        <v>555.9545455</v>
      </c>
      <c r="V128" s="76">
        <f t="shared" si="60"/>
        <v>453</v>
      </c>
      <c r="W128" s="76">
        <f t="shared" si="60"/>
        <v>226.5</v>
      </c>
      <c r="X128" s="76">
        <f t="shared" si="60"/>
        <v>658.9090909</v>
      </c>
      <c r="Y128" s="76">
        <f t="shared" si="60"/>
        <v>1214.863636</v>
      </c>
      <c r="Z128" s="76">
        <f t="shared" si="60"/>
        <v>1214.863636</v>
      </c>
      <c r="AA128" s="76">
        <f t="shared" si="60"/>
        <v>1111.909091</v>
      </c>
      <c r="AB128" s="76"/>
      <c r="AC128" s="76"/>
      <c r="AD128" s="76"/>
      <c r="AE128" s="76"/>
    </row>
    <row r="129" ht="12.75" customHeight="1">
      <c r="A129" s="103"/>
      <c r="B129" s="595">
        <f>UNIT_PRICE_CLIENT_F</f>
        <v>0</v>
      </c>
      <c r="C129" s="76" t="s">
        <v>464</v>
      </c>
      <c r="D129" s="76">
        <f t="shared" ref="D129:AA129" si="61">D115*$B129</f>
        <v>0</v>
      </c>
      <c r="E129" s="76">
        <f t="shared" si="61"/>
        <v>0</v>
      </c>
      <c r="F129" s="76">
        <f t="shared" si="61"/>
        <v>0</v>
      </c>
      <c r="G129" s="76">
        <f t="shared" si="61"/>
        <v>0</v>
      </c>
      <c r="H129" s="76">
        <f t="shared" si="61"/>
        <v>0</v>
      </c>
      <c r="I129" s="76">
        <f t="shared" si="61"/>
        <v>0</v>
      </c>
      <c r="J129" s="76">
        <f t="shared" si="61"/>
        <v>0</v>
      </c>
      <c r="K129" s="76">
        <f t="shared" si="61"/>
        <v>0</v>
      </c>
      <c r="L129" s="76">
        <f t="shared" si="61"/>
        <v>0</v>
      </c>
      <c r="M129" s="76">
        <f t="shared" si="61"/>
        <v>0</v>
      </c>
      <c r="N129" s="76">
        <f t="shared" si="61"/>
        <v>0</v>
      </c>
      <c r="O129" s="76">
        <f t="shared" si="61"/>
        <v>0</v>
      </c>
      <c r="P129" s="76">
        <f t="shared" si="61"/>
        <v>0</v>
      </c>
      <c r="Q129" s="76">
        <f t="shared" si="61"/>
        <v>0</v>
      </c>
      <c r="R129" s="76">
        <f t="shared" si="61"/>
        <v>0</v>
      </c>
      <c r="S129" s="76">
        <f t="shared" si="61"/>
        <v>0</v>
      </c>
      <c r="T129" s="76">
        <f t="shared" si="61"/>
        <v>0</v>
      </c>
      <c r="U129" s="76">
        <f t="shared" si="61"/>
        <v>0</v>
      </c>
      <c r="V129" s="76">
        <f t="shared" si="61"/>
        <v>0</v>
      </c>
      <c r="W129" s="76">
        <f t="shared" si="61"/>
        <v>0</v>
      </c>
      <c r="X129" s="76">
        <f t="shared" si="61"/>
        <v>0</v>
      </c>
      <c r="Y129" s="76">
        <f t="shared" si="61"/>
        <v>0</v>
      </c>
      <c r="Z129" s="76">
        <f t="shared" si="61"/>
        <v>0</v>
      </c>
      <c r="AA129" s="76">
        <f t="shared" si="61"/>
        <v>0</v>
      </c>
      <c r="AB129" s="76"/>
      <c r="AC129" s="76"/>
      <c r="AD129" s="76"/>
      <c r="AE129" s="76"/>
    </row>
    <row r="130" ht="12.75" customHeight="1">
      <c r="A130" s="103"/>
      <c r="B130" s="76"/>
      <c r="D130" s="112">
        <f>SUM(D123:O123)</f>
        <v>17771.54545</v>
      </c>
      <c r="P130" s="113">
        <f>SUM(P123:AA123)</f>
        <v>34024.09091</v>
      </c>
      <c r="AB130" s="76"/>
      <c r="AC130" s="76"/>
      <c r="AD130" s="76"/>
      <c r="AE130" s="76"/>
    </row>
    <row r="131" ht="12.75" customHeight="1">
      <c r="A131" s="103"/>
      <c r="B131" s="76"/>
      <c r="C131" s="76"/>
      <c r="AB131" s="76"/>
      <c r="AC131" s="76"/>
      <c r="AD131" s="76"/>
      <c r="AE131" s="76"/>
    </row>
    <row r="132" ht="12.75" customHeight="1">
      <c r="A132" s="103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115">
        <f>(P130-D130)/D130</f>
        <v>0.9145262856</v>
      </c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 ht="12.75" customHeight="1">
      <c r="A133" s="103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 ht="12.75" customHeight="1">
      <c r="A134" s="103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 ht="12.75" customHeight="1">
      <c r="A135" s="103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 ht="12.75" customHeight="1">
      <c r="A136" s="103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 ht="12.75" customHeight="1">
      <c r="A137" s="103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 ht="12.75" customHeight="1">
      <c r="A138" s="76"/>
      <c r="B138" s="117" t="s">
        <v>177</v>
      </c>
      <c r="C138" s="117" t="s">
        <v>178</v>
      </c>
      <c r="D138" s="117">
        <v>2024.0</v>
      </c>
      <c r="E138" s="117">
        <v>2025.0</v>
      </c>
      <c r="F138" s="117">
        <v>2026.0</v>
      </c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 ht="12.75" customHeight="1">
      <c r="A139" s="596" t="s">
        <v>179</v>
      </c>
      <c r="B139" s="117"/>
      <c r="C139" s="117"/>
      <c r="D139" s="117"/>
      <c r="E139" s="117"/>
      <c r="F139" s="117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 ht="12.75" customHeight="1">
      <c r="A140" s="76"/>
      <c r="B140" s="117">
        <v>8.0</v>
      </c>
      <c r="C140" s="117" t="s">
        <v>180</v>
      </c>
      <c r="D140" s="117">
        <v>10.0</v>
      </c>
      <c r="E140" s="117">
        <v>25.0</v>
      </c>
      <c r="F140" s="117">
        <v>30.0</v>
      </c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 ht="12.75" customHeight="1">
      <c r="A141" s="76"/>
      <c r="B141" s="117">
        <v>20.0</v>
      </c>
      <c r="C141" s="117" t="s">
        <v>181</v>
      </c>
      <c r="D141" s="117">
        <v>0.0</v>
      </c>
      <c r="E141" s="117">
        <v>10.0</v>
      </c>
      <c r="F141" s="117">
        <v>30.0</v>
      </c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 ht="12.75" customHeight="1">
      <c r="A142" s="76"/>
      <c r="B142" s="117">
        <v>15.0</v>
      </c>
      <c r="C142" s="117" t="s">
        <v>182</v>
      </c>
      <c r="D142" s="117">
        <v>0.0</v>
      </c>
      <c r="E142" s="117">
        <v>0.0</v>
      </c>
      <c r="F142" s="117">
        <v>10.0</v>
      </c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 ht="12.75" customHeight="1">
      <c r="A143" s="76"/>
      <c r="B143" s="117">
        <v>10.0</v>
      </c>
      <c r="C143" s="117" t="s">
        <v>183</v>
      </c>
      <c r="D143" s="117">
        <v>10.0</v>
      </c>
      <c r="E143" s="117">
        <v>25.0</v>
      </c>
      <c r="F143" s="117">
        <v>30.0</v>
      </c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 ht="12.75" customHeight="1">
      <c r="B144" s="119">
        <v>30.0</v>
      </c>
      <c r="C144" s="119" t="s">
        <v>184</v>
      </c>
      <c r="D144" s="117">
        <v>0.0</v>
      </c>
      <c r="E144" s="117">
        <v>0.0</v>
      </c>
      <c r="F144" s="117">
        <v>5.0</v>
      </c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 ht="12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 ht="12.75" customHeight="1">
      <c r="A152" s="596" t="s">
        <v>467</v>
      </c>
      <c r="B152" s="117" t="s">
        <v>468</v>
      </c>
      <c r="C152" s="117"/>
      <c r="D152" s="117">
        <v>2024.0</v>
      </c>
      <c r="E152" s="117">
        <v>2025.0</v>
      </c>
      <c r="F152" s="117">
        <v>2026.0</v>
      </c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 ht="12.75" customHeight="1">
      <c r="A153" s="76"/>
      <c r="B153" s="117">
        <v>450.0</v>
      </c>
      <c r="C153" s="117" t="s">
        <v>469</v>
      </c>
      <c r="D153" s="117">
        <v>1.0</v>
      </c>
      <c r="E153" s="117">
        <v>2.0</v>
      </c>
      <c r="F153" s="117">
        <v>2.0</v>
      </c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 ht="12.75" customHeight="1">
      <c r="A154" s="76"/>
      <c r="B154" s="117">
        <v>1000.0</v>
      </c>
      <c r="C154" s="117" t="s">
        <v>470</v>
      </c>
      <c r="D154" s="117"/>
      <c r="E154" s="117">
        <v>1.0</v>
      </c>
      <c r="F154" s="117">
        <v>2.0</v>
      </c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 ht="12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 ht="12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 ht="12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</row>
    <row r="711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</row>
    <row r="71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</row>
    <row r="713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</row>
    <row r="714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</row>
    <row r="715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</row>
    <row r="716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</row>
    <row r="717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</row>
    <row r="718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</row>
    <row r="719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</row>
    <row r="720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</row>
    <row r="721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</row>
    <row r="72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</row>
    <row r="723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</row>
    <row r="724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</row>
    <row r="725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</row>
    <row r="726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</row>
    <row r="727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</row>
    <row r="728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</row>
    <row r="729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</row>
    <row r="730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</row>
    <row r="731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</row>
    <row r="733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</row>
    <row r="734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</row>
    <row r="735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</row>
    <row r="736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</row>
    <row r="737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</row>
    <row r="738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</row>
    <row r="739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</row>
    <row r="740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</row>
    <row r="741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</row>
    <row r="74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</row>
    <row r="743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</row>
    <row r="744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</row>
    <row r="745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</row>
    <row r="746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</row>
    <row r="747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</row>
    <row r="748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</row>
    <row r="749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</row>
    <row r="750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</row>
    <row r="751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</row>
    <row r="75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</row>
    <row r="753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</row>
    <row r="754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</row>
    <row r="755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</row>
    <row r="756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</row>
    <row r="757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</row>
    <row r="758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</row>
    <row r="759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</row>
    <row r="760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</row>
    <row r="761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</row>
    <row r="76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</row>
    <row r="763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</row>
    <row r="764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</row>
    <row r="765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</row>
    <row r="766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</row>
    <row r="767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</row>
    <row r="768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</row>
    <row r="769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</row>
    <row r="770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</row>
    <row r="771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</row>
    <row r="77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</row>
    <row r="773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</row>
    <row r="774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</row>
    <row r="775" ht="12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</row>
    <row r="776" ht="12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</row>
    <row r="777" ht="12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</row>
    <row r="778" ht="12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</row>
    <row r="779" ht="12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</row>
    <row r="780" ht="12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</row>
    <row r="781" ht="12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</row>
    <row r="782" ht="12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 ht="12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 ht="12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 ht="12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 ht="12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 ht="12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 ht="12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 ht="12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 ht="12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 ht="12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 ht="12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 ht="12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 ht="12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 ht="12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 ht="12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 ht="12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 ht="12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 ht="12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 ht="12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 ht="12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 ht="12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 ht="12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 ht="12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 ht="12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 ht="12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 ht="12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 ht="12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 ht="12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 ht="12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 ht="12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 ht="12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 ht="12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 ht="12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 ht="12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 ht="12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 ht="12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 ht="12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 ht="12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 ht="12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 ht="12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 ht="12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 ht="12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 ht="12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 ht="12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 ht="12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 ht="12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 ht="12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 ht="12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 ht="12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 ht="12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 ht="12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 ht="12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 ht="12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 ht="12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 ht="12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 ht="12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 ht="12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 ht="12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 ht="12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 ht="12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 ht="12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 ht="12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 ht="12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 ht="12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 ht="12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 ht="12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 ht="12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 ht="12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 ht="12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 ht="12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 ht="12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 ht="12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 ht="12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 ht="12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 ht="12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 ht="12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</sheetData>
  <mergeCells count="6">
    <mergeCell ref="D60:O61"/>
    <mergeCell ref="P60:AA61"/>
    <mergeCell ref="O62:P63"/>
    <mergeCell ref="D130:O131"/>
    <mergeCell ref="P130:AA131"/>
    <mergeCell ref="O132:P1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6.75"/>
    <col customWidth="1" min="4" max="27" width="7.5"/>
    <col customWidth="1" min="28" max="51" width="11.38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</row>
    <row r="2" ht="47.25" customHeight="1">
      <c r="A2" s="78" t="s">
        <v>463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</row>
    <row r="3" ht="12.75" customHeight="1">
      <c r="A3" s="79"/>
      <c r="B3" s="76"/>
      <c r="C3" s="80" t="s">
        <v>140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</row>
    <row r="4" ht="12.75" customHeight="1">
      <c r="A4" s="79"/>
      <c r="B4" s="76"/>
      <c r="C4" s="82" t="s">
        <v>141</v>
      </c>
      <c r="D4" s="76" t="s">
        <v>471</v>
      </c>
      <c r="E4" s="76" t="s">
        <v>472</v>
      </c>
      <c r="F4" s="76" t="s">
        <v>473</v>
      </c>
      <c r="G4" s="76" t="s">
        <v>474</v>
      </c>
      <c r="H4" s="76" t="s">
        <v>475</v>
      </c>
      <c r="I4" s="76" t="s">
        <v>476</v>
      </c>
      <c r="J4" s="76" t="s">
        <v>477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</row>
    <row r="5" ht="12.75" customHeight="1">
      <c r="A5" s="79"/>
      <c r="B5" s="76"/>
      <c r="C5" s="76" t="s">
        <v>148</v>
      </c>
      <c r="D5" s="98">
        <v>0.35</v>
      </c>
      <c r="E5" s="98">
        <v>0.15</v>
      </c>
      <c r="F5" s="98">
        <v>0.05</v>
      </c>
      <c r="G5" s="98"/>
      <c r="H5" s="98"/>
      <c r="I5" s="98">
        <v>0.35</v>
      </c>
      <c r="J5" s="98">
        <v>0.45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7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</row>
    <row r="6" ht="12.75" customHeight="1">
      <c r="A6" s="79"/>
      <c r="B6" s="76"/>
      <c r="C6" s="76" t="s">
        <v>76</v>
      </c>
      <c r="D6" s="98">
        <v>0.45</v>
      </c>
      <c r="E6" s="98">
        <v>0.35</v>
      </c>
      <c r="F6" s="98">
        <v>0.1</v>
      </c>
      <c r="G6" s="98"/>
      <c r="H6" s="98"/>
      <c r="I6" s="98">
        <v>0.35</v>
      </c>
      <c r="J6" s="98">
        <v>0.55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7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</row>
    <row r="7" ht="12.75" customHeight="1">
      <c r="A7" s="79"/>
      <c r="B7" s="76"/>
      <c r="C7" s="76" t="s">
        <v>80</v>
      </c>
      <c r="D7" s="98">
        <v>0.1</v>
      </c>
      <c r="E7" s="98">
        <v>0.3</v>
      </c>
      <c r="F7" s="98">
        <v>0.3</v>
      </c>
      <c r="G7" s="98">
        <v>0.3</v>
      </c>
      <c r="H7" s="98">
        <v>0.3</v>
      </c>
      <c r="I7" s="98">
        <v>0.15</v>
      </c>
      <c r="J7" s="98">
        <v>0.05</v>
      </c>
      <c r="K7" s="76"/>
      <c r="L7" s="76"/>
      <c r="M7" s="76"/>
      <c r="N7" s="76"/>
      <c r="O7" s="76"/>
      <c r="P7" s="76"/>
      <c r="Q7" s="76"/>
      <c r="R7" s="76"/>
      <c r="S7" s="76"/>
      <c r="T7" s="76"/>
      <c r="U7" s="77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</row>
    <row r="8" ht="12.75" customHeight="1">
      <c r="A8" s="79"/>
      <c r="B8" s="76"/>
      <c r="C8" s="76" t="s">
        <v>83</v>
      </c>
      <c r="D8" s="98">
        <v>0.05</v>
      </c>
      <c r="E8" s="98">
        <v>0.1</v>
      </c>
      <c r="F8" s="98">
        <v>0.3</v>
      </c>
      <c r="G8" s="98">
        <v>0.35</v>
      </c>
      <c r="H8" s="98">
        <v>0.35</v>
      </c>
      <c r="I8" s="98">
        <v>0.1</v>
      </c>
      <c r="J8" s="98"/>
      <c r="K8" s="76"/>
      <c r="L8" s="76"/>
      <c r="M8" s="76"/>
      <c r="N8" s="76"/>
      <c r="O8" s="76"/>
      <c r="P8" s="76"/>
      <c r="Q8" s="76"/>
      <c r="R8" s="76"/>
      <c r="S8" s="76"/>
      <c r="T8" s="76"/>
      <c r="U8" s="77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</row>
    <row r="9" ht="12.75" customHeight="1">
      <c r="A9" s="79"/>
      <c r="B9" s="76"/>
      <c r="C9" s="76" t="s">
        <v>87</v>
      </c>
      <c r="D9" s="98">
        <v>0.05</v>
      </c>
      <c r="E9" s="98">
        <v>0.05</v>
      </c>
      <c r="F9" s="98">
        <v>0.15</v>
      </c>
      <c r="G9" s="98">
        <v>0.15</v>
      </c>
      <c r="H9" s="98">
        <v>0.15</v>
      </c>
      <c r="I9" s="98">
        <v>0.05</v>
      </c>
      <c r="J9" s="98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</row>
    <row r="10" ht="12.75" customHeight="1">
      <c r="A10" s="79"/>
      <c r="B10" s="76"/>
      <c r="C10" s="76" t="s">
        <v>464</v>
      </c>
      <c r="D10" s="98"/>
      <c r="E10" s="98">
        <v>0.05</v>
      </c>
      <c r="F10" s="98">
        <v>0.1</v>
      </c>
      <c r="G10" s="98">
        <v>0.2</v>
      </c>
      <c r="H10" s="98">
        <v>0.2</v>
      </c>
      <c r="I10" s="98"/>
      <c r="J10" s="98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</row>
    <row r="11" ht="12.75" customHeight="1">
      <c r="A11" s="79"/>
      <c r="B11" s="76"/>
      <c r="C11" s="76"/>
      <c r="D11" s="89">
        <f t="shared" ref="D11:J11" si="1">SUM(D5:D10)</f>
        <v>1</v>
      </c>
      <c r="E11" s="89">
        <f t="shared" si="1"/>
        <v>1</v>
      </c>
      <c r="F11" s="89">
        <f t="shared" si="1"/>
        <v>1</v>
      </c>
      <c r="G11" s="89">
        <f t="shared" si="1"/>
        <v>1</v>
      </c>
      <c r="H11" s="89">
        <f t="shared" si="1"/>
        <v>1</v>
      </c>
      <c r="I11" s="89">
        <f t="shared" si="1"/>
        <v>1</v>
      </c>
      <c r="J11" s="89">
        <f t="shared" si="1"/>
        <v>1.05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</row>
    <row r="12" ht="12.75" customHeight="1">
      <c r="A12" s="79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>
        <v>4.0</v>
      </c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</row>
    <row r="13" ht="12.75" customHeight="1">
      <c r="A13" s="79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</row>
    <row r="14" ht="12.75" customHeight="1">
      <c r="A14" s="79"/>
      <c r="B14" s="76"/>
      <c r="C14" s="80" t="s">
        <v>140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</row>
    <row r="15" ht="12.75" customHeight="1">
      <c r="A15" s="79"/>
      <c r="B15" s="76"/>
      <c r="D15" s="76" t="s">
        <v>471</v>
      </c>
      <c r="E15" s="76" t="s">
        <v>472</v>
      </c>
      <c r="F15" s="76" t="s">
        <v>473</v>
      </c>
      <c r="G15" s="76" t="s">
        <v>474</v>
      </c>
      <c r="H15" s="76" t="s">
        <v>475</v>
      </c>
      <c r="I15" s="76" t="s">
        <v>476</v>
      </c>
      <c r="J15" s="76" t="s">
        <v>477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</row>
    <row r="16" ht="12.75" customHeight="1">
      <c r="A16" s="79"/>
      <c r="B16" s="76"/>
      <c r="C16" s="82" t="s">
        <v>149</v>
      </c>
      <c r="D16" s="159">
        <v>10.0</v>
      </c>
      <c r="E16" s="159">
        <v>24.0</v>
      </c>
      <c r="F16" s="159">
        <v>20.0</v>
      </c>
      <c r="G16" s="159">
        <v>30.0</v>
      </c>
      <c r="H16" s="159">
        <v>35.0</v>
      </c>
      <c r="I16" s="159">
        <v>20.0</v>
      </c>
      <c r="J16" s="159">
        <v>15.0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</row>
    <row r="17" ht="12.75" customHeight="1">
      <c r="A17" s="79"/>
      <c r="B17" s="76"/>
      <c r="C17" s="76" t="s">
        <v>72</v>
      </c>
      <c r="D17" s="91">
        <f t="shared" ref="D17:J17" si="2">ROUND( D$16*D5,0)</f>
        <v>4</v>
      </c>
      <c r="E17" s="91">
        <f t="shared" si="2"/>
        <v>4</v>
      </c>
      <c r="F17" s="91">
        <f t="shared" si="2"/>
        <v>1</v>
      </c>
      <c r="G17" s="91">
        <f t="shared" si="2"/>
        <v>0</v>
      </c>
      <c r="H17" s="91">
        <f t="shared" si="2"/>
        <v>0</v>
      </c>
      <c r="I17" s="91">
        <f t="shared" si="2"/>
        <v>7</v>
      </c>
      <c r="J17" s="91">
        <f t="shared" si="2"/>
        <v>7</v>
      </c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</row>
    <row r="18" ht="12.75" customHeight="1">
      <c r="A18" s="79"/>
      <c r="B18" s="76"/>
      <c r="C18" s="76" t="s">
        <v>76</v>
      </c>
      <c r="D18" s="91">
        <f t="shared" ref="D18:J18" si="3">ROUND( D$16*D6,0)</f>
        <v>5</v>
      </c>
      <c r="E18" s="91">
        <f t="shared" si="3"/>
        <v>8</v>
      </c>
      <c r="F18" s="91">
        <f t="shared" si="3"/>
        <v>2</v>
      </c>
      <c r="G18" s="91">
        <f t="shared" si="3"/>
        <v>0</v>
      </c>
      <c r="H18" s="91">
        <f t="shared" si="3"/>
        <v>0</v>
      </c>
      <c r="I18" s="91">
        <f t="shared" si="3"/>
        <v>7</v>
      </c>
      <c r="J18" s="91">
        <f t="shared" si="3"/>
        <v>8</v>
      </c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</row>
    <row r="19" ht="12.75" customHeight="1">
      <c r="A19" s="79"/>
      <c r="B19" s="76"/>
      <c r="C19" s="76" t="s">
        <v>80</v>
      </c>
      <c r="D19" s="91">
        <f t="shared" ref="D19:J19" si="4">ROUND( D$16*D7,0)</f>
        <v>1</v>
      </c>
      <c r="E19" s="91">
        <f t="shared" si="4"/>
        <v>7</v>
      </c>
      <c r="F19" s="91">
        <f t="shared" si="4"/>
        <v>6</v>
      </c>
      <c r="G19" s="91">
        <f t="shared" si="4"/>
        <v>9</v>
      </c>
      <c r="H19" s="91">
        <f t="shared" si="4"/>
        <v>11</v>
      </c>
      <c r="I19" s="91">
        <f t="shared" si="4"/>
        <v>3</v>
      </c>
      <c r="J19" s="91">
        <f t="shared" si="4"/>
        <v>1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</row>
    <row r="20" ht="12.75" customHeight="1">
      <c r="A20" s="79"/>
      <c r="B20" s="76"/>
      <c r="C20" s="76" t="s">
        <v>83</v>
      </c>
      <c r="D20" s="91">
        <f t="shared" ref="D20:J20" si="5">ROUND( D$16*D8,0)</f>
        <v>1</v>
      </c>
      <c r="E20" s="91">
        <f t="shared" si="5"/>
        <v>2</v>
      </c>
      <c r="F20" s="91">
        <f t="shared" si="5"/>
        <v>6</v>
      </c>
      <c r="G20" s="91">
        <f t="shared" si="5"/>
        <v>11</v>
      </c>
      <c r="H20" s="91">
        <f t="shared" si="5"/>
        <v>12</v>
      </c>
      <c r="I20" s="91">
        <f t="shared" si="5"/>
        <v>2</v>
      </c>
      <c r="J20" s="91">
        <f t="shared" si="5"/>
        <v>0</v>
      </c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</row>
    <row r="21" ht="12.75" customHeight="1">
      <c r="A21" s="79"/>
      <c r="B21" s="76"/>
      <c r="C21" s="76" t="s">
        <v>87</v>
      </c>
      <c r="D21" s="91">
        <f t="shared" ref="D21:J21" si="6">ROUND( D$16*D9,0)</f>
        <v>1</v>
      </c>
      <c r="E21" s="91">
        <f t="shared" si="6"/>
        <v>1</v>
      </c>
      <c r="F21" s="91">
        <f t="shared" si="6"/>
        <v>3</v>
      </c>
      <c r="G21" s="91">
        <f t="shared" si="6"/>
        <v>5</v>
      </c>
      <c r="H21" s="91">
        <f t="shared" si="6"/>
        <v>5</v>
      </c>
      <c r="I21" s="91">
        <f t="shared" si="6"/>
        <v>1</v>
      </c>
      <c r="J21" s="91">
        <f t="shared" si="6"/>
        <v>0</v>
      </c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</row>
    <row r="22" ht="12.75" customHeight="1">
      <c r="A22" s="79"/>
      <c r="B22" s="76"/>
      <c r="C22" s="76" t="s">
        <v>464</v>
      </c>
      <c r="D22" s="91">
        <f t="shared" ref="D22:J22" si="7">ROUND( D$16*D10,0)</f>
        <v>0</v>
      </c>
      <c r="E22" s="91">
        <f t="shared" si="7"/>
        <v>1</v>
      </c>
      <c r="F22" s="91">
        <f t="shared" si="7"/>
        <v>2</v>
      </c>
      <c r="G22" s="91">
        <f t="shared" si="7"/>
        <v>6</v>
      </c>
      <c r="H22" s="91">
        <f t="shared" si="7"/>
        <v>7</v>
      </c>
      <c r="I22" s="91">
        <f t="shared" si="7"/>
        <v>0</v>
      </c>
      <c r="J22" s="91">
        <f t="shared" si="7"/>
        <v>0</v>
      </c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</row>
    <row r="23" ht="12.75" customHeight="1">
      <c r="A23" s="79"/>
      <c r="B23" s="76"/>
      <c r="C23" s="76"/>
      <c r="D23" s="93">
        <f t="shared" ref="D23:J23" si="8">SUM(D17:D22)</f>
        <v>12</v>
      </c>
      <c r="E23" s="93">
        <f t="shared" si="8"/>
        <v>23</v>
      </c>
      <c r="F23" s="93">
        <f t="shared" si="8"/>
        <v>20</v>
      </c>
      <c r="G23" s="93">
        <f t="shared" si="8"/>
        <v>31</v>
      </c>
      <c r="H23" s="93">
        <f t="shared" si="8"/>
        <v>35</v>
      </c>
      <c r="I23" s="93">
        <f t="shared" si="8"/>
        <v>20</v>
      </c>
      <c r="J23" s="93">
        <f t="shared" si="8"/>
        <v>16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</row>
    <row r="24" ht="12.75" customHeight="1">
      <c r="A24" s="79"/>
      <c r="B24" s="76"/>
      <c r="C24" s="8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</row>
    <row r="25" ht="12.75" customHeight="1">
      <c r="A25" s="79"/>
      <c r="B25" s="76"/>
      <c r="C25" s="80" t="s">
        <v>150</v>
      </c>
      <c r="D25" s="95" t="s">
        <v>151</v>
      </c>
      <c r="E25" s="95" t="s">
        <v>152</v>
      </c>
      <c r="F25" s="95" t="s">
        <v>153</v>
      </c>
      <c r="G25" s="95" t="s">
        <v>154</v>
      </c>
      <c r="H25" s="95" t="s">
        <v>155</v>
      </c>
      <c r="I25" s="95" t="s">
        <v>156</v>
      </c>
      <c r="J25" s="95" t="s">
        <v>151</v>
      </c>
      <c r="K25" s="95" t="s">
        <v>152</v>
      </c>
      <c r="L25" s="95" t="s">
        <v>153</v>
      </c>
      <c r="M25" s="95" t="s">
        <v>154</v>
      </c>
      <c r="N25" s="95" t="s">
        <v>155</v>
      </c>
      <c r="O25" s="95" t="s">
        <v>156</v>
      </c>
      <c r="P25" s="95" t="s">
        <v>151</v>
      </c>
      <c r="Q25" s="95" t="s">
        <v>152</v>
      </c>
      <c r="R25" s="95" t="s">
        <v>153</v>
      </c>
      <c r="S25" s="95" t="s">
        <v>154</v>
      </c>
      <c r="T25" s="95" t="s">
        <v>155</v>
      </c>
      <c r="U25" s="95" t="s">
        <v>156</v>
      </c>
      <c r="V25" s="95" t="s">
        <v>151</v>
      </c>
      <c r="W25" s="95" t="s">
        <v>152</v>
      </c>
      <c r="X25" s="95" t="s">
        <v>153</v>
      </c>
      <c r="Y25" s="95" t="s">
        <v>154</v>
      </c>
      <c r="Z25" s="95" t="s">
        <v>155</v>
      </c>
      <c r="AA25" s="95" t="s">
        <v>156</v>
      </c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</row>
    <row r="26" ht="12.75" customHeight="1">
      <c r="A26" s="79"/>
      <c r="B26" s="76"/>
      <c r="C26" s="76"/>
      <c r="D26" s="76">
        <v>1.0</v>
      </c>
      <c r="E26" s="76">
        <v>2.0</v>
      </c>
      <c r="F26" s="76">
        <v>3.0</v>
      </c>
      <c r="G26" s="76">
        <v>4.0</v>
      </c>
      <c r="H26" s="76">
        <v>5.0</v>
      </c>
      <c r="I26" s="76">
        <v>6.0</v>
      </c>
      <c r="J26" s="76">
        <v>7.0</v>
      </c>
      <c r="K26" s="76">
        <v>8.0</v>
      </c>
      <c r="L26" s="76">
        <v>9.0</v>
      </c>
      <c r="M26" s="76">
        <v>10.0</v>
      </c>
      <c r="N26" s="76">
        <v>11.0</v>
      </c>
      <c r="O26" s="76">
        <v>12.0</v>
      </c>
      <c r="P26" s="76">
        <v>13.0</v>
      </c>
      <c r="Q26" s="76">
        <v>14.0</v>
      </c>
      <c r="R26" s="76">
        <v>15.0</v>
      </c>
      <c r="S26" s="76">
        <v>16.0</v>
      </c>
      <c r="T26" s="76">
        <v>17.0</v>
      </c>
      <c r="U26" s="76">
        <v>18.0</v>
      </c>
      <c r="V26" s="76">
        <v>19.0</v>
      </c>
      <c r="W26" s="76">
        <v>20.0</v>
      </c>
      <c r="X26" s="76">
        <v>21.0</v>
      </c>
      <c r="Y26" s="76">
        <v>22.0</v>
      </c>
      <c r="Z26" s="76">
        <v>23.0</v>
      </c>
      <c r="AA26" s="76">
        <v>24.0</v>
      </c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</row>
    <row r="27" ht="12.75" customHeight="1">
      <c r="A27" s="79"/>
      <c r="C27" s="82" t="s">
        <v>157</v>
      </c>
      <c r="D27" s="98">
        <v>0.5</v>
      </c>
      <c r="E27" s="98">
        <v>0.6</v>
      </c>
      <c r="F27" s="98">
        <v>0.6</v>
      </c>
      <c r="G27" s="98">
        <v>0.7</v>
      </c>
      <c r="H27" s="98">
        <v>0.9</v>
      </c>
      <c r="I27" s="98">
        <v>0.9</v>
      </c>
      <c r="J27" s="98">
        <v>0.5</v>
      </c>
      <c r="K27" s="98">
        <v>0.6</v>
      </c>
      <c r="L27" s="98">
        <v>0.6</v>
      </c>
      <c r="M27" s="98">
        <v>0.7</v>
      </c>
      <c r="N27" s="98">
        <v>0.9</v>
      </c>
      <c r="O27" s="98">
        <v>0.9</v>
      </c>
      <c r="P27" s="98">
        <v>0.5</v>
      </c>
      <c r="Q27" s="98">
        <v>0.6</v>
      </c>
      <c r="R27" s="98">
        <v>0.6</v>
      </c>
      <c r="S27" s="98">
        <v>0.7</v>
      </c>
      <c r="T27" s="98">
        <v>0.9</v>
      </c>
      <c r="U27" s="98">
        <v>0.9</v>
      </c>
      <c r="V27" s="98">
        <v>0.5</v>
      </c>
      <c r="W27" s="98">
        <v>0.6</v>
      </c>
      <c r="X27" s="98">
        <v>0.6</v>
      </c>
      <c r="Y27" s="98">
        <v>0.7</v>
      </c>
      <c r="Z27" s="98">
        <v>0.9</v>
      </c>
      <c r="AA27" s="98">
        <v>0.9</v>
      </c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</row>
    <row r="28" ht="12.75" customHeight="1">
      <c r="A28" s="79"/>
      <c r="B28" s="76"/>
      <c r="C28" s="76" t="s">
        <v>148</v>
      </c>
      <c r="D28" s="76">
        <f t="shared" ref="D28:D33" si="10">ROUND(SUM($D17:$M17)*D$27,0)</f>
        <v>12</v>
      </c>
      <c r="E28" s="76">
        <f t="shared" ref="E28:AA28" si="9">ROUND(SUM($D17:$M17)*E27,0)</f>
        <v>14</v>
      </c>
      <c r="F28" s="76">
        <f t="shared" si="9"/>
        <v>14</v>
      </c>
      <c r="G28" s="76">
        <f t="shared" si="9"/>
        <v>16</v>
      </c>
      <c r="H28" s="76">
        <f t="shared" si="9"/>
        <v>21</v>
      </c>
      <c r="I28" s="76">
        <f t="shared" si="9"/>
        <v>21</v>
      </c>
      <c r="J28" s="76">
        <f t="shared" si="9"/>
        <v>12</v>
      </c>
      <c r="K28" s="76">
        <f t="shared" si="9"/>
        <v>14</v>
      </c>
      <c r="L28" s="76">
        <f t="shared" si="9"/>
        <v>14</v>
      </c>
      <c r="M28" s="76">
        <f t="shared" si="9"/>
        <v>16</v>
      </c>
      <c r="N28" s="76">
        <f t="shared" si="9"/>
        <v>21</v>
      </c>
      <c r="O28" s="76">
        <f t="shared" si="9"/>
        <v>21</v>
      </c>
      <c r="P28" s="76">
        <f t="shared" si="9"/>
        <v>12</v>
      </c>
      <c r="Q28" s="76">
        <f t="shared" si="9"/>
        <v>14</v>
      </c>
      <c r="R28" s="76">
        <f t="shared" si="9"/>
        <v>14</v>
      </c>
      <c r="S28" s="76">
        <f t="shared" si="9"/>
        <v>16</v>
      </c>
      <c r="T28" s="76">
        <f t="shared" si="9"/>
        <v>21</v>
      </c>
      <c r="U28" s="76">
        <f t="shared" si="9"/>
        <v>21</v>
      </c>
      <c r="V28" s="76">
        <f t="shared" si="9"/>
        <v>12</v>
      </c>
      <c r="W28" s="76">
        <f t="shared" si="9"/>
        <v>14</v>
      </c>
      <c r="X28" s="76">
        <f t="shared" si="9"/>
        <v>14</v>
      </c>
      <c r="Y28" s="76">
        <f t="shared" si="9"/>
        <v>16</v>
      </c>
      <c r="Z28" s="76">
        <f t="shared" si="9"/>
        <v>21</v>
      </c>
      <c r="AA28" s="76">
        <f t="shared" si="9"/>
        <v>21</v>
      </c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</row>
    <row r="29" ht="12.75" customHeight="1">
      <c r="A29" s="79"/>
      <c r="B29" s="76"/>
      <c r="C29" s="76" t="s">
        <v>76</v>
      </c>
      <c r="D29" s="76">
        <f t="shared" si="10"/>
        <v>15</v>
      </c>
      <c r="E29" s="76">
        <f t="shared" ref="E29:AA29" si="11">ROUND(SUM($D18:$M18)*E$27,0)</f>
        <v>18</v>
      </c>
      <c r="F29" s="76">
        <f t="shared" si="11"/>
        <v>18</v>
      </c>
      <c r="G29" s="76">
        <f t="shared" si="11"/>
        <v>21</v>
      </c>
      <c r="H29" s="76">
        <f t="shared" si="11"/>
        <v>27</v>
      </c>
      <c r="I29" s="76">
        <f t="shared" si="11"/>
        <v>27</v>
      </c>
      <c r="J29" s="76">
        <f t="shared" si="11"/>
        <v>15</v>
      </c>
      <c r="K29" s="76">
        <f t="shared" si="11"/>
        <v>18</v>
      </c>
      <c r="L29" s="76">
        <f t="shared" si="11"/>
        <v>18</v>
      </c>
      <c r="M29" s="76">
        <f t="shared" si="11"/>
        <v>21</v>
      </c>
      <c r="N29" s="76">
        <f t="shared" si="11"/>
        <v>27</v>
      </c>
      <c r="O29" s="76">
        <f t="shared" si="11"/>
        <v>27</v>
      </c>
      <c r="P29" s="76">
        <f t="shared" si="11"/>
        <v>15</v>
      </c>
      <c r="Q29" s="76">
        <f t="shared" si="11"/>
        <v>18</v>
      </c>
      <c r="R29" s="76">
        <f t="shared" si="11"/>
        <v>18</v>
      </c>
      <c r="S29" s="76">
        <f t="shared" si="11"/>
        <v>21</v>
      </c>
      <c r="T29" s="76">
        <f t="shared" si="11"/>
        <v>27</v>
      </c>
      <c r="U29" s="76">
        <f t="shared" si="11"/>
        <v>27</v>
      </c>
      <c r="V29" s="76">
        <f t="shared" si="11"/>
        <v>15</v>
      </c>
      <c r="W29" s="76">
        <f t="shared" si="11"/>
        <v>18</v>
      </c>
      <c r="X29" s="76">
        <f t="shared" si="11"/>
        <v>18</v>
      </c>
      <c r="Y29" s="76">
        <f t="shared" si="11"/>
        <v>21</v>
      </c>
      <c r="Z29" s="76">
        <f t="shared" si="11"/>
        <v>27</v>
      </c>
      <c r="AA29" s="76">
        <f t="shared" si="11"/>
        <v>27</v>
      </c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</row>
    <row r="30" ht="12.75" customHeight="1">
      <c r="A30" s="79"/>
      <c r="B30" s="76"/>
      <c r="C30" s="76" t="s">
        <v>80</v>
      </c>
      <c r="D30" s="76">
        <f t="shared" si="10"/>
        <v>19</v>
      </c>
      <c r="E30" s="76">
        <f t="shared" ref="E30:AA30" si="12">ROUND(SUM($D19:$M19)*E$27,0)</f>
        <v>23</v>
      </c>
      <c r="F30" s="76">
        <f t="shared" si="12"/>
        <v>23</v>
      </c>
      <c r="G30" s="76">
        <f t="shared" si="12"/>
        <v>27</v>
      </c>
      <c r="H30" s="76">
        <f t="shared" si="12"/>
        <v>34</v>
      </c>
      <c r="I30" s="76">
        <f t="shared" si="12"/>
        <v>34</v>
      </c>
      <c r="J30" s="76">
        <f t="shared" si="12"/>
        <v>19</v>
      </c>
      <c r="K30" s="76">
        <f t="shared" si="12"/>
        <v>23</v>
      </c>
      <c r="L30" s="76">
        <f t="shared" si="12"/>
        <v>23</v>
      </c>
      <c r="M30" s="76">
        <f t="shared" si="12"/>
        <v>27</v>
      </c>
      <c r="N30" s="76">
        <f t="shared" si="12"/>
        <v>34</v>
      </c>
      <c r="O30" s="76">
        <f t="shared" si="12"/>
        <v>34</v>
      </c>
      <c r="P30" s="76">
        <f t="shared" si="12"/>
        <v>19</v>
      </c>
      <c r="Q30" s="76">
        <f t="shared" si="12"/>
        <v>23</v>
      </c>
      <c r="R30" s="76">
        <f t="shared" si="12"/>
        <v>23</v>
      </c>
      <c r="S30" s="76">
        <f t="shared" si="12"/>
        <v>27</v>
      </c>
      <c r="T30" s="76">
        <f t="shared" si="12"/>
        <v>34</v>
      </c>
      <c r="U30" s="76">
        <f t="shared" si="12"/>
        <v>34</v>
      </c>
      <c r="V30" s="76">
        <f t="shared" si="12"/>
        <v>19</v>
      </c>
      <c r="W30" s="76">
        <f t="shared" si="12"/>
        <v>23</v>
      </c>
      <c r="X30" s="76">
        <f t="shared" si="12"/>
        <v>23</v>
      </c>
      <c r="Y30" s="76">
        <f t="shared" si="12"/>
        <v>27</v>
      </c>
      <c r="Z30" s="76">
        <f t="shared" si="12"/>
        <v>34</v>
      </c>
      <c r="AA30" s="76">
        <f t="shared" si="12"/>
        <v>34</v>
      </c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</row>
    <row r="31" ht="12.75" customHeight="1">
      <c r="A31" s="79"/>
      <c r="B31" s="76"/>
      <c r="C31" s="76" t="s">
        <v>83</v>
      </c>
      <c r="D31" s="76">
        <f t="shared" si="10"/>
        <v>17</v>
      </c>
      <c r="E31" s="76">
        <f t="shared" ref="E31:AA31" si="13">ROUND(SUM($D20:$M20)*E$27,0)</f>
        <v>20</v>
      </c>
      <c r="F31" s="76">
        <f t="shared" si="13"/>
        <v>20</v>
      </c>
      <c r="G31" s="76">
        <f t="shared" si="13"/>
        <v>24</v>
      </c>
      <c r="H31" s="76">
        <f t="shared" si="13"/>
        <v>31</v>
      </c>
      <c r="I31" s="76">
        <f t="shared" si="13"/>
        <v>31</v>
      </c>
      <c r="J31" s="76">
        <f t="shared" si="13"/>
        <v>17</v>
      </c>
      <c r="K31" s="76">
        <f t="shared" si="13"/>
        <v>20</v>
      </c>
      <c r="L31" s="76">
        <f t="shared" si="13"/>
        <v>20</v>
      </c>
      <c r="M31" s="76">
        <f t="shared" si="13"/>
        <v>24</v>
      </c>
      <c r="N31" s="76">
        <f t="shared" si="13"/>
        <v>31</v>
      </c>
      <c r="O31" s="76">
        <f t="shared" si="13"/>
        <v>31</v>
      </c>
      <c r="P31" s="76">
        <f t="shared" si="13"/>
        <v>17</v>
      </c>
      <c r="Q31" s="76">
        <f t="shared" si="13"/>
        <v>20</v>
      </c>
      <c r="R31" s="76">
        <f t="shared" si="13"/>
        <v>20</v>
      </c>
      <c r="S31" s="76">
        <f t="shared" si="13"/>
        <v>24</v>
      </c>
      <c r="T31" s="76">
        <f t="shared" si="13"/>
        <v>31</v>
      </c>
      <c r="U31" s="76">
        <f t="shared" si="13"/>
        <v>31</v>
      </c>
      <c r="V31" s="76">
        <f t="shared" si="13"/>
        <v>17</v>
      </c>
      <c r="W31" s="76">
        <f t="shared" si="13"/>
        <v>20</v>
      </c>
      <c r="X31" s="76">
        <f t="shared" si="13"/>
        <v>20</v>
      </c>
      <c r="Y31" s="76">
        <f t="shared" si="13"/>
        <v>24</v>
      </c>
      <c r="Z31" s="76">
        <f t="shared" si="13"/>
        <v>31</v>
      </c>
      <c r="AA31" s="76">
        <f t="shared" si="13"/>
        <v>31</v>
      </c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</row>
    <row r="32" ht="12.75" customHeight="1">
      <c r="A32" s="79"/>
      <c r="B32" s="76"/>
      <c r="C32" s="76" t="s">
        <v>87</v>
      </c>
      <c r="D32" s="76">
        <f t="shared" si="10"/>
        <v>8</v>
      </c>
      <c r="E32" s="76">
        <f t="shared" ref="E32:AA32" si="14">ROUND(SUM($D21:$M21)*E$27,0)</f>
        <v>10</v>
      </c>
      <c r="F32" s="76">
        <f t="shared" si="14"/>
        <v>10</v>
      </c>
      <c r="G32" s="76">
        <f t="shared" si="14"/>
        <v>11</v>
      </c>
      <c r="H32" s="76">
        <f t="shared" si="14"/>
        <v>14</v>
      </c>
      <c r="I32" s="76">
        <f t="shared" si="14"/>
        <v>14</v>
      </c>
      <c r="J32" s="76">
        <f t="shared" si="14"/>
        <v>8</v>
      </c>
      <c r="K32" s="76">
        <f t="shared" si="14"/>
        <v>10</v>
      </c>
      <c r="L32" s="76">
        <f t="shared" si="14"/>
        <v>10</v>
      </c>
      <c r="M32" s="76">
        <f t="shared" si="14"/>
        <v>11</v>
      </c>
      <c r="N32" s="76">
        <f t="shared" si="14"/>
        <v>14</v>
      </c>
      <c r="O32" s="76">
        <f t="shared" si="14"/>
        <v>14</v>
      </c>
      <c r="P32" s="76">
        <f t="shared" si="14"/>
        <v>8</v>
      </c>
      <c r="Q32" s="76">
        <f t="shared" si="14"/>
        <v>10</v>
      </c>
      <c r="R32" s="76">
        <f t="shared" si="14"/>
        <v>10</v>
      </c>
      <c r="S32" s="76">
        <f t="shared" si="14"/>
        <v>11</v>
      </c>
      <c r="T32" s="76">
        <f t="shared" si="14"/>
        <v>14</v>
      </c>
      <c r="U32" s="76">
        <f t="shared" si="14"/>
        <v>14</v>
      </c>
      <c r="V32" s="76">
        <f t="shared" si="14"/>
        <v>8</v>
      </c>
      <c r="W32" s="76">
        <f t="shared" si="14"/>
        <v>10</v>
      </c>
      <c r="X32" s="76">
        <f t="shared" si="14"/>
        <v>10</v>
      </c>
      <c r="Y32" s="76">
        <f t="shared" si="14"/>
        <v>11</v>
      </c>
      <c r="Z32" s="76">
        <f t="shared" si="14"/>
        <v>14</v>
      </c>
      <c r="AA32" s="76">
        <f t="shared" si="14"/>
        <v>14</v>
      </c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</row>
    <row r="33" ht="12.75" customHeight="1">
      <c r="A33" s="79"/>
      <c r="B33" s="76"/>
      <c r="C33" s="76" t="s">
        <v>464</v>
      </c>
      <c r="D33" s="76">
        <f t="shared" si="10"/>
        <v>8</v>
      </c>
      <c r="E33" s="76">
        <f t="shared" ref="E33:AA33" si="15">ROUND(SUM($D22:$M22)*E$27,0)</f>
        <v>10</v>
      </c>
      <c r="F33" s="76">
        <f t="shared" si="15"/>
        <v>10</v>
      </c>
      <c r="G33" s="76">
        <f t="shared" si="15"/>
        <v>11</v>
      </c>
      <c r="H33" s="76">
        <f t="shared" si="15"/>
        <v>14</v>
      </c>
      <c r="I33" s="76">
        <f t="shared" si="15"/>
        <v>14</v>
      </c>
      <c r="J33" s="76">
        <f t="shared" si="15"/>
        <v>8</v>
      </c>
      <c r="K33" s="76">
        <f t="shared" si="15"/>
        <v>10</v>
      </c>
      <c r="L33" s="76">
        <f t="shared" si="15"/>
        <v>10</v>
      </c>
      <c r="M33" s="76">
        <f t="shared" si="15"/>
        <v>11</v>
      </c>
      <c r="N33" s="76">
        <f t="shared" si="15"/>
        <v>14</v>
      </c>
      <c r="O33" s="76">
        <f t="shared" si="15"/>
        <v>14</v>
      </c>
      <c r="P33" s="76">
        <f t="shared" si="15"/>
        <v>8</v>
      </c>
      <c r="Q33" s="76">
        <f t="shared" si="15"/>
        <v>10</v>
      </c>
      <c r="R33" s="76">
        <f t="shared" si="15"/>
        <v>10</v>
      </c>
      <c r="S33" s="76">
        <f t="shared" si="15"/>
        <v>11</v>
      </c>
      <c r="T33" s="76">
        <f t="shared" si="15"/>
        <v>14</v>
      </c>
      <c r="U33" s="76">
        <f t="shared" si="15"/>
        <v>14</v>
      </c>
      <c r="V33" s="76">
        <f t="shared" si="15"/>
        <v>8</v>
      </c>
      <c r="W33" s="76">
        <f t="shared" si="15"/>
        <v>10</v>
      </c>
      <c r="X33" s="76">
        <f t="shared" si="15"/>
        <v>10</v>
      </c>
      <c r="Y33" s="76">
        <f t="shared" si="15"/>
        <v>11</v>
      </c>
      <c r="Z33" s="76">
        <f t="shared" si="15"/>
        <v>14</v>
      </c>
      <c r="AA33" s="76">
        <f t="shared" si="15"/>
        <v>14</v>
      </c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</row>
    <row r="34" ht="12.75" customHeight="1">
      <c r="A34" s="79"/>
      <c r="B34" s="76"/>
      <c r="C34" s="76"/>
      <c r="D34" s="93">
        <f t="shared" ref="D34:AA34" si="16">SUM(D28:D33)</f>
        <v>79</v>
      </c>
      <c r="E34" s="93">
        <f t="shared" si="16"/>
        <v>95</v>
      </c>
      <c r="F34" s="93">
        <f t="shared" si="16"/>
        <v>95</v>
      </c>
      <c r="G34" s="93">
        <f t="shared" si="16"/>
        <v>110</v>
      </c>
      <c r="H34" s="93">
        <f t="shared" si="16"/>
        <v>141</v>
      </c>
      <c r="I34" s="93">
        <f t="shared" si="16"/>
        <v>141</v>
      </c>
      <c r="J34" s="93">
        <f t="shared" si="16"/>
        <v>79</v>
      </c>
      <c r="K34" s="93">
        <f t="shared" si="16"/>
        <v>95</v>
      </c>
      <c r="L34" s="93">
        <f t="shared" si="16"/>
        <v>95</v>
      </c>
      <c r="M34" s="93">
        <f t="shared" si="16"/>
        <v>110</v>
      </c>
      <c r="N34" s="93">
        <f t="shared" si="16"/>
        <v>141</v>
      </c>
      <c r="O34" s="93">
        <f t="shared" si="16"/>
        <v>141</v>
      </c>
      <c r="P34" s="93">
        <f t="shared" si="16"/>
        <v>79</v>
      </c>
      <c r="Q34" s="93">
        <f t="shared" si="16"/>
        <v>95</v>
      </c>
      <c r="R34" s="93">
        <f t="shared" si="16"/>
        <v>95</v>
      </c>
      <c r="S34" s="93">
        <f t="shared" si="16"/>
        <v>110</v>
      </c>
      <c r="T34" s="93">
        <f t="shared" si="16"/>
        <v>141</v>
      </c>
      <c r="U34" s="93">
        <f t="shared" si="16"/>
        <v>141</v>
      </c>
      <c r="V34" s="93">
        <f t="shared" si="16"/>
        <v>79</v>
      </c>
      <c r="W34" s="93">
        <f t="shared" si="16"/>
        <v>95</v>
      </c>
      <c r="X34" s="93">
        <f t="shared" si="16"/>
        <v>95</v>
      </c>
      <c r="Y34" s="93">
        <f t="shared" si="16"/>
        <v>110</v>
      </c>
      <c r="Z34" s="93">
        <f t="shared" si="16"/>
        <v>141</v>
      </c>
      <c r="AA34" s="93">
        <f t="shared" si="16"/>
        <v>141</v>
      </c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</row>
    <row r="35" ht="12.75" customHeight="1">
      <c r="A35" s="79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</row>
    <row r="36" ht="12.75" customHeight="1">
      <c r="A36" s="79"/>
      <c r="B36" s="76"/>
      <c r="C36" s="80" t="s">
        <v>158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</row>
    <row r="37" ht="12.75" customHeight="1">
      <c r="A37" s="79"/>
      <c r="B37" s="76"/>
      <c r="C37" s="76"/>
      <c r="D37" s="76">
        <v>2025.0</v>
      </c>
      <c r="E37" s="76"/>
      <c r="F37" s="76"/>
      <c r="G37" s="76"/>
      <c r="H37" s="76"/>
      <c r="I37" s="76"/>
      <c r="J37" s="76"/>
      <c r="K37" s="95" t="s">
        <v>465</v>
      </c>
      <c r="L37" s="76"/>
      <c r="M37" s="76"/>
      <c r="N37" s="76"/>
      <c r="O37" s="76"/>
      <c r="P37" s="76">
        <v>2026.0</v>
      </c>
      <c r="Q37" s="76"/>
      <c r="R37" s="76"/>
      <c r="S37" s="76"/>
      <c r="T37" s="76"/>
      <c r="U37" s="76"/>
      <c r="V37" s="76"/>
      <c r="W37" s="95" t="s">
        <v>465</v>
      </c>
      <c r="X37" s="76"/>
      <c r="Y37" s="76"/>
      <c r="Z37" s="76"/>
      <c r="AA37" s="76"/>
      <c r="AB37" s="76">
        <v>2027.0</v>
      </c>
      <c r="AC37" s="76"/>
      <c r="AD37" s="76"/>
      <c r="AE37" s="76"/>
      <c r="AF37" s="76"/>
      <c r="AG37" s="76"/>
      <c r="AH37" s="76"/>
      <c r="AI37" s="95" t="s">
        <v>465</v>
      </c>
      <c r="AJ37" s="76"/>
      <c r="AK37" s="76"/>
      <c r="AL37" s="76"/>
      <c r="AM37" s="76"/>
      <c r="AN37" s="76">
        <v>2028.0</v>
      </c>
      <c r="AO37" s="76"/>
      <c r="AP37" s="76"/>
      <c r="AQ37" s="76"/>
      <c r="AR37" s="76"/>
      <c r="AS37" s="76"/>
      <c r="AT37" s="76"/>
      <c r="AU37" s="95" t="s">
        <v>465</v>
      </c>
      <c r="AV37" s="76"/>
      <c r="AW37" s="76"/>
      <c r="AX37" s="76"/>
      <c r="AY37" s="76"/>
    </row>
    <row r="38" ht="12.75" customHeight="1">
      <c r="A38" s="79"/>
      <c r="B38" s="76"/>
      <c r="C38" s="82" t="s">
        <v>159</v>
      </c>
      <c r="D38" s="76">
        <v>1.0</v>
      </c>
      <c r="E38" s="76">
        <v>2.0</v>
      </c>
      <c r="F38" s="76">
        <v>3.0</v>
      </c>
      <c r="G38" s="76">
        <v>4.0</v>
      </c>
      <c r="H38" s="76">
        <v>5.0</v>
      </c>
      <c r="I38" s="76">
        <v>6.0</v>
      </c>
      <c r="J38" s="76">
        <v>7.0</v>
      </c>
      <c r="K38" s="76">
        <v>8.0</v>
      </c>
      <c r="L38" s="76">
        <v>9.0</v>
      </c>
      <c r="M38" s="76">
        <v>10.0</v>
      </c>
      <c r="N38" s="76">
        <v>11.0</v>
      </c>
      <c r="O38" s="76">
        <v>12.0</v>
      </c>
      <c r="P38" s="76">
        <v>1.0</v>
      </c>
      <c r="Q38" s="76">
        <v>2.0</v>
      </c>
      <c r="R38" s="76">
        <v>3.0</v>
      </c>
      <c r="S38" s="76">
        <v>4.0</v>
      </c>
      <c r="T38" s="76">
        <v>5.0</v>
      </c>
      <c r="U38" s="76">
        <v>6.0</v>
      </c>
      <c r="V38" s="76">
        <v>7.0</v>
      </c>
      <c r="W38" s="76">
        <v>8.0</v>
      </c>
      <c r="X38" s="76">
        <v>9.0</v>
      </c>
      <c r="Y38" s="76">
        <v>10.0</v>
      </c>
      <c r="Z38" s="76">
        <v>11.0</v>
      </c>
      <c r="AA38" s="76">
        <v>12.0</v>
      </c>
      <c r="AB38" s="76">
        <v>1.0</v>
      </c>
      <c r="AC38" s="76">
        <v>2.0</v>
      </c>
      <c r="AD38" s="76">
        <v>3.0</v>
      </c>
      <c r="AE38" s="76">
        <v>4.0</v>
      </c>
      <c r="AF38" s="76">
        <v>5.0</v>
      </c>
      <c r="AG38" s="76">
        <v>6.0</v>
      </c>
      <c r="AH38" s="76">
        <v>7.0</v>
      </c>
      <c r="AI38" s="76">
        <v>8.0</v>
      </c>
      <c r="AJ38" s="76">
        <v>9.0</v>
      </c>
      <c r="AK38" s="76">
        <v>10.0</v>
      </c>
      <c r="AL38" s="76">
        <v>11.0</v>
      </c>
      <c r="AM38" s="76">
        <v>12.0</v>
      </c>
      <c r="AN38" s="76">
        <v>1.0</v>
      </c>
      <c r="AO38" s="76">
        <v>2.0</v>
      </c>
      <c r="AP38" s="76">
        <v>3.0</v>
      </c>
      <c r="AQ38" s="76">
        <v>4.0</v>
      </c>
      <c r="AR38" s="76">
        <v>5.0</v>
      </c>
      <c r="AS38" s="76">
        <v>6.0</v>
      </c>
      <c r="AT38" s="76">
        <v>7.0</v>
      </c>
      <c r="AU38" s="76">
        <v>8.0</v>
      </c>
      <c r="AV38" s="76">
        <v>9.0</v>
      </c>
      <c r="AW38" s="76">
        <v>10.0</v>
      </c>
      <c r="AX38" s="76">
        <v>11.0</v>
      </c>
      <c r="AY38" s="76">
        <v>12.0</v>
      </c>
    </row>
    <row r="39" ht="12.75" customHeight="1">
      <c r="A39" s="79"/>
      <c r="B39" s="76"/>
      <c r="C39" s="82" t="s">
        <v>160</v>
      </c>
      <c r="D39" s="98">
        <v>0.2</v>
      </c>
      <c r="E39" s="98">
        <v>0.2</v>
      </c>
      <c r="F39" s="98">
        <v>0.25</v>
      </c>
      <c r="G39" s="98">
        <v>0.3</v>
      </c>
      <c r="H39" s="98">
        <v>0.5</v>
      </c>
      <c r="I39" s="98">
        <v>0.6</v>
      </c>
      <c r="J39" s="98">
        <v>0.6</v>
      </c>
      <c r="K39" s="98">
        <v>0.2</v>
      </c>
      <c r="L39" s="98">
        <v>0.8</v>
      </c>
      <c r="M39" s="98">
        <v>0.7</v>
      </c>
      <c r="N39" s="98">
        <v>0.8</v>
      </c>
      <c r="O39" s="98">
        <v>0.4</v>
      </c>
      <c r="P39" s="98">
        <v>0.6</v>
      </c>
      <c r="Q39" s="98">
        <v>0.8</v>
      </c>
      <c r="R39" s="98">
        <v>0.7</v>
      </c>
      <c r="S39" s="98">
        <v>0.7</v>
      </c>
      <c r="T39" s="98">
        <v>0.8</v>
      </c>
      <c r="U39" s="98">
        <v>0.9</v>
      </c>
      <c r="V39" s="98">
        <v>0.9</v>
      </c>
      <c r="W39" s="98">
        <v>0.3</v>
      </c>
      <c r="X39" s="98">
        <v>0.9</v>
      </c>
      <c r="Y39" s="98">
        <v>0.8</v>
      </c>
      <c r="Z39" s="98">
        <v>0.8</v>
      </c>
      <c r="AA39" s="98">
        <v>0.6</v>
      </c>
      <c r="AB39" s="98">
        <v>0.8</v>
      </c>
      <c r="AC39" s="98">
        <v>0.9</v>
      </c>
      <c r="AD39" s="98">
        <v>0.8</v>
      </c>
      <c r="AE39" s="98">
        <v>0.8</v>
      </c>
      <c r="AF39" s="98">
        <v>1.0</v>
      </c>
      <c r="AG39" s="98">
        <v>1.2</v>
      </c>
      <c r="AH39" s="98">
        <v>1.0</v>
      </c>
      <c r="AI39" s="98">
        <v>1.0</v>
      </c>
      <c r="AJ39" s="98">
        <v>0.9</v>
      </c>
      <c r="AK39" s="98">
        <v>0.8</v>
      </c>
      <c r="AL39" s="98">
        <v>0.8</v>
      </c>
      <c r="AM39" s="98">
        <v>0.6</v>
      </c>
      <c r="AN39" s="98">
        <v>0.6</v>
      </c>
      <c r="AO39" s="98">
        <v>0.8</v>
      </c>
      <c r="AP39" s="98">
        <v>0.7</v>
      </c>
      <c r="AQ39" s="98">
        <v>0.7</v>
      </c>
      <c r="AR39" s="98">
        <v>0.8</v>
      </c>
      <c r="AS39" s="98">
        <v>0.9</v>
      </c>
      <c r="AT39" s="98">
        <v>0.9</v>
      </c>
      <c r="AU39" s="98">
        <v>0.3</v>
      </c>
      <c r="AV39" s="98">
        <v>0.9</v>
      </c>
      <c r="AW39" s="98">
        <v>0.8</v>
      </c>
      <c r="AX39" s="98">
        <v>0.8</v>
      </c>
      <c r="AY39" s="98">
        <v>0.6</v>
      </c>
    </row>
    <row r="40" ht="12.75" customHeight="1">
      <c r="A40" s="79"/>
      <c r="B40" s="76"/>
      <c r="C40" s="76" t="s">
        <v>148</v>
      </c>
      <c r="D40" s="76">
        <f t="shared" ref="D40:AY40" si="17">ROUND(SUM($D28:$AA28)*D$39,0)</f>
        <v>78</v>
      </c>
      <c r="E40" s="76">
        <f t="shared" si="17"/>
        <v>78</v>
      </c>
      <c r="F40" s="76">
        <f t="shared" si="17"/>
        <v>98</v>
      </c>
      <c r="G40" s="76">
        <f t="shared" si="17"/>
        <v>118</v>
      </c>
      <c r="H40" s="76">
        <f t="shared" si="17"/>
        <v>196</v>
      </c>
      <c r="I40" s="76">
        <f t="shared" si="17"/>
        <v>235</v>
      </c>
      <c r="J40" s="76">
        <f t="shared" si="17"/>
        <v>235</v>
      </c>
      <c r="K40" s="76">
        <f t="shared" si="17"/>
        <v>78</v>
      </c>
      <c r="L40" s="76">
        <f t="shared" si="17"/>
        <v>314</v>
      </c>
      <c r="M40" s="76">
        <f t="shared" si="17"/>
        <v>274</v>
      </c>
      <c r="N40" s="76">
        <f t="shared" si="17"/>
        <v>314</v>
      </c>
      <c r="O40" s="76">
        <f t="shared" si="17"/>
        <v>157</v>
      </c>
      <c r="P40" s="76">
        <f t="shared" si="17"/>
        <v>235</v>
      </c>
      <c r="Q40" s="76">
        <f t="shared" si="17"/>
        <v>314</v>
      </c>
      <c r="R40" s="76">
        <f t="shared" si="17"/>
        <v>274</v>
      </c>
      <c r="S40" s="76">
        <f t="shared" si="17"/>
        <v>274</v>
      </c>
      <c r="T40" s="76">
        <f t="shared" si="17"/>
        <v>314</v>
      </c>
      <c r="U40" s="76">
        <f t="shared" si="17"/>
        <v>353</v>
      </c>
      <c r="V40" s="76">
        <f t="shared" si="17"/>
        <v>353</v>
      </c>
      <c r="W40" s="76">
        <f t="shared" si="17"/>
        <v>118</v>
      </c>
      <c r="X40" s="76">
        <f t="shared" si="17"/>
        <v>353</v>
      </c>
      <c r="Y40" s="76">
        <f t="shared" si="17"/>
        <v>314</v>
      </c>
      <c r="Z40" s="76">
        <f t="shared" si="17"/>
        <v>314</v>
      </c>
      <c r="AA40" s="76">
        <f t="shared" si="17"/>
        <v>235</v>
      </c>
      <c r="AB40" s="76">
        <f t="shared" si="17"/>
        <v>314</v>
      </c>
      <c r="AC40" s="76">
        <f t="shared" si="17"/>
        <v>353</v>
      </c>
      <c r="AD40" s="76">
        <f t="shared" si="17"/>
        <v>314</v>
      </c>
      <c r="AE40" s="76">
        <f t="shared" si="17"/>
        <v>314</v>
      </c>
      <c r="AF40" s="76">
        <f t="shared" si="17"/>
        <v>392</v>
      </c>
      <c r="AG40" s="76">
        <f t="shared" si="17"/>
        <v>470</v>
      </c>
      <c r="AH40" s="76">
        <f t="shared" si="17"/>
        <v>392</v>
      </c>
      <c r="AI40" s="76">
        <f t="shared" si="17"/>
        <v>392</v>
      </c>
      <c r="AJ40" s="76">
        <f t="shared" si="17"/>
        <v>353</v>
      </c>
      <c r="AK40" s="76">
        <f t="shared" si="17"/>
        <v>314</v>
      </c>
      <c r="AL40" s="76">
        <f t="shared" si="17"/>
        <v>314</v>
      </c>
      <c r="AM40" s="76">
        <f t="shared" si="17"/>
        <v>235</v>
      </c>
      <c r="AN40" s="76">
        <f t="shared" si="17"/>
        <v>235</v>
      </c>
      <c r="AO40" s="76">
        <f t="shared" si="17"/>
        <v>314</v>
      </c>
      <c r="AP40" s="76">
        <f t="shared" si="17"/>
        <v>274</v>
      </c>
      <c r="AQ40" s="76">
        <f t="shared" si="17"/>
        <v>274</v>
      </c>
      <c r="AR40" s="76">
        <f t="shared" si="17"/>
        <v>314</v>
      </c>
      <c r="AS40" s="76">
        <f t="shared" si="17"/>
        <v>353</v>
      </c>
      <c r="AT40" s="76">
        <f t="shared" si="17"/>
        <v>353</v>
      </c>
      <c r="AU40" s="76">
        <f t="shared" si="17"/>
        <v>118</v>
      </c>
      <c r="AV40" s="76">
        <f t="shared" si="17"/>
        <v>353</v>
      </c>
      <c r="AW40" s="76">
        <f t="shared" si="17"/>
        <v>314</v>
      </c>
      <c r="AX40" s="76">
        <f t="shared" si="17"/>
        <v>314</v>
      </c>
      <c r="AY40" s="76">
        <f t="shared" si="17"/>
        <v>235</v>
      </c>
    </row>
    <row r="41" ht="12.75" customHeight="1">
      <c r="A41" s="79"/>
      <c r="B41" s="76"/>
      <c r="C41" s="76" t="s">
        <v>76</v>
      </c>
      <c r="D41" s="76">
        <f t="shared" ref="D41:AY41" si="18">ROUND(SUM($D29:$AA29)*D$39,0)</f>
        <v>101</v>
      </c>
      <c r="E41" s="76">
        <f t="shared" si="18"/>
        <v>101</v>
      </c>
      <c r="F41" s="76">
        <f t="shared" si="18"/>
        <v>126</v>
      </c>
      <c r="G41" s="76">
        <f t="shared" si="18"/>
        <v>151</v>
      </c>
      <c r="H41" s="76">
        <f t="shared" si="18"/>
        <v>252</v>
      </c>
      <c r="I41" s="76">
        <f t="shared" si="18"/>
        <v>302</v>
      </c>
      <c r="J41" s="76">
        <f t="shared" si="18"/>
        <v>302</v>
      </c>
      <c r="K41" s="76">
        <f t="shared" si="18"/>
        <v>101</v>
      </c>
      <c r="L41" s="76">
        <f t="shared" si="18"/>
        <v>403</v>
      </c>
      <c r="M41" s="76">
        <f t="shared" si="18"/>
        <v>353</v>
      </c>
      <c r="N41" s="76">
        <f t="shared" si="18"/>
        <v>403</v>
      </c>
      <c r="O41" s="76">
        <f t="shared" si="18"/>
        <v>202</v>
      </c>
      <c r="P41" s="76">
        <f t="shared" si="18"/>
        <v>302</v>
      </c>
      <c r="Q41" s="76">
        <f t="shared" si="18"/>
        <v>403</v>
      </c>
      <c r="R41" s="76">
        <f t="shared" si="18"/>
        <v>353</v>
      </c>
      <c r="S41" s="76">
        <f t="shared" si="18"/>
        <v>353</v>
      </c>
      <c r="T41" s="76">
        <f t="shared" si="18"/>
        <v>403</v>
      </c>
      <c r="U41" s="76">
        <f t="shared" si="18"/>
        <v>454</v>
      </c>
      <c r="V41" s="76">
        <f t="shared" si="18"/>
        <v>454</v>
      </c>
      <c r="W41" s="76">
        <f t="shared" si="18"/>
        <v>151</v>
      </c>
      <c r="X41" s="76">
        <f t="shared" si="18"/>
        <v>454</v>
      </c>
      <c r="Y41" s="76">
        <f t="shared" si="18"/>
        <v>403</v>
      </c>
      <c r="Z41" s="76">
        <f t="shared" si="18"/>
        <v>403</v>
      </c>
      <c r="AA41" s="76">
        <f t="shared" si="18"/>
        <v>302</v>
      </c>
      <c r="AB41" s="76">
        <f t="shared" si="18"/>
        <v>403</v>
      </c>
      <c r="AC41" s="76">
        <f t="shared" si="18"/>
        <v>454</v>
      </c>
      <c r="AD41" s="76">
        <f t="shared" si="18"/>
        <v>403</v>
      </c>
      <c r="AE41" s="76">
        <f t="shared" si="18"/>
        <v>403</v>
      </c>
      <c r="AF41" s="76">
        <f t="shared" si="18"/>
        <v>504</v>
      </c>
      <c r="AG41" s="76">
        <f t="shared" si="18"/>
        <v>605</v>
      </c>
      <c r="AH41" s="76">
        <f t="shared" si="18"/>
        <v>504</v>
      </c>
      <c r="AI41" s="76">
        <f t="shared" si="18"/>
        <v>504</v>
      </c>
      <c r="AJ41" s="76">
        <f t="shared" si="18"/>
        <v>454</v>
      </c>
      <c r="AK41" s="76">
        <f t="shared" si="18"/>
        <v>403</v>
      </c>
      <c r="AL41" s="76">
        <f t="shared" si="18"/>
        <v>403</v>
      </c>
      <c r="AM41" s="76">
        <f t="shared" si="18"/>
        <v>302</v>
      </c>
      <c r="AN41" s="76">
        <f t="shared" si="18"/>
        <v>302</v>
      </c>
      <c r="AO41" s="76">
        <f t="shared" si="18"/>
        <v>403</v>
      </c>
      <c r="AP41" s="76">
        <f t="shared" si="18"/>
        <v>353</v>
      </c>
      <c r="AQ41" s="76">
        <f t="shared" si="18"/>
        <v>353</v>
      </c>
      <c r="AR41" s="76">
        <f t="shared" si="18"/>
        <v>403</v>
      </c>
      <c r="AS41" s="76">
        <f t="shared" si="18"/>
        <v>454</v>
      </c>
      <c r="AT41" s="76">
        <f t="shared" si="18"/>
        <v>454</v>
      </c>
      <c r="AU41" s="76">
        <f t="shared" si="18"/>
        <v>151</v>
      </c>
      <c r="AV41" s="76">
        <f t="shared" si="18"/>
        <v>454</v>
      </c>
      <c r="AW41" s="76">
        <f t="shared" si="18"/>
        <v>403</v>
      </c>
      <c r="AX41" s="76">
        <f t="shared" si="18"/>
        <v>403</v>
      </c>
      <c r="AY41" s="76">
        <f t="shared" si="18"/>
        <v>302</v>
      </c>
    </row>
    <row r="42" ht="12.75" customHeight="1">
      <c r="A42" s="79"/>
      <c r="B42" s="76"/>
      <c r="C42" s="76" t="s">
        <v>80</v>
      </c>
      <c r="D42" s="76">
        <f t="shared" ref="D42:AY42" si="19">ROUND(SUM($D30:$AA30)*D$39,0)</f>
        <v>128</v>
      </c>
      <c r="E42" s="76">
        <f t="shared" si="19"/>
        <v>128</v>
      </c>
      <c r="F42" s="76">
        <f t="shared" si="19"/>
        <v>160</v>
      </c>
      <c r="G42" s="76">
        <f t="shared" si="19"/>
        <v>192</v>
      </c>
      <c r="H42" s="76">
        <f t="shared" si="19"/>
        <v>320</v>
      </c>
      <c r="I42" s="76">
        <f t="shared" si="19"/>
        <v>384</v>
      </c>
      <c r="J42" s="76">
        <f t="shared" si="19"/>
        <v>384</v>
      </c>
      <c r="K42" s="76">
        <f t="shared" si="19"/>
        <v>128</v>
      </c>
      <c r="L42" s="76">
        <f t="shared" si="19"/>
        <v>512</v>
      </c>
      <c r="M42" s="76">
        <f t="shared" si="19"/>
        <v>448</v>
      </c>
      <c r="N42" s="76">
        <f t="shared" si="19"/>
        <v>512</v>
      </c>
      <c r="O42" s="76">
        <f t="shared" si="19"/>
        <v>256</v>
      </c>
      <c r="P42" s="76">
        <f t="shared" si="19"/>
        <v>384</v>
      </c>
      <c r="Q42" s="76">
        <f t="shared" si="19"/>
        <v>512</v>
      </c>
      <c r="R42" s="76">
        <f t="shared" si="19"/>
        <v>448</v>
      </c>
      <c r="S42" s="76">
        <f t="shared" si="19"/>
        <v>448</v>
      </c>
      <c r="T42" s="76">
        <f t="shared" si="19"/>
        <v>512</v>
      </c>
      <c r="U42" s="76">
        <f t="shared" si="19"/>
        <v>576</v>
      </c>
      <c r="V42" s="76">
        <f t="shared" si="19"/>
        <v>576</v>
      </c>
      <c r="W42" s="76">
        <f t="shared" si="19"/>
        <v>192</v>
      </c>
      <c r="X42" s="76">
        <f t="shared" si="19"/>
        <v>576</v>
      </c>
      <c r="Y42" s="76">
        <f t="shared" si="19"/>
        <v>512</v>
      </c>
      <c r="Z42" s="76">
        <f t="shared" si="19"/>
        <v>512</v>
      </c>
      <c r="AA42" s="76">
        <f t="shared" si="19"/>
        <v>384</v>
      </c>
      <c r="AB42" s="76">
        <f t="shared" si="19"/>
        <v>512</v>
      </c>
      <c r="AC42" s="76">
        <f t="shared" si="19"/>
        <v>576</v>
      </c>
      <c r="AD42" s="76">
        <f t="shared" si="19"/>
        <v>512</v>
      </c>
      <c r="AE42" s="76">
        <f t="shared" si="19"/>
        <v>512</v>
      </c>
      <c r="AF42" s="76">
        <f t="shared" si="19"/>
        <v>640</v>
      </c>
      <c r="AG42" s="76">
        <f t="shared" si="19"/>
        <v>768</v>
      </c>
      <c r="AH42" s="76">
        <f t="shared" si="19"/>
        <v>640</v>
      </c>
      <c r="AI42" s="76">
        <f t="shared" si="19"/>
        <v>640</v>
      </c>
      <c r="AJ42" s="76">
        <f t="shared" si="19"/>
        <v>576</v>
      </c>
      <c r="AK42" s="76">
        <f t="shared" si="19"/>
        <v>512</v>
      </c>
      <c r="AL42" s="76">
        <f t="shared" si="19"/>
        <v>512</v>
      </c>
      <c r="AM42" s="76">
        <f t="shared" si="19"/>
        <v>384</v>
      </c>
      <c r="AN42" s="76">
        <f t="shared" si="19"/>
        <v>384</v>
      </c>
      <c r="AO42" s="76">
        <f t="shared" si="19"/>
        <v>512</v>
      </c>
      <c r="AP42" s="76">
        <f t="shared" si="19"/>
        <v>448</v>
      </c>
      <c r="AQ42" s="76">
        <f t="shared" si="19"/>
        <v>448</v>
      </c>
      <c r="AR42" s="76">
        <f t="shared" si="19"/>
        <v>512</v>
      </c>
      <c r="AS42" s="76">
        <f t="shared" si="19"/>
        <v>576</v>
      </c>
      <c r="AT42" s="76">
        <f t="shared" si="19"/>
        <v>576</v>
      </c>
      <c r="AU42" s="76">
        <f t="shared" si="19"/>
        <v>192</v>
      </c>
      <c r="AV42" s="76">
        <f t="shared" si="19"/>
        <v>576</v>
      </c>
      <c r="AW42" s="76">
        <f t="shared" si="19"/>
        <v>512</v>
      </c>
      <c r="AX42" s="76">
        <f t="shared" si="19"/>
        <v>512</v>
      </c>
      <c r="AY42" s="76">
        <f t="shared" si="19"/>
        <v>384</v>
      </c>
    </row>
    <row r="43" ht="12.75" customHeight="1">
      <c r="A43" s="79"/>
      <c r="B43" s="76"/>
      <c r="C43" s="76" t="s">
        <v>83</v>
      </c>
      <c r="D43" s="76">
        <f t="shared" ref="D43:AY43" si="20">ROUND(SUM($D31:$AA31)*D$39,0)</f>
        <v>114</v>
      </c>
      <c r="E43" s="76">
        <f t="shared" si="20"/>
        <v>114</v>
      </c>
      <c r="F43" s="76">
        <f t="shared" si="20"/>
        <v>143</v>
      </c>
      <c r="G43" s="76">
        <f t="shared" si="20"/>
        <v>172</v>
      </c>
      <c r="H43" s="76">
        <f t="shared" si="20"/>
        <v>286</v>
      </c>
      <c r="I43" s="76">
        <f t="shared" si="20"/>
        <v>343</v>
      </c>
      <c r="J43" s="76">
        <f t="shared" si="20"/>
        <v>343</v>
      </c>
      <c r="K43" s="76">
        <f t="shared" si="20"/>
        <v>114</v>
      </c>
      <c r="L43" s="76">
        <f t="shared" si="20"/>
        <v>458</v>
      </c>
      <c r="M43" s="76">
        <f t="shared" si="20"/>
        <v>400</v>
      </c>
      <c r="N43" s="76">
        <f t="shared" si="20"/>
        <v>458</v>
      </c>
      <c r="O43" s="76">
        <f t="shared" si="20"/>
        <v>229</v>
      </c>
      <c r="P43" s="76">
        <f t="shared" si="20"/>
        <v>343</v>
      </c>
      <c r="Q43" s="76">
        <f t="shared" si="20"/>
        <v>458</v>
      </c>
      <c r="R43" s="76">
        <f t="shared" si="20"/>
        <v>400</v>
      </c>
      <c r="S43" s="76">
        <f t="shared" si="20"/>
        <v>400</v>
      </c>
      <c r="T43" s="76">
        <f t="shared" si="20"/>
        <v>458</v>
      </c>
      <c r="U43" s="76">
        <f t="shared" si="20"/>
        <v>515</v>
      </c>
      <c r="V43" s="76">
        <f t="shared" si="20"/>
        <v>515</v>
      </c>
      <c r="W43" s="76">
        <f t="shared" si="20"/>
        <v>172</v>
      </c>
      <c r="X43" s="76">
        <f t="shared" si="20"/>
        <v>515</v>
      </c>
      <c r="Y43" s="76">
        <f t="shared" si="20"/>
        <v>458</v>
      </c>
      <c r="Z43" s="76">
        <f t="shared" si="20"/>
        <v>458</v>
      </c>
      <c r="AA43" s="76">
        <f t="shared" si="20"/>
        <v>343</v>
      </c>
      <c r="AB43" s="76">
        <f t="shared" si="20"/>
        <v>458</v>
      </c>
      <c r="AC43" s="76">
        <f t="shared" si="20"/>
        <v>515</v>
      </c>
      <c r="AD43" s="76">
        <f t="shared" si="20"/>
        <v>458</v>
      </c>
      <c r="AE43" s="76">
        <f t="shared" si="20"/>
        <v>458</v>
      </c>
      <c r="AF43" s="76">
        <f t="shared" si="20"/>
        <v>572</v>
      </c>
      <c r="AG43" s="76">
        <f t="shared" si="20"/>
        <v>686</v>
      </c>
      <c r="AH43" s="76">
        <f t="shared" si="20"/>
        <v>572</v>
      </c>
      <c r="AI43" s="76">
        <f t="shared" si="20"/>
        <v>572</v>
      </c>
      <c r="AJ43" s="76">
        <f t="shared" si="20"/>
        <v>515</v>
      </c>
      <c r="AK43" s="76">
        <f t="shared" si="20"/>
        <v>458</v>
      </c>
      <c r="AL43" s="76">
        <f t="shared" si="20"/>
        <v>458</v>
      </c>
      <c r="AM43" s="76">
        <f t="shared" si="20"/>
        <v>343</v>
      </c>
      <c r="AN43" s="76">
        <f t="shared" si="20"/>
        <v>343</v>
      </c>
      <c r="AO43" s="76">
        <f t="shared" si="20"/>
        <v>458</v>
      </c>
      <c r="AP43" s="76">
        <f t="shared" si="20"/>
        <v>400</v>
      </c>
      <c r="AQ43" s="76">
        <f t="shared" si="20"/>
        <v>400</v>
      </c>
      <c r="AR43" s="76">
        <f t="shared" si="20"/>
        <v>458</v>
      </c>
      <c r="AS43" s="76">
        <f t="shared" si="20"/>
        <v>515</v>
      </c>
      <c r="AT43" s="76">
        <f t="shared" si="20"/>
        <v>515</v>
      </c>
      <c r="AU43" s="76">
        <f t="shared" si="20"/>
        <v>172</v>
      </c>
      <c r="AV43" s="76">
        <f t="shared" si="20"/>
        <v>515</v>
      </c>
      <c r="AW43" s="76">
        <f t="shared" si="20"/>
        <v>458</v>
      </c>
      <c r="AX43" s="76">
        <f t="shared" si="20"/>
        <v>458</v>
      </c>
      <c r="AY43" s="76">
        <f t="shared" si="20"/>
        <v>343</v>
      </c>
    </row>
    <row r="44" ht="12.75" customHeight="1">
      <c r="A44" s="79"/>
      <c r="B44" s="76"/>
      <c r="C44" s="76" t="s">
        <v>87</v>
      </c>
      <c r="D44" s="76">
        <f t="shared" ref="D44:AY44" si="21">ROUND(SUM($D32:$AA32)*D$39,0)</f>
        <v>54</v>
      </c>
      <c r="E44" s="76">
        <f t="shared" si="21"/>
        <v>54</v>
      </c>
      <c r="F44" s="76">
        <f t="shared" si="21"/>
        <v>67</v>
      </c>
      <c r="G44" s="76">
        <f t="shared" si="21"/>
        <v>80</v>
      </c>
      <c r="H44" s="76">
        <f t="shared" si="21"/>
        <v>134</v>
      </c>
      <c r="I44" s="76">
        <f t="shared" si="21"/>
        <v>161</v>
      </c>
      <c r="J44" s="76">
        <f t="shared" si="21"/>
        <v>161</v>
      </c>
      <c r="K44" s="76">
        <f t="shared" si="21"/>
        <v>54</v>
      </c>
      <c r="L44" s="76">
        <f t="shared" si="21"/>
        <v>214</v>
      </c>
      <c r="M44" s="76">
        <f t="shared" si="21"/>
        <v>188</v>
      </c>
      <c r="N44" s="76">
        <f t="shared" si="21"/>
        <v>214</v>
      </c>
      <c r="O44" s="76">
        <f t="shared" si="21"/>
        <v>107</v>
      </c>
      <c r="P44" s="76">
        <f t="shared" si="21"/>
        <v>161</v>
      </c>
      <c r="Q44" s="76">
        <f t="shared" si="21"/>
        <v>214</v>
      </c>
      <c r="R44" s="76">
        <f t="shared" si="21"/>
        <v>188</v>
      </c>
      <c r="S44" s="76">
        <f t="shared" si="21"/>
        <v>188</v>
      </c>
      <c r="T44" s="76">
        <f t="shared" si="21"/>
        <v>214</v>
      </c>
      <c r="U44" s="76">
        <f t="shared" si="21"/>
        <v>241</v>
      </c>
      <c r="V44" s="76">
        <f t="shared" si="21"/>
        <v>241</v>
      </c>
      <c r="W44" s="76">
        <f t="shared" si="21"/>
        <v>80</v>
      </c>
      <c r="X44" s="76">
        <f t="shared" si="21"/>
        <v>241</v>
      </c>
      <c r="Y44" s="76">
        <f t="shared" si="21"/>
        <v>214</v>
      </c>
      <c r="Z44" s="76">
        <f t="shared" si="21"/>
        <v>214</v>
      </c>
      <c r="AA44" s="76">
        <f t="shared" si="21"/>
        <v>161</v>
      </c>
      <c r="AB44" s="76">
        <f t="shared" si="21"/>
        <v>214</v>
      </c>
      <c r="AC44" s="76">
        <f t="shared" si="21"/>
        <v>241</v>
      </c>
      <c r="AD44" s="76">
        <f t="shared" si="21"/>
        <v>214</v>
      </c>
      <c r="AE44" s="76">
        <f t="shared" si="21"/>
        <v>214</v>
      </c>
      <c r="AF44" s="76">
        <f t="shared" si="21"/>
        <v>268</v>
      </c>
      <c r="AG44" s="76">
        <f t="shared" si="21"/>
        <v>322</v>
      </c>
      <c r="AH44" s="76">
        <f t="shared" si="21"/>
        <v>268</v>
      </c>
      <c r="AI44" s="76">
        <f t="shared" si="21"/>
        <v>268</v>
      </c>
      <c r="AJ44" s="76">
        <f t="shared" si="21"/>
        <v>241</v>
      </c>
      <c r="AK44" s="76">
        <f t="shared" si="21"/>
        <v>214</v>
      </c>
      <c r="AL44" s="76">
        <f t="shared" si="21"/>
        <v>214</v>
      </c>
      <c r="AM44" s="76">
        <f t="shared" si="21"/>
        <v>161</v>
      </c>
      <c r="AN44" s="76">
        <f t="shared" si="21"/>
        <v>161</v>
      </c>
      <c r="AO44" s="76">
        <f t="shared" si="21"/>
        <v>214</v>
      </c>
      <c r="AP44" s="76">
        <f t="shared" si="21"/>
        <v>188</v>
      </c>
      <c r="AQ44" s="76">
        <f t="shared" si="21"/>
        <v>188</v>
      </c>
      <c r="AR44" s="76">
        <f t="shared" si="21"/>
        <v>214</v>
      </c>
      <c r="AS44" s="76">
        <f t="shared" si="21"/>
        <v>241</v>
      </c>
      <c r="AT44" s="76">
        <f t="shared" si="21"/>
        <v>241</v>
      </c>
      <c r="AU44" s="76">
        <f t="shared" si="21"/>
        <v>80</v>
      </c>
      <c r="AV44" s="76">
        <f t="shared" si="21"/>
        <v>241</v>
      </c>
      <c r="AW44" s="76">
        <f t="shared" si="21"/>
        <v>214</v>
      </c>
      <c r="AX44" s="76">
        <f t="shared" si="21"/>
        <v>214</v>
      </c>
      <c r="AY44" s="76">
        <f t="shared" si="21"/>
        <v>161</v>
      </c>
    </row>
    <row r="45" ht="12.75" customHeight="1">
      <c r="A45" s="79"/>
      <c r="B45" s="76"/>
      <c r="C45" s="76" t="s">
        <v>464</v>
      </c>
      <c r="D45" s="76">
        <f t="shared" ref="D45:AY45" si="22">ROUND(SUM($D33:$AA33)*D$39,0)</f>
        <v>54</v>
      </c>
      <c r="E45" s="76">
        <f t="shared" si="22"/>
        <v>54</v>
      </c>
      <c r="F45" s="76">
        <f t="shared" si="22"/>
        <v>67</v>
      </c>
      <c r="G45" s="76">
        <f t="shared" si="22"/>
        <v>80</v>
      </c>
      <c r="H45" s="76">
        <f t="shared" si="22"/>
        <v>134</v>
      </c>
      <c r="I45" s="76">
        <f t="shared" si="22"/>
        <v>161</v>
      </c>
      <c r="J45" s="76">
        <f t="shared" si="22"/>
        <v>161</v>
      </c>
      <c r="K45" s="76">
        <f t="shared" si="22"/>
        <v>54</v>
      </c>
      <c r="L45" s="76">
        <f t="shared" si="22"/>
        <v>214</v>
      </c>
      <c r="M45" s="76">
        <f t="shared" si="22"/>
        <v>188</v>
      </c>
      <c r="N45" s="76">
        <f t="shared" si="22"/>
        <v>214</v>
      </c>
      <c r="O45" s="76">
        <f t="shared" si="22"/>
        <v>107</v>
      </c>
      <c r="P45" s="76">
        <f t="shared" si="22"/>
        <v>161</v>
      </c>
      <c r="Q45" s="76">
        <f t="shared" si="22"/>
        <v>214</v>
      </c>
      <c r="R45" s="76">
        <f t="shared" si="22"/>
        <v>188</v>
      </c>
      <c r="S45" s="76">
        <f t="shared" si="22"/>
        <v>188</v>
      </c>
      <c r="T45" s="76">
        <f t="shared" si="22"/>
        <v>214</v>
      </c>
      <c r="U45" s="76">
        <f t="shared" si="22"/>
        <v>241</v>
      </c>
      <c r="V45" s="76">
        <f t="shared" si="22"/>
        <v>241</v>
      </c>
      <c r="W45" s="76">
        <f t="shared" si="22"/>
        <v>80</v>
      </c>
      <c r="X45" s="76">
        <f t="shared" si="22"/>
        <v>241</v>
      </c>
      <c r="Y45" s="76">
        <f t="shared" si="22"/>
        <v>214</v>
      </c>
      <c r="Z45" s="76">
        <f t="shared" si="22"/>
        <v>214</v>
      </c>
      <c r="AA45" s="76">
        <f t="shared" si="22"/>
        <v>161</v>
      </c>
      <c r="AB45" s="76">
        <f t="shared" si="22"/>
        <v>214</v>
      </c>
      <c r="AC45" s="76">
        <f t="shared" si="22"/>
        <v>241</v>
      </c>
      <c r="AD45" s="76">
        <f t="shared" si="22"/>
        <v>214</v>
      </c>
      <c r="AE45" s="76">
        <f t="shared" si="22"/>
        <v>214</v>
      </c>
      <c r="AF45" s="76">
        <f t="shared" si="22"/>
        <v>268</v>
      </c>
      <c r="AG45" s="76">
        <f t="shared" si="22"/>
        <v>322</v>
      </c>
      <c r="AH45" s="76">
        <f t="shared" si="22"/>
        <v>268</v>
      </c>
      <c r="AI45" s="76">
        <f t="shared" si="22"/>
        <v>268</v>
      </c>
      <c r="AJ45" s="76">
        <f t="shared" si="22"/>
        <v>241</v>
      </c>
      <c r="AK45" s="76">
        <f t="shared" si="22"/>
        <v>214</v>
      </c>
      <c r="AL45" s="76">
        <f t="shared" si="22"/>
        <v>214</v>
      </c>
      <c r="AM45" s="76">
        <f t="shared" si="22"/>
        <v>161</v>
      </c>
      <c r="AN45" s="76">
        <f t="shared" si="22"/>
        <v>161</v>
      </c>
      <c r="AO45" s="76">
        <f t="shared" si="22"/>
        <v>214</v>
      </c>
      <c r="AP45" s="76">
        <f t="shared" si="22"/>
        <v>188</v>
      </c>
      <c r="AQ45" s="76">
        <f t="shared" si="22"/>
        <v>188</v>
      </c>
      <c r="AR45" s="76">
        <f t="shared" si="22"/>
        <v>214</v>
      </c>
      <c r="AS45" s="76">
        <f t="shared" si="22"/>
        <v>241</v>
      </c>
      <c r="AT45" s="76">
        <f t="shared" si="22"/>
        <v>241</v>
      </c>
      <c r="AU45" s="76">
        <f t="shared" si="22"/>
        <v>80</v>
      </c>
      <c r="AV45" s="76">
        <f t="shared" si="22"/>
        <v>241</v>
      </c>
      <c r="AW45" s="76">
        <f t="shared" si="22"/>
        <v>214</v>
      </c>
      <c r="AX45" s="76">
        <f t="shared" si="22"/>
        <v>214</v>
      </c>
      <c r="AY45" s="76">
        <f t="shared" si="22"/>
        <v>161</v>
      </c>
    </row>
    <row r="46" ht="12.75" customHeight="1">
      <c r="A46" s="79"/>
      <c r="B46" s="76"/>
      <c r="D46" s="93">
        <f t="shared" ref="D46:AY46" si="23">SUM(D40:D45)</f>
        <v>529</v>
      </c>
      <c r="E46" s="93">
        <f t="shared" si="23"/>
        <v>529</v>
      </c>
      <c r="F46" s="93">
        <f t="shared" si="23"/>
        <v>661</v>
      </c>
      <c r="G46" s="93">
        <f t="shared" si="23"/>
        <v>793</v>
      </c>
      <c r="H46" s="93">
        <f t="shared" si="23"/>
        <v>1322</v>
      </c>
      <c r="I46" s="93">
        <f t="shared" si="23"/>
        <v>1586</v>
      </c>
      <c r="J46" s="93">
        <f t="shared" si="23"/>
        <v>1586</v>
      </c>
      <c r="K46" s="93">
        <f t="shared" si="23"/>
        <v>529</v>
      </c>
      <c r="L46" s="93">
        <f t="shared" si="23"/>
        <v>2115</v>
      </c>
      <c r="M46" s="93">
        <f t="shared" si="23"/>
        <v>1851</v>
      </c>
      <c r="N46" s="93">
        <f t="shared" si="23"/>
        <v>2115</v>
      </c>
      <c r="O46" s="93">
        <f t="shared" si="23"/>
        <v>1058</v>
      </c>
      <c r="P46" s="93">
        <f t="shared" si="23"/>
        <v>1586</v>
      </c>
      <c r="Q46" s="93">
        <f t="shared" si="23"/>
        <v>2115</v>
      </c>
      <c r="R46" s="93">
        <f t="shared" si="23"/>
        <v>1851</v>
      </c>
      <c r="S46" s="93">
        <f t="shared" si="23"/>
        <v>1851</v>
      </c>
      <c r="T46" s="93">
        <f t="shared" si="23"/>
        <v>2115</v>
      </c>
      <c r="U46" s="93">
        <f t="shared" si="23"/>
        <v>2380</v>
      </c>
      <c r="V46" s="93">
        <f t="shared" si="23"/>
        <v>2380</v>
      </c>
      <c r="W46" s="93">
        <f t="shared" si="23"/>
        <v>793</v>
      </c>
      <c r="X46" s="93">
        <f t="shared" si="23"/>
        <v>2380</v>
      </c>
      <c r="Y46" s="93">
        <f t="shared" si="23"/>
        <v>2115</v>
      </c>
      <c r="Z46" s="93">
        <f t="shared" si="23"/>
        <v>2115</v>
      </c>
      <c r="AA46" s="93">
        <f t="shared" si="23"/>
        <v>1586</v>
      </c>
      <c r="AB46" s="93">
        <f t="shared" si="23"/>
        <v>2115</v>
      </c>
      <c r="AC46" s="93">
        <f t="shared" si="23"/>
        <v>2380</v>
      </c>
      <c r="AD46" s="93">
        <f t="shared" si="23"/>
        <v>2115</v>
      </c>
      <c r="AE46" s="93">
        <f t="shared" si="23"/>
        <v>2115</v>
      </c>
      <c r="AF46" s="93">
        <f t="shared" si="23"/>
        <v>2644</v>
      </c>
      <c r="AG46" s="93">
        <f t="shared" si="23"/>
        <v>3173</v>
      </c>
      <c r="AH46" s="93">
        <f t="shared" si="23"/>
        <v>2644</v>
      </c>
      <c r="AI46" s="93">
        <f t="shared" si="23"/>
        <v>2644</v>
      </c>
      <c r="AJ46" s="93">
        <f t="shared" si="23"/>
        <v>2380</v>
      </c>
      <c r="AK46" s="93">
        <f t="shared" si="23"/>
        <v>2115</v>
      </c>
      <c r="AL46" s="93">
        <f t="shared" si="23"/>
        <v>2115</v>
      </c>
      <c r="AM46" s="93">
        <f t="shared" si="23"/>
        <v>1586</v>
      </c>
      <c r="AN46" s="93">
        <f t="shared" si="23"/>
        <v>1586</v>
      </c>
      <c r="AO46" s="93">
        <f t="shared" si="23"/>
        <v>2115</v>
      </c>
      <c r="AP46" s="93">
        <f t="shared" si="23"/>
        <v>1851</v>
      </c>
      <c r="AQ46" s="93">
        <f t="shared" si="23"/>
        <v>1851</v>
      </c>
      <c r="AR46" s="93">
        <f t="shared" si="23"/>
        <v>2115</v>
      </c>
      <c r="AS46" s="93">
        <f t="shared" si="23"/>
        <v>2380</v>
      </c>
      <c r="AT46" s="93">
        <f t="shared" si="23"/>
        <v>2380</v>
      </c>
      <c r="AU46" s="93">
        <f t="shared" si="23"/>
        <v>793</v>
      </c>
      <c r="AV46" s="93">
        <f t="shared" si="23"/>
        <v>2380</v>
      </c>
      <c r="AW46" s="93">
        <f t="shared" si="23"/>
        <v>2115</v>
      </c>
      <c r="AX46" s="93">
        <f t="shared" si="23"/>
        <v>2115</v>
      </c>
      <c r="AY46" s="93">
        <f t="shared" si="23"/>
        <v>1586</v>
      </c>
    </row>
    <row r="47" ht="12.75" customHeight="1">
      <c r="A47" s="79"/>
      <c r="B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</row>
    <row r="48" ht="12.75" customHeight="1">
      <c r="A48" s="79"/>
      <c r="B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</row>
    <row r="49" ht="12.75" customHeight="1">
      <c r="A49" s="79"/>
      <c r="B49" s="76"/>
      <c r="C49" s="80" t="s">
        <v>163</v>
      </c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</row>
    <row r="50" ht="12.75" customHeight="1">
      <c r="A50" s="79"/>
      <c r="B50" s="76"/>
      <c r="C50" s="76"/>
      <c r="D50" s="76">
        <v>2025.0</v>
      </c>
      <c r="E50" s="76"/>
      <c r="F50" s="76"/>
      <c r="G50" s="76"/>
      <c r="H50" s="76"/>
      <c r="I50" s="76"/>
      <c r="J50" s="76"/>
      <c r="K50" s="95" t="s">
        <v>465</v>
      </c>
      <c r="L50" s="76"/>
      <c r="M50" s="76"/>
      <c r="N50" s="76"/>
      <c r="O50" s="76"/>
      <c r="P50" s="76">
        <v>2026.0</v>
      </c>
      <c r="Q50" s="76"/>
      <c r="R50" s="76"/>
      <c r="S50" s="76"/>
      <c r="T50" s="76"/>
      <c r="U50" s="76"/>
      <c r="V50" s="76"/>
      <c r="W50" s="95" t="s">
        <v>465</v>
      </c>
      <c r="X50" s="76"/>
      <c r="Y50" s="76"/>
      <c r="Z50" s="76"/>
      <c r="AA50" s="76"/>
      <c r="AB50" s="76">
        <v>2027.0</v>
      </c>
      <c r="AC50" s="76"/>
      <c r="AD50" s="76"/>
      <c r="AE50" s="76"/>
      <c r="AF50" s="76"/>
      <c r="AG50" s="76"/>
      <c r="AH50" s="76"/>
      <c r="AI50" s="95" t="s">
        <v>465</v>
      </c>
      <c r="AJ50" s="76"/>
      <c r="AK50" s="76"/>
      <c r="AL50" s="76"/>
      <c r="AM50" s="76"/>
      <c r="AN50" s="76">
        <v>2028.0</v>
      </c>
      <c r="AO50" s="76"/>
      <c r="AP50" s="76"/>
      <c r="AQ50" s="76"/>
      <c r="AR50" s="76"/>
      <c r="AS50" s="76"/>
      <c r="AT50" s="76"/>
      <c r="AU50" s="95" t="s">
        <v>465</v>
      </c>
      <c r="AV50" s="76"/>
      <c r="AW50" s="76"/>
      <c r="AX50" s="76"/>
      <c r="AY50" s="76"/>
    </row>
    <row r="51" ht="12.75" customHeight="1">
      <c r="A51" s="79"/>
      <c r="B51" s="76"/>
      <c r="C51" s="82" t="s">
        <v>159</v>
      </c>
      <c r="D51" s="76">
        <v>1.0</v>
      </c>
      <c r="E51" s="76">
        <v>2.0</v>
      </c>
      <c r="F51" s="76">
        <v>3.0</v>
      </c>
      <c r="G51" s="76">
        <v>4.0</v>
      </c>
      <c r="H51" s="76">
        <v>5.0</v>
      </c>
      <c r="I51" s="76">
        <v>6.0</v>
      </c>
      <c r="J51" s="76">
        <v>7.0</v>
      </c>
      <c r="K51" s="76">
        <v>8.0</v>
      </c>
      <c r="L51" s="76">
        <v>9.0</v>
      </c>
      <c r="M51" s="76">
        <v>10.0</v>
      </c>
      <c r="N51" s="76">
        <v>11.0</v>
      </c>
      <c r="O51" s="76">
        <v>12.0</v>
      </c>
      <c r="P51" s="76">
        <v>1.0</v>
      </c>
      <c r="Q51" s="76">
        <v>2.0</v>
      </c>
      <c r="R51" s="76">
        <v>3.0</v>
      </c>
      <c r="S51" s="76">
        <v>4.0</v>
      </c>
      <c r="T51" s="76">
        <v>5.0</v>
      </c>
      <c r="U51" s="76">
        <v>6.0</v>
      </c>
      <c r="V51" s="76">
        <v>7.0</v>
      </c>
      <c r="W51" s="76">
        <v>8.0</v>
      </c>
      <c r="X51" s="76">
        <v>9.0</v>
      </c>
      <c r="Y51" s="76">
        <v>10.0</v>
      </c>
      <c r="Z51" s="76">
        <v>11.0</v>
      </c>
      <c r="AA51" s="76">
        <v>12.0</v>
      </c>
      <c r="AB51" s="76">
        <v>1.0</v>
      </c>
      <c r="AC51" s="76">
        <v>2.0</v>
      </c>
      <c r="AD51" s="76">
        <v>3.0</v>
      </c>
      <c r="AE51" s="76">
        <v>4.0</v>
      </c>
      <c r="AF51" s="76">
        <v>5.0</v>
      </c>
      <c r="AG51" s="76">
        <v>6.0</v>
      </c>
      <c r="AH51" s="76">
        <v>7.0</v>
      </c>
      <c r="AI51" s="76">
        <v>8.0</v>
      </c>
      <c r="AJ51" s="76">
        <v>9.0</v>
      </c>
      <c r="AK51" s="76">
        <v>10.0</v>
      </c>
      <c r="AL51" s="76">
        <v>11.0</v>
      </c>
      <c r="AM51" s="76">
        <v>12.0</v>
      </c>
      <c r="AN51" s="76">
        <v>1.0</v>
      </c>
      <c r="AO51" s="76">
        <v>2.0</v>
      </c>
      <c r="AP51" s="76">
        <v>3.0</v>
      </c>
      <c r="AQ51" s="76">
        <v>4.0</v>
      </c>
      <c r="AR51" s="76">
        <v>5.0</v>
      </c>
      <c r="AS51" s="76">
        <v>6.0</v>
      </c>
      <c r="AT51" s="76">
        <v>7.0</v>
      </c>
      <c r="AU51" s="76">
        <v>8.0</v>
      </c>
      <c r="AV51" s="76">
        <v>9.0</v>
      </c>
      <c r="AW51" s="76">
        <v>10.0</v>
      </c>
      <c r="AX51" s="76">
        <v>11.0</v>
      </c>
      <c r="AY51" s="76">
        <v>12.0</v>
      </c>
    </row>
    <row r="52" ht="12.75" customHeight="1">
      <c r="A52" s="79"/>
      <c r="B52" s="76"/>
      <c r="C52" s="82" t="s">
        <v>164</v>
      </c>
      <c r="D52" s="107">
        <f t="shared" ref="D52:AY52" si="24">D53/24</f>
        <v>250.0293561</v>
      </c>
      <c r="E52" s="107">
        <f t="shared" si="24"/>
        <v>250.0293561</v>
      </c>
      <c r="F52" s="107">
        <f t="shared" si="24"/>
        <v>312.4564394</v>
      </c>
      <c r="G52" s="107">
        <f t="shared" si="24"/>
        <v>374.8835227</v>
      </c>
      <c r="H52" s="107">
        <f t="shared" si="24"/>
        <v>624.9128788</v>
      </c>
      <c r="I52" s="107">
        <f t="shared" si="24"/>
        <v>749.7244318</v>
      </c>
      <c r="J52" s="107">
        <f t="shared" si="24"/>
        <v>749.7244318</v>
      </c>
      <c r="K52" s="107">
        <f t="shared" si="24"/>
        <v>250.0293561</v>
      </c>
      <c r="L52" s="107">
        <f t="shared" si="24"/>
        <v>999.7964015</v>
      </c>
      <c r="M52" s="107">
        <f t="shared" si="24"/>
        <v>874.9422348</v>
      </c>
      <c r="N52" s="107">
        <f t="shared" si="24"/>
        <v>999.7964015</v>
      </c>
      <c r="O52" s="107">
        <f t="shared" si="24"/>
        <v>500.1013258</v>
      </c>
      <c r="P52" s="107">
        <f t="shared" si="24"/>
        <v>749.7244318</v>
      </c>
      <c r="Q52" s="107">
        <f t="shared" si="24"/>
        <v>999.7964015</v>
      </c>
      <c r="R52" s="107">
        <f t="shared" si="24"/>
        <v>874.9422348</v>
      </c>
      <c r="S52" s="107">
        <f t="shared" si="24"/>
        <v>874.9422348</v>
      </c>
      <c r="T52" s="107">
        <f t="shared" si="24"/>
        <v>999.7964015</v>
      </c>
      <c r="U52" s="107">
        <f t="shared" si="24"/>
        <v>1125.014205</v>
      </c>
      <c r="V52" s="107">
        <f t="shared" si="24"/>
        <v>1125.014205</v>
      </c>
      <c r="W52" s="107">
        <f t="shared" si="24"/>
        <v>374.8835227</v>
      </c>
      <c r="X52" s="107">
        <f t="shared" si="24"/>
        <v>1125.014205</v>
      </c>
      <c r="Y52" s="107">
        <f t="shared" si="24"/>
        <v>999.7964015</v>
      </c>
      <c r="Z52" s="107">
        <f t="shared" si="24"/>
        <v>999.7964015</v>
      </c>
      <c r="AA52" s="107">
        <f t="shared" si="24"/>
        <v>749.7244318</v>
      </c>
      <c r="AB52" s="107">
        <f t="shared" si="24"/>
        <v>999.7964015</v>
      </c>
      <c r="AC52" s="107">
        <f t="shared" si="24"/>
        <v>1125.014205</v>
      </c>
      <c r="AD52" s="107">
        <f t="shared" si="24"/>
        <v>999.7964015</v>
      </c>
      <c r="AE52" s="107">
        <f t="shared" si="24"/>
        <v>999.7964015</v>
      </c>
      <c r="AF52" s="107">
        <f t="shared" si="24"/>
        <v>1249.825758</v>
      </c>
      <c r="AG52" s="107">
        <f t="shared" si="24"/>
        <v>1499.855114</v>
      </c>
      <c r="AH52" s="107">
        <f t="shared" si="24"/>
        <v>1249.825758</v>
      </c>
      <c r="AI52" s="107">
        <f t="shared" si="24"/>
        <v>1249.825758</v>
      </c>
      <c r="AJ52" s="107">
        <f t="shared" si="24"/>
        <v>1125.014205</v>
      </c>
      <c r="AK52" s="107">
        <f t="shared" si="24"/>
        <v>999.7964015</v>
      </c>
      <c r="AL52" s="107">
        <f t="shared" si="24"/>
        <v>999.7964015</v>
      </c>
      <c r="AM52" s="107">
        <f t="shared" si="24"/>
        <v>749.7244318</v>
      </c>
      <c r="AN52" s="107">
        <f t="shared" si="24"/>
        <v>749.7244318</v>
      </c>
      <c r="AO52" s="107">
        <f t="shared" si="24"/>
        <v>999.7964015</v>
      </c>
      <c r="AP52" s="107">
        <f t="shared" si="24"/>
        <v>874.9422348</v>
      </c>
      <c r="AQ52" s="107">
        <f t="shared" si="24"/>
        <v>874.9422348</v>
      </c>
      <c r="AR52" s="107">
        <f t="shared" si="24"/>
        <v>999.7964015</v>
      </c>
      <c r="AS52" s="107">
        <f t="shared" si="24"/>
        <v>1125.014205</v>
      </c>
      <c r="AT52" s="107">
        <f t="shared" si="24"/>
        <v>1125.014205</v>
      </c>
      <c r="AU52" s="107">
        <f t="shared" si="24"/>
        <v>374.8835227</v>
      </c>
      <c r="AV52" s="107">
        <f t="shared" si="24"/>
        <v>1125.014205</v>
      </c>
      <c r="AW52" s="107">
        <f t="shared" si="24"/>
        <v>999.7964015</v>
      </c>
      <c r="AX52" s="107">
        <f t="shared" si="24"/>
        <v>999.7964015</v>
      </c>
      <c r="AY52" s="107">
        <f t="shared" si="24"/>
        <v>749.7244318</v>
      </c>
    </row>
    <row r="53" ht="12.75" customHeight="1">
      <c r="A53" s="79"/>
      <c r="B53" s="76"/>
      <c r="C53" s="82" t="s">
        <v>165</v>
      </c>
      <c r="D53" s="108">
        <f t="shared" ref="D53:AY53" si="25">SUM(D54:D59)</f>
        <v>6000.704545</v>
      </c>
      <c r="E53" s="108">
        <f t="shared" si="25"/>
        <v>6000.704545</v>
      </c>
      <c r="F53" s="108">
        <f t="shared" si="25"/>
        <v>7498.954545</v>
      </c>
      <c r="G53" s="108">
        <f t="shared" si="25"/>
        <v>8997.204545</v>
      </c>
      <c r="H53" s="108">
        <f t="shared" si="25"/>
        <v>14997.90909</v>
      </c>
      <c r="I53" s="108">
        <f t="shared" si="25"/>
        <v>17993.38636</v>
      </c>
      <c r="J53" s="108">
        <f t="shared" si="25"/>
        <v>17993.38636</v>
      </c>
      <c r="K53" s="108">
        <f t="shared" si="25"/>
        <v>6000.704545</v>
      </c>
      <c r="L53" s="108">
        <f t="shared" si="25"/>
        <v>23995.11364</v>
      </c>
      <c r="M53" s="108">
        <f t="shared" si="25"/>
        <v>20998.61364</v>
      </c>
      <c r="N53" s="108">
        <f t="shared" si="25"/>
        <v>23995.11364</v>
      </c>
      <c r="O53" s="108">
        <f t="shared" si="25"/>
        <v>12002.43182</v>
      </c>
      <c r="P53" s="109">
        <f t="shared" si="25"/>
        <v>17993.38636</v>
      </c>
      <c r="Q53" s="109">
        <f t="shared" si="25"/>
        <v>23995.11364</v>
      </c>
      <c r="R53" s="109">
        <f t="shared" si="25"/>
        <v>20998.61364</v>
      </c>
      <c r="S53" s="109">
        <f t="shared" si="25"/>
        <v>20998.61364</v>
      </c>
      <c r="T53" s="109">
        <f t="shared" si="25"/>
        <v>23995.11364</v>
      </c>
      <c r="U53" s="109">
        <f t="shared" si="25"/>
        <v>27000.34091</v>
      </c>
      <c r="V53" s="109">
        <f t="shared" si="25"/>
        <v>27000.34091</v>
      </c>
      <c r="W53" s="109">
        <f t="shared" si="25"/>
        <v>8997.204545</v>
      </c>
      <c r="X53" s="109">
        <f t="shared" si="25"/>
        <v>27000.34091</v>
      </c>
      <c r="Y53" s="109">
        <f t="shared" si="25"/>
        <v>23995.11364</v>
      </c>
      <c r="Z53" s="109">
        <f t="shared" si="25"/>
        <v>23995.11364</v>
      </c>
      <c r="AA53" s="109">
        <f t="shared" si="25"/>
        <v>17993.38636</v>
      </c>
      <c r="AB53" s="109">
        <f t="shared" si="25"/>
        <v>23995.11364</v>
      </c>
      <c r="AC53" s="109">
        <f t="shared" si="25"/>
        <v>27000.34091</v>
      </c>
      <c r="AD53" s="109">
        <f t="shared" si="25"/>
        <v>23995.11364</v>
      </c>
      <c r="AE53" s="109">
        <f t="shared" si="25"/>
        <v>23995.11364</v>
      </c>
      <c r="AF53" s="109">
        <f t="shared" si="25"/>
        <v>29995.81818</v>
      </c>
      <c r="AG53" s="109">
        <f t="shared" si="25"/>
        <v>35996.52273</v>
      </c>
      <c r="AH53" s="109">
        <f t="shared" si="25"/>
        <v>29995.81818</v>
      </c>
      <c r="AI53" s="109">
        <f t="shared" si="25"/>
        <v>29995.81818</v>
      </c>
      <c r="AJ53" s="109">
        <f t="shared" si="25"/>
        <v>27000.34091</v>
      </c>
      <c r="AK53" s="109">
        <f t="shared" si="25"/>
        <v>23995.11364</v>
      </c>
      <c r="AL53" s="109">
        <f t="shared" si="25"/>
        <v>23995.11364</v>
      </c>
      <c r="AM53" s="109">
        <f t="shared" si="25"/>
        <v>17993.38636</v>
      </c>
      <c r="AN53" s="109">
        <f t="shared" si="25"/>
        <v>17993.38636</v>
      </c>
      <c r="AO53" s="109">
        <f t="shared" si="25"/>
        <v>23995.11364</v>
      </c>
      <c r="AP53" s="109">
        <f t="shared" si="25"/>
        <v>20998.61364</v>
      </c>
      <c r="AQ53" s="109">
        <f t="shared" si="25"/>
        <v>20998.61364</v>
      </c>
      <c r="AR53" s="109">
        <f t="shared" si="25"/>
        <v>23995.11364</v>
      </c>
      <c r="AS53" s="109">
        <f t="shared" si="25"/>
        <v>27000.34091</v>
      </c>
      <c r="AT53" s="109">
        <f t="shared" si="25"/>
        <v>27000.34091</v>
      </c>
      <c r="AU53" s="109">
        <f t="shared" si="25"/>
        <v>8997.204545</v>
      </c>
      <c r="AV53" s="109">
        <f t="shared" si="25"/>
        <v>27000.34091</v>
      </c>
      <c r="AW53" s="109">
        <f t="shared" si="25"/>
        <v>23995.11364</v>
      </c>
      <c r="AX53" s="109">
        <f t="shared" si="25"/>
        <v>23995.11364</v>
      </c>
      <c r="AY53" s="109">
        <f t="shared" si="25"/>
        <v>17993.38636</v>
      </c>
    </row>
    <row r="54" ht="12.75" customHeight="1">
      <c r="A54" s="79"/>
      <c r="B54" s="76">
        <v>5.25</v>
      </c>
      <c r="C54" s="76" t="s">
        <v>148</v>
      </c>
      <c r="D54" s="76">
        <f t="shared" ref="D54:AY54" si="26">D40*$B54</f>
        <v>409.5</v>
      </c>
      <c r="E54" s="76">
        <f t="shared" si="26"/>
        <v>409.5</v>
      </c>
      <c r="F54" s="76">
        <f t="shared" si="26"/>
        <v>514.5</v>
      </c>
      <c r="G54" s="76">
        <f t="shared" si="26"/>
        <v>619.5</v>
      </c>
      <c r="H54" s="76">
        <f t="shared" si="26"/>
        <v>1029</v>
      </c>
      <c r="I54" s="76">
        <f t="shared" si="26"/>
        <v>1233.75</v>
      </c>
      <c r="J54" s="76">
        <f t="shared" si="26"/>
        <v>1233.75</v>
      </c>
      <c r="K54" s="76">
        <f t="shared" si="26"/>
        <v>409.5</v>
      </c>
      <c r="L54" s="76">
        <f t="shared" si="26"/>
        <v>1648.5</v>
      </c>
      <c r="M54" s="76">
        <f t="shared" si="26"/>
        <v>1438.5</v>
      </c>
      <c r="N54" s="76">
        <f t="shared" si="26"/>
        <v>1648.5</v>
      </c>
      <c r="O54" s="76">
        <f t="shared" si="26"/>
        <v>824.25</v>
      </c>
      <c r="P54" s="76">
        <f t="shared" si="26"/>
        <v>1233.75</v>
      </c>
      <c r="Q54" s="76">
        <f t="shared" si="26"/>
        <v>1648.5</v>
      </c>
      <c r="R54" s="76">
        <f t="shared" si="26"/>
        <v>1438.5</v>
      </c>
      <c r="S54" s="76">
        <f t="shared" si="26"/>
        <v>1438.5</v>
      </c>
      <c r="T54" s="76">
        <f t="shared" si="26"/>
        <v>1648.5</v>
      </c>
      <c r="U54" s="76">
        <f t="shared" si="26"/>
        <v>1853.25</v>
      </c>
      <c r="V54" s="76">
        <f t="shared" si="26"/>
        <v>1853.25</v>
      </c>
      <c r="W54" s="76">
        <f t="shared" si="26"/>
        <v>619.5</v>
      </c>
      <c r="X54" s="76">
        <f t="shared" si="26"/>
        <v>1853.25</v>
      </c>
      <c r="Y54" s="76">
        <f t="shared" si="26"/>
        <v>1648.5</v>
      </c>
      <c r="Z54" s="76">
        <f t="shared" si="26"/>
        <v>1648.5</v>
      </c>
      <c r="AA54" s="76">
        <f t="shared" si="26"/>
        <v>1233.75</v>
      </c>
      <c r="AB54" s="76">
        <f t="shared" si="26"/>
        <v>1648.5</v>
      </c>
      <c r="AC54" s="76">
        <f t="shared" si="26"/>
        <v>1853.25</v>
      </c>
      <c r="AD54" s="76">
        <f t="shared" si="26"/>
        <v>1648.5</v>
      </c>
      <c r="AE54" s="76">
        <f t="shared" si="26"/>
        <v>1648.5</v>
      </c>
      <c r="AF54" s="76">
        <f t="shared" si="26"/>
        <v>2058</v>
      </c>
      <c r="AG54" s="76">
        <f t="shared" si="26"/>
        <v>2467.5</v>
      </c>
      <c r="AH54" s="76">
        <f t="shared" si="26"/>
        <v>2058</v>
      </c>
      <c r="AI54" s="76">
        <f t="shared" si="26"/>
        <v>2058</v>
      </c>
      <c r="AJ54" s="76">
        <f t="shared" si="26"/>
        <v>1853.25</v>
      </c>
      <c r="AK54" s="76">
        <f t="shared" si="26"/>
        <v>1648.5</v>
      </c>
      <c r="AL54" s="76">
        <f t="shared" si="26"/>
        <v>1648.5</v>
      </c>
      <c r="AM54" s="76">
        <f t="shared" si="26"/>
        <v>1233.75</v>
      </c>
      <c r="AN54" s="76">
        <f t="shared" si="26"/>
        <v>1233.75</v>
      </c>
      <c r="AO54" s="76">
        <f t="shared" si="26"/>
        <v>1648.5</v>
      </c>
      <c r="AP54" s="76">
        <f t="shared" si="26"/>
        <v>1438.5</v>
      </c>
      <c r="AQ54" s="76">
        <f t="shared" si="26"/>
        <v>1438.5</v>
      </c>
      <c r="AR54" s="76">
        <f t="shared" si="26"/>
        <v>1648.5</v>
      </c>
      <c r="AS54" s="76">
        <f t="shared" si="26"/>
        <v>1853.25</v>
      </c>
      <c r="AT54" s="76">
        <f t="shared" si="26"/>
        <v>1853.25</v>
      </c>
      <c r="AU54" s="76">
        <f t="shared" si="26"/>
        <v>619.5</v>
      </c>
      <c r="AV54" s="76">
        <f t="shared" si="26"/>
        <v>1853.25</v>
      </c>
      <c r="AW54" s="76">
        <f t="shared" si="26"/>
        <v>1648.5</v>
      </c>
      <c r="AX54" s="76">
        <f t="shared" si="26"/>
        <v>1648.5</v>
      </c>
      <c r="AY54" s="76">
        <f t="shared" si="26"/>
        <v>1233.75</v>
      </c>
    </row>
    <row r="55" ht="12.75" customHeight="1">
      <c r="A55" s="79"/>
      <c r="B55" s="76">
        <v>9.75</v>
      </c>
      <c r="C55" s="76" t="s">
        <v>76</v>
      </c>
      <c r="D55" s="76">
        <f t="shared" ref="D55:AY55" si="27">D41*$B55</f>
        <v>984.75</v>
      </c>
      <c r="E55" s="76">
        <f t="shared" si="27"/>
        <v>984.75</v>
      </c>
      <c r="F55" s="76">
        <f t="shared" si="27"/>
        <v>1228.5</v>
      </c>
      <c r="G55" s="76">
        <f t="shared" si="27"/>
        <v>1472.25</v>
      </c>
      <c r="H55" s="76">
        <f t="shared" si="27"/>
        <v>2457</v>
      </c>
      <c r="I55" s="76">
        <f t="shared" si="27"/>
        <v>2944.5</v>
      </c>
      <c r="J55" s="76">
        <f t="shared" si="27"/>
        <v>2944.5</v>
      </c>
      <c r="K55" s="76">
        <f t="shared" si="27"/>
        <v>984.75</v>
      </c>
      <c r="L55" s="76">
        <f t="shared" si="27"/>
        <v>3929.25</v>
      </c>
      <c r="M55" s="76">
        <f t="shared" si="27"/>
        <v>3441.75</v>
      </c>
      <c r="N55" s="76">
        <f t="shared" si="27"/>
        <v>3929.25</v>
      </c>
      <c r="O55" s="76">
        <f t="shared" si="27"/>
        <v>1969.5</v>
      </c>
      <c r="P55" s="76">
        <f t="shared" si="27"/>
        <v>2944.5</v>
      </c>
      <c r="Q55" s="76">
        <f t="shared" si="27"/>
        <v>3929.25</v>
      </c>
      <c r="R55" s="76">
        <f t="shared" si="27"/>
        <v>3441.75</v>
      </c>
      <c r="S55" s="76">
        <f t="shared" si="27"/>
        <v>3441.75</v>
      </c>
      <c r="T55" s="76">
        <f t="shared" si="27"/>
        <v>3929.25</v>
      </c>
      <c r="U55" s="76">
        <f t="shared" si="27"/>
        <v>4426.5</v>
      </c>
      <c r="V55" s="76">
        <f t="shared" si="27"/>
        <v>4426.5</v>
      </c>
      <c r="W55" s="76">
        <f t="shared" si="27"/>
        <v>1472.25</v>
      </c>
      <c r="X55" s="76">
        <f t="shared" si="27"/>
        <v>4426.5</v>
      </c>
      <c r="Y55" s="76">
        <f t="shared" si="27"/>
        <v>3929.25</v>
      </c>
      <c r="Z55" s="76">
        <f t="shared" si="27"/>
        <v>3929.25</v>
      </c>
      <c r="AA55" s="76">
        <f t="shared" si="27"/>
        <v>2944.5</v>
      </c>
      <c r="AB55" s="76">
        <f t="shared" si="27"/>
        <v>3929.25</v>
      </c>
      <c r="AC55" s="76">
        <f t="shared" si="27"/>
        <v>4426.5</v>
      </c>
      <c r="AD55" s="76">
        <f t="shared" si="27"/>
        <v>3929.25</v>
      </c>
      <c r="AE55" s="76">
        <f t="shared" si="27"/>
        <v>3929.25</v>
      </c>
      <c r="AF55" s="76">
        <f t="shared" si="27"/>
        <v>4914</v>
      </c>
      <c r="AG55" s="76">
        <f t="shared" si="27"/>
        <v>5898.75</v>
      </c>
      <c r="AH55" s="76">
        <f t="shared" si="27"/>
        <v>4914</v>
      </c>
      <c r="AI55" s="76">
        <f t="shared" si="27"/>
        <v>4914</v>
      </c>
      <c r="AJ55" s="76">
        <f t="shared" si="27"/>
        <v>4426.5</v>
      </c>
      <c r="AK55" s="76">
        <f t="shared" si="27"/>
        <v>3929.25</v>
      </c>
      <c r="AL55" s="76">
        <f t="shared" si="27"/>
        <v>3929.25</v>
      </c>
      <c r="AM55" s="76">
        <f t="shared" si="27"/>
        <v>2944.5</v>
      </c>
      <c r="AN55" s="76">
        <f t="shared" si="27"/>
        <v>2944.5</v>
      </c>
      <c r="AO55" s="76">
        <f t="shared" si="27"/>
        <v>3929.25</v>
      </c>
      <c r="AP55" s="76">
        <f t="shared" si="27"/>
        <v>3441.75</v>
      </c>
      <c r="AQ55" s="76">
        <f t="shared" si="27"/>
        <v>3441.75</v>
      </c>
      <c r="AR55" s="76">
        <f t="shared" si="27"/>
        <v>3929.25</v>
      </c>
      <c r="AS55" s="76">
        <f t="shared" si="27"/>
        <v>4426.5</v>
      </c>
      <c r="AT55" s="76">
        <f t="shared" si="27"/>
        <v>4426.5</v>
      </c>
      <c r="AU55" s="76">
        <f t="shared" si="27"/>
        <v>1472.25</v>
      </c>
      <c r="AV55" s="76">
        <f t="shared" si="27"/>
        <v>4426.5</v>
      </c>
      <c r="AW55" s="76">
        <f t="shared" si="27"/>
        <v>3929.25</v>
      </c>
      <c r="AX55" s="76">
        <f t="shared" si="27"/>
        <v>3929.25</v>
      </c>
      <c r="AY55" s="76">
        <f t="shared" si="27"/>
        <v>2944.5</v>
      </c>
    </row>
    <row r="56" ht="12.75" customHeight="1">
      <c r="A56" s="79"/>
      <c r="B56" s="595">
        <f>UNIT_PRICE_CLIENT_C</f>
        <v>12.72727273</v>
      </c>
      <c r="C56" s="76" t="s">
        <v>80</v>
      </c>
      <c r="D56" s="76">
        <f t="shared" ref="D56:AY56" si="28">D42*$B56</f>
        <v>1629.090909</v>
      </c>
      <c r="E56" s="76">
        <f t="shared" si="28"/>
        <v>1629.090909</v>
      </c>
      <c r="F56" s="76">
        <f t="shared" si="28"/>
        <v>2036.363636</v>
      </c>
      <c r="G56" s="76">
        <f t="shared" si="28"/>
        <v>2443.636364</v>
      </c>
      <c r="H56" s="76">
        <f t="shared" si="28"/>
        <v>4072.727273</v>
      </c>
      <c r="I56" s="76">
        <f t="shared" si="28"/>
        <v>4887.272727</v>
      </c>
      <c r="J56" s="76">
        <f t="shared" si="28"/>
        <v>4887.272727</v>
      </c>
      <c r="K56" s="76">
        <f t="shared" si="28"/>
        <v>1629.090909</v>
      </c>
      <c r="L56" s="76">
        <f t="shared" si="28"/>
        <v>6516.363636</v>
      </c>
      <c r="M56" s="76">
        <f t="shared" si="28"/>
        <v>5701.818182</v>
      </c>
      <c r="N56" s="76">
        <f t="shared" si="28"/>
        <v>6516.363636</v>
      </c>
      <c r="O56" s="76">
        <f t="shared" si="28"/>
        <v>3258.181818</v>
      </c>
      <c r="P56" s="76">
        <f t="shared" si="28"/>
        <v>4887.272727</v>
      </c>
      <c r="Q56" s="76">
        <f t="shared" si="28"/>
        <v>6516.363636</v>
      </c>
      <c r="R56" s="76">
        <f t="shared" si="28"/>
        <v>5701.818182</v>
      </c>
      <c r="S56" s="76">
        <f t="shared" si="28"/>
        <v>5701.818182</v>
      </c>
      <c r="T56" s="76">
        <f t="shared" si="28"/>
        <v>6516.363636</v>
      </c>
      <c r="U56" s="76">
        <f t="shared" si="28"/>
        <v>7330.909091</v>
      </c>
      <c r="V56" s="76">
        <f t="shared" si="28"/>
        <v>7330.909091</v>
      </c>
      <c r="W56" s="76">
        <f t="shared" si="28"/>
        <v>2443.636364</v>
      </c>
      <c r="X56" s="76">
        <f t="shared" si="28"/>
        <v>7330.909091</v>
      </c>
      <c r="Y56" s="76">
        <f t="shared" si="28"/>
        <v>6516.363636</v>
      </c>
      <c r="Z56" s="76">
        <f t="shared" si="28"/>
        <v>6516.363636</v>
      </c>
      <c r="AA56" s="76">
        <f t="shared" si="28"/>
        <v>4887.272727</v>
      </c>
      <c r="AB56" s="76">
        <f t="shared" si="28"/>
        <v>6516.363636</v>
      </c>
      <c r="AC56" s="76">
        <f t="shared" si="28"/>
        <v>7330.909091</v>
      </c>
      <c r="AD56" s="76">
        <f t="shared" si="28"/>
        <v>6516.363636</v>
      </c>
      <c r="AE56" s="76">
        <f t="shared" si="28"/>
        <v>6516.363636</v>
      </c>
      <c r="AF56" s="76">
        <f t="shared" si="28"/>
        <v>8145.454545</v>
      </c>
      <c r="AG56" s="76">
        <f t="shared" si="28"/>
        <v>9774.545455</v>
      </c>
      <c r="AH56" s="76">
        <f t="shared" si="28"/>
        <v>8145.454545</v>
      </c>
      <c r="AI56" s="76">
        <f t="shared" si="28"/>
        <v>8145.454545</v>
      </c>
      <c r="AJ56" s="76">
        <f t="shared" si="28"/>
        <v>7330.909091</v>
      </c>
      <c r="AK56" s="76">
        <f t="shared" si="28"/>
        <v>6516.363636</v>
      </c>
      <c r="AL56" s="76">
        <f t="shared" si="28"/>
        <v>6516.363636</v>
      </c>
      <c r="AM56" s="76">
        <f t="shared" si="28"/>
        <v>4887.272727</v>
      </c>
      <c r="AN56" s="76">
        <f t="shared" si="28"/>
        <v>4887.272727</v>
      </c>
      <c r="AO56" s="76">
        <f t="shared" si="28"/>
        <v>6516.363636</v>
      </c>
      <c r="AP56" s="76">
        <f t="shared" si="28"/>
        <v>5701.818182</v>
      </c>
      <c r="AQ56" s="76">
        <f t="shared" si="28"/>
        <v>5701.818182</v>
      </c>
      <c r="AR56" s="76">
        <f t="shared" si="28"/>
        <v>6516.363636</v>
      </c>
      <c r="AS56" s="76">
        <f t="shared" si="28"/>
        <v>7330.909091</v>
      </c>
      <c r="AT56" s="76">
        <f t="shared" si="28"/>
        <v>7330.909091</v>
      </c>
      <c r="AU56" s="76">
        <f t="shared" si="28"/>
        <v>2443.636364</v>
      </c>
      <c r="AV56" s="76">
        <f t="shared" si="28"/>
        <v>7330.909091</v>
      </c>
      <c r="AW56" s="76">
        <f t="shared" si="28"/>
        <v>6516.363636</v>
      </c>
      <c r="AX56" s="76">
        <f t="shared" si="28"/>
        <v>6516.363636</v>
      </c>
      <c r="AY56" s="76">
        <f t="shared" si="28"/>
        <v>4887.272727</v>
      </c>
    </row>
    <row r="57" ht="12.75" customHeight="1">
      <c r="A57" s="79"/>
      <c r="B57" s="595">
        <f>UNIT_PRICE_CLIENT_D</f>
        <v>16.36363636</v>
      </c>
      <c r="C57" s="76" t="s">
        <v>83</v>
      </c>
      <c r="D57" s="76">
        <f t="shared" ref="D57:AY57" si="29">D43*$B57</f>
        <v>1865.454545</v>
      </c>
      <c r="E57" s="76">
        <f t="shared" si="29"/>
        <v>1865.454545</v>
      </c>
      <c r="F57" s="76">
        <f t="shared" si="29"/>
        <v>2340</v>
      </c>
      <c r="G57" s="76">
        <f t="shared" si="29"/>
        <v>2814.545455</v>
      </c>
      <c r="H57" s="76">
        <f t="shared" si="29"/>
        <v>4680</v>
      </c>
      <c r="I57" s="76">
        <f t="shared" si="29"/>
        <v>5612.727273</v>
      </c>
      <c r="J57" s="76">
        <f t="shared" si="29"/>
        <v>5612.727273</v>
      </c>
      <c r="K57" s="76">
        <f t="shared" si="29"/>
        <v>1865.454545</v>
      </c>
      <c r="L57" s="76">
        <f t="shared" si="29"/>
        <v>7494.545455</v>
      </c>
      <c r="M57" s="76">
        <f t="shared" si="29"/>
        <v>6545.454545</v>
      </c>
      <c r="N57" s="76">
        <f t="shared" si="29"/>
        <v>7494.545455</v>
      </c>
      <c r="O57" s="76">
        <f t="shared" si="29"/>
        <v>3747.272727</v>
      </c>
      <c r="P57" s="76">
        <f t="shared" si="29"/>
        <v>5612.727273</v>
      </c>
      <c r="Q57" s="76">
        <f t="shared" si="29"/>
        <v>7494.545455</v>
      </c>
      <c r="R57" s="76">
        <f t="shared" si="29"/>
        <v>6545.454545</v>
      </c>
      <c r="S57" s="76">
        <f t="shared" si="29"/>
        <v>6545.454545</v>
      </c>
      <c r="T57" s="76">
        <f t="shared" si="29"/>
        <v>7494.545455</v>
      </c>
      <c r="U57" s="76">
        <f t="shared" si="29"/>
        <v>8427.272727</v>
      </c>
      <c r="V57" s="76">
        <f t="shared" si="29"/>
        <v>8427.272727</v>
      </c>
      <c r="W57" s="76">
        <f t="shared" si="29"/>
        <v>2814.545455</v>
      </c>
      <c r="X57" s="76">
        <f t="shared" si="29"/>
        <v>8427.272727</v>
      </c>
      <c r="Y57" s="76">
        <f t="shared" si="29"/>
        <v>7494.545455</v>
      </c>
      <c r="Z57" s="76">
        <f t="shared" si="29"/>
        <v>7494.545455</v>
      </c>
      <c r="AA57" s="76">
        <f t="shared" si="29"/>
        <v>5612.727273</v>
      </c>
      <c r="AB57" s="76">
        <f t="shared" si="29"/>
        <v>7494.545455</v>
      </c>
      <c r="AC57" s="76">
        <f t="shared" si="29"/>
        <v>8427.272727</v>
      </c>
      <c r="AD57" s="76">
        <f t="shared" si="29"/>
        <v>7494.545455</v>
      </c>
      <c r="AE57" s="76">
        <f t="shared" si="29"/>
        <v>7494.545455</v>
      </c>
      <c r="AF57" s="76">
        <f t="shared" si="29"/>
        <v>9360</v>
      </c>
      <c r="AG57" s="76">
        <f t="shared" si="29"/>
        <v>11225.45455</v>
      </c>
      <c r="AH57" s="76">
        <f t="shared" si="29"/>
        <v>9360</v>
      </c>
      <c r="AI57" s="76">
        <f t="shared" si="29"/>
        <v>9360</v>
      </c>
      <c r="AJ57" s="76">
        <f t="shared" si="29"/>
        <v>8427.272727</v>
      </c>
      <c r="AK57" s="76">
        <f t="shared" si="29"/>
        <v>7494.545455</v>
      </c>
      <c r="AL57" s="76">
        <f t="shared" si="29"/>
        <v>7494.545455</v>
      </c>
      <c r="AM57" s="76">
        <f t="shared" si="29"/>
        <v>5612.727273</v>
      </c>
      <c r="AN57" s="76">
        <f t="shared" si="29"/>
        <v>5612.727273</v>
      </c>
      <c r="AO57" s="76">
        <f t="shared" si="29"/>
        <v>7494.545455</v>
      </c>
      <c r="AP57" s="76">
        <f t="shared" si="29"/>
        <v>6545.454545</v>
      </c>
      <c r="AQ57" s="76">
        <f t="shared" si="29"/>
        <v>6545.454545</v>
      </c>
      <c r="AR57" s="76">
        <f t="shared" si="29"/>
        <v>7494.545455</v>
      </c>
      <c r="AS57" s="76">
        <f t="shared" si="29"/>
        <v>8427.272727</v>
      </c>
      <c r="AT57" s="76">
        <f t="shared" si="29"/>
        <v>8427.272727</v>
      </c>
      <c r="AU57" s="76">
        <f t="shared" si="29"/>
        <v>2814.545455</v>
      </c>
      <c r="AV57" s="76">
        <f t="shared" si="29"/>
        <v>8427.272727</v>
      </c>
      <c r="AW57" s="76">
        <f t="shared" si="29"/>
        <v>7494.545455</v>
      </c>
      <c r="AX57" s="76">
        <f t="shared" si="29"/>
        <v>7494.545455</v>
      </c>
      <c r="AY57" s="76">
        <f t="shared" si="29"/>
        <v>5612.727273</v>
      </c>
    </row>
    <row r="58" ht="12.75" customHeight="1">
      <c r="A58" s="79"/>
      <c r="B58" s="595">
        <f>UNIT_PRICE_CLIENT_E</f>
        <v>20.59090909</v>
      </c>
      <c r="C58" s="76" t="s">
        <v>87</v>
      </c>
      <c r="D58" s="76">
        <f t="shared" ref="D58:AY58" si="30">D44*$B58</f>
        <v>1111.909091</v>
      </c>
      <c r="E58" s="76">
        <f t="shared" si="30"/>
        <v>1111.909091</v>
      </c>
      <c r="F58" s="76">
        <f t="shared" si="30"/>
        <v>1379.590909</v>
      </c>
      <c r="G58" s="76">
        <f t="shared" si="30"/>
        <v>1647.272727</v>
      </c>
      <c r="H58" s="76">
        <f t="shared" si="30"/>
        <v>2759.181818</v>
      </c>
      <c r="I58" s="76">
        <f t="shared" si="30"/>
        <v>3315.136364</v>
      </c>
      <c r="J58" s="76">
        <f t="shared" si="30"/>
        <v>3315.136364</v>
      </c>
      <c r="K58" s="76">
        <f t="shared" si="30"/>
        <v>1111.909091</v>
      </c>
      <c r="L58" s="76">
        <f t="shared" si="30"/>
        <v>4406.454545</v>
      </c>
      <c r="M58" s="76">
        <f t="shared" si="30"/>
        <v>3871.090909</v>
      </c>
      <c r="N58" s="76">
        <f t="shared" si="30"/>
        <v>4406.454545</v>
      </c>
      <c r="O58" s="76">
        <f t="shared" si="30"/>
        <v>2203.227273</v>
      </c>
      <c r="P58" s="76">
        <f t="shared" si="30"/>
        <v>3315.136364</v>
      </c>
      <c r="Q58" s="76">
        <f t="shared" si="30"/>
        <v>4406.454545</v>
      </c>
      <c r="R58" s="76">
        <f t="shared" si="30"/>
        <v>3871.090909</v>
      </c>
      <c r="S58" s="76">
        <f t="shared" si="30"/>
        <v>3871.090909</v>
      </c>
      <c r="T58" s="76">
        <f t="shared" si="30"/>
        <v>4406.454545</v>
      </c>
      <c r="U58" s="76">
        <f t="shared" si="30"/>
        <v>4962.409091</v>
      </c>
      <c r="V58" s="76">
        <f t="shared" si="30"/>
        <v>4962.409091</v>
      </c>
      <c r="W58" s="76">
        <f t="shared" si="30"/>
        <v>1647.272727</v>
      </c>
      <c r="X58" s="76">
        <f t="shared" si="30"/>
        <v>4962.409091</v>
      </c>
      <c r="Y58" s="76">
        <f t="shared" si="30"/>
        <v>4406.454545</v>
      </c>
      <c r="Z58" s="76">
        <f t="shared" si="30"/>
        <v>4406.454545</v>
      </c>
      <c r="AA58" s="76">
        <f t="shared" si="30"/>
        <v>3315.136364</v>
      </c>
      <c r="AB58" s="76">
        <f t="shared" si="30"/>
        <v>4406.454545</v>
      </c>
      <c r="AC58" s="76">
        <f t="shared" si="30"/>
        <v>4962.409091</v>
      </c>
      <c r="AD58" s="76">
        <f t="shared" si="30"/>
        <v>4406.454545</v>
      </c>
      <c r="AE58" s="76">
        <f t="shared" si="30"/>
        <v>4406.454545</v>
      </c>
      <c r="AF58" s="76">
        <f t="shared" si="30"/>
        <v>5518.363636</v>
      </c>
      <c r="AG58" s="76">
        <f t="shared" si="30"/>
        <v>6630.272727</v>
      </c>
      <c r="AH58" s="76">
        <f t="shared" si="30"/>
        <v>5518.363636</v>
      </c>
      <c r="AI58" s="76">
        <f t="shared" si="30"/>
        <v>5518.363636</v>
      </c>
      <c r="AJ58" s="76">
        <f t="shared" si="30"/>
        <v>4962.409091</v>
      </c>
      <c r="AK58" s="76">
        <f t="shared" si="30"/>
        <v>4406.454545</v>
      </c>
      <c r="AL58" s="76">
        <f t="shared" si="30"/>
        <v>4406.454545</v>
      </c>
      <c r="AM58" s="76">
        <f t="shared" si="30"/>
        <v>3315.136364</v>
      </c>
      <c r="AN58" s="76">
        <f t="shared" si="30"/>
        <v>3315.136364</v>
      </c>
      <c r="AO58" s="76">
        <f t="shared" si="30"/>
        <v>4406.454545</v>
      </c>
      <c r="AP58" s="76">
        <f t="shared" si="30"/>
        <v>3871.090909</v>
      </c>
      <c r="AQ58" s="76">
        <f t="shared" si="30"/>
        <v>3871.090909</v>
      </c>
      <c r="AR58" s="76">
        <f t="shared" si="30"/>
        <v>4406.454545</v>
      </c>
      <c r="AS58" s="76">
        <f t="shared" si="30"/>
        <v>4962.409091</v>
      </c>
      <c r="AT58" s="76">
        <f t="shared" si="30"/>
        <v>4962.409091</v>
      </c>
      <c r="AU58" s="76">
        <f t="shared" si="30"/>
        <v>1647.272727</v>
      </c>
      <c r="AV58" s="76">
        <f t="shared" si="30"/>
        <v>4962.409091</v>
      </c>
      <c r="AW58" s="76">
        <f t="shared" si="30"/>
        <v>4406.454545</v>
      </c>
      <c r="AX58" s="76">
        <f t="shared" si="30"/>
        <v>4406.454545</v>
      </c>
      <c r="AY58" s="76">
        <f t="shared" si="30"/>
        <v>3315.136364</v>
      </c>
    </row>
    <row r="59" ht="12.75" customHeight="1">
      <c r="A59" s="79"/>
      <c r="B59" s="595">
        <f>UNIT_PRICE_CLIENT_F</f>
        <v>0</v>
      </c>
      <c r="C59" s="76" t="s">
        <v>464</v>
      </c>
      <c r="D59" s="76">
        <f t="shared" ref="D59:AY59" si="31">D45*$B59</f>
        <v>0</v>
      </c>
      <c r="E59" s="76">
        <f t="shared" si="31"/>
        <v>0</v>
      </c>
      <c r="F59" s="76">
        <f t="shared" si="31"/>
        <v>0</v>
      </c>
      <c r="G59" s="76">
        <f t="shared" si="31"/>
        <v>0</v>
      </c>
      <c r="H59" s="76">
        <f t="shared" si="31"/>
        <v>0</v>
      </c>
      <c r="I59" s="76">
        <f t="shared" si="31"/>
        <v>0</v>
      </c>
      <c r="J59" s="76">
        <f t="shared" si="31"/>
        <v>0</v>
      </c>
      <c r="K59" s="76">
        <f t="shared" si="31"/>
        <v>0</v>
      </c>
      <c r="L59" s="76">
        <f t="shared" si="31"/>
        <v>0</v>
      </c>
      <c r="M59" s="76">
        <f t="shared" si="31"/>
        <v>0</v>
      </c>
      <c r="N59" s="76">
        <f t="shared" si="31"/>
        <v>0</v>
      </c>
      <c r="O59" s="76">
        <f t="shared" si="31"/>
        <v>0</v>
      </c>
      <c r="P59" s="76">
        <f t="shared" si="31"/>
        <v>0</v>
      </c>
      <c r="Q59" s="76">
        <f t="shared" si="31"/>
        <v>0</v>
      </c>
      <c r="R59" s="76">
        <f t="shared" si="31"/>
        <v>0</v>
      </c>
      <c r="S59" s="76">
        <f t="shared" si="31"/>
        <v>0</v>
      </c>
      <c r="T59" s="76">
        <f t="shared" si="31"/>
        <v>0</v>
      </c>
      <c r="U59" s="76">
        <f t="shared" si="31"/>
        <v>0</v>
      </c>
      <c r="V59" s="76">
        <f t="shared" si="31"/>
        <v>0</v>
      </c>
      <c r="W59" s="76">
        <f t="shared" si="31"/>
        <v>0</v>
      </c>
      <c r="X59" s="76">
        <f t="shared" si="31"/>
        <v>0</v>
      </c>
      <c r="Y59" s="76">
        <f t="shared" si="31"/>
        <v>0</v>
      </c>
      <c r="Z59" s="76">
        <f t="shared" si="31"/>
        <v>0</v>
      </c>
      <c r="AA59" s="76">
        <f t="shared" si="31"/>
        <v>0</v>
      </c>
      <c r="AB59" s="76">
        <f t="shared" si="31"/>
        <v>0</v>
      </c>
      <c r="AC59" s="76">
        <f t="shared" si="31"/>
        <v>0</v>
      </c>
      <c r="AD59" s="76">
        <f t="shared" si="31"/>
        <v>0</v>
      </c>
      <c r="AE59" s="76">
        <f t="shared" si="31"/>
        <v>0</v>
      </c>
      <c r="AF59" s="76">
        <f t="shared" si="31"/>
        <v>0</v>
      </c>
      <c r="AG59" s="76">
        <f t="shared" si="31"/>
        <v>0</v>
      </c>
      <c r="AH59" s="76">
        <f t="shared" si="31"/>
        <v>0</v>
      </c>
      <c r="AI59" s="76">
        <f t="shared" si="31"/>
        <v>0</v>
      </c>
      <c r="AJ59" s="76">
        <f t="shared" si="31"/>
        <v>0</v>
      </c>
      <c r="AK59" s="76">
        <f t="shared" si="31"/>
        <v>0</v>
      </c>
      <c r="AL59" s="76">
        <f t="shared" si="31"/>
        <v>0</v>
      </c>
      <c r="AM59" s="76">
        <f t="shared" si="31"/>
        <v>0</v>
      </c>
      <c r="AN59" s="76">
        <f t="shared" si="31"/>
        <v>0</v>
      </c>
      <c r="AO59" s="76">
        <f t="shared" si="31"/>
        <v>0</v>
      </c>
      <c r="AP59" s="76">
        <f t="shared" si="31"/>
        <v>0</v>
      </c>
      <c r="AQ59" s="76">
        <f t="shared" si="31"/>
        <v>0</v>
      </c>
      <c r="AR59" s="76">
        <f t="shared" si="31"/>
        <v>0</v>
      </c>
      <c r="AS59" s="76">
        <f t="shared" si="31"/>
        <v>0</v>
      </c>
      <c r="AT59" s="76">
        <f t="shared" si="31"/>
        <v>0</v>
      </c>
      <c r="AU59" s="76">
        <f t="shared" si="31"/>
        <v>0</v>
      </c>
      <c r="AV59" s="76">
        <f t="shared" si="31"/>
        <v>0</v>
      </c>
      <c r="AW59" s="76">
        <f t="shared" si="31"/>
        <v>0</v>
      </c>
      <c r="AX59" s="76">
        <f t="shared" si="31"/>
        <v>0</v>
      </c>
      <c r="AY59" s="76">
        <f t="shared" si="31"/>
        <v>0</v>
      </c>
    </row>
    <row r="60" ht="12.0" customHeight="1">
      <c r="A60" s="79"/>
      <c r="B60" s="111"/>
      <c r="C60" s="111"/>
      <c r="D60" s="112">
        <f>SUM(D53:O53)</f>
        <v>166474.2273</v>
      </c>
      <c r="P60" s="113">
        <f>SUM(P53:AA53)</f>
        <v>263962.6818</v>
      </c>
      <c r="AB60" s="113">
        <f>SUM(AB53:AM53)</f>
        <v>317953.6136</v>
      </c>
      <c r="AN60" s="113">
        <f>SUM(AN53:AY53)</f>
        <v>263962.6818</v>
      </c>
    </row>
    <row r="61" ht="12.75" customHeight="1">
      <c r="A61" s="79"/>
      <c r="B61" s="76"/>
    </row>
    <row r="62" ht="12.75" customHeight="1">
      <c r="A62" s="79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115">
        <f>(P60-D60)/D60</f>
        <v>0.5856068903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</row>
    <row r="63" ht="12.75" customHeight="1">
      <c r="A63" s="79"/>
      <c r="B63" s="76"/>
      <c r="C63" s="76"/>
      <c r="D63" s="110"/>
      <c r="E63" s="76"/>
      <c r="F63" s="76"/>
      <c r="G63" s="76"/>
      <c r="H63" s="76"/>
      <c r="I63" s="76"/>
      <c r="J63" s="76"/>
      <c r="K63" s="76"/>
      <c r="L63" s="76"/>
      <c r="M63" s="76"/>
      <c r="N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</row>
    <row r="64" ht="12.75" customHeight="1">
      <c r="A64" s="79"/>
      <c r="B64" s="76"/>
      <c r="C64" s="76"/>
      <c r="D64" s="110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</row>
    <row r="65" ht="12.75" customHeight="1">
      <c r="A65" s="79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</row>
    <row r="66" ht="12.75" customHeight="1">
      <c r="A66" s="118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</row>
    <row r="67" ht="12.75" customHeight="1">
      <c r="A67" s="118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</row>
    <row r="68" ht="12.75" customHeight="1">
      <c r="A68" s="118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</row>
    <row r="69" ht="12.75" customHeight="1">
      <c r="A69" s="118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</row>
    <row r="70" ht="12.75" customHeight="1">
      <c r="A70" s="118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</row>
    <row r="71" ht="12.75" customHeight="1"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</row>
    <row r="72" ht="12.75" customHeight="1"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</row>
    <row r="73" ht="12.75" customHeight="1">
      <c r="A73" s="596" t="s">
        <v>466</v>
      </c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</row>
    <row r="74" ht="12.75" customHeight="1">
      <c r="B74" s="76"/>
      <c r="C74" s="80" t="s">
        <v>140</v>
      </c>
      <c r="E74" s="76"/>
      <c r="F74" s="76"/>
      <c r="G74" s="76"/>
      <c r="H74" s="76"/>
      <c r="I74" s="76"/>
      <c r="J74" s="76"/>
      <c r="K74" s="76"/>
      <c r="L74" s="76"/>
      <c r="M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</row>
    <row r="75" ht="12.75" customHeight="1">
      <c r="A75" s="597"/>
      <c r="B75" s="76"/>
      <c r="C75" s="82" t="s">
        <v>157</v>
      </c>
      <c r="D75" s="76">
        <v>8.0</v>
      </c>
      <c r="E75" s="76">
        <v>9.0</v>
      </c>
      <c r="F75" s="76">
        <v>10.0</v>
      </c>
      <c r="G75" s="76">
        <v>11.0</v>
      </c>
      <c r="H75" s="76">
        <v>12.0</v>
      </c>
      <c r="I75" s="76">
        <v>13.0</v>
      </c>
      <c r="J75" s="76">
        <v>14.0</v>
      </c>
      <c r="K75" s="76">
        <v>15.0</v>
      </c>
      <c r="L75" s="76">
        <v>16.0</v>
      </c>
      <c r="M75" s="76">
        <v>17.0</v>
      </c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</row>
    <row r="76" ht="12.75" customHeight="1">
      <c r="A76" s="597"/>
      <c r="B76" s="76"/>
      <c r="C76" s="76" t="s">
        <v>148</v>
      </c>
      <c r="D76" s="98">
        <v>0.35</v>
      </c>
      <c r="E76" s="98">
        <v>0.5</v>
      </c>
      <c r="F76" s="98">
        <v>0.5</v>
      </c>
      <c r="G76" s="98">
        <v>0.05</v>
      </c>
      <c r="H76" s="98">
        <v>0.02</v>
      </c>
      <c r="I76" s="98"/>
      <c r="J76" s="98">
        <v>0.2</v>
      </c>
      <c r="K76" s="98">
        <v>0.2</v>
      </c>
      <c r="L76" s="98">
        <v>0.4</v>
      </c>
      <c r="M76" s="98">
        <v>0.45</v>
      </c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</row>
    <row r="77" ht="12.75" customHeight="1">
      <c r="A77" s="597"/>
      <c r="B77" s="76"/>
      <c r="C77" s="76" t="s">
        <v>76</v>
      </c>
      <c r="D77" s="98">
        <v>0.35</v>
      </c>
      <c r="E77" s="98">
        <v>0.4</v>
      </c>
      <c r="F77" s="98">
        <v>0.3</v>
      </c>
      <c r="G77" s="98">
        <v>0.1</v>
      </c>
      <c r="H77" s="98">
        <v>0.05</v>
      </c>
      <c r="I77" s="98"/>
      <c r="J77" s="98">
        <v>0.25</v>
      </c>
      <c r="K77" s="98">
        <v>0.35</v>
      </c>
      <c r="L77" s="98">
        <v>0.55</v>
      </c>
      <c r="M77" s="98">
        <v>0.55</v>
      </c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</row>
    <row r="78" ht="12.75" customHeight="1">
      <c r="A78" s="597"/>
      <c r="B78" s="76"/>
      <c r="C78" s="76" t="s">
        <v>80</v>
      </c>
      <c r="D78" s="98">
        <v>0.3</v>
      </c>
      <c r="E78" s="98">
        <v>0.05</v>
      </c>
      <c r="F78" s="98">
        <v>0.1</v>
      </c>
      <c r="G78" s="98">
        <v>0.25</v>
      </c>
      <c r="H78" s="98">
        <v>0.16</v>
      </c>
      <c r="I78" s="98">
        <v>0.1</v>
      </c>
      <c r="J78" s="98">
        <v>0.1</v>
      </c>
      <c r="K78" s="98">
        <v>0.05</v>
      </c>
      <c r="L78" s="98">
        <v>0.05</v>
      </c>
      <c r="M78" s="98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</row>
    <row r="79" ht="12.75" customHeight="1">
      <c r="A79" s="597"/>
      <c r="B79" s="76"/>
      <c r="C79" s="76" t="s">
        <v>83</v>
      </c>
      <c r="D79" s="98"/>
      <c r="E79" s="98">
        <v>0.05</v>
      </c>
      <c r="F79" s="98">
        <v>0.1</v>
      </c>
      <c r="G79" s="98">
        <v>0.35</v>
      </c>
      <c r="H79" s="98">
        <v>0.5</v>
      </c>
      <c r="I79" s="98">
        <v>0.35</v>
      </c>
      <c r="J79" s="98">
        <v>0.15</v>
      </c>
      <c r="K79" s="98">
        <v>0.15</v>
      </c>
      <c r="L79" s="98"/>
      <c r="M79" s="98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</row>
    <row r="80" ht="12.75" customHeight="1">
      <c r="A80" s="597"/>
      <c r="B80" s="76"/>
      <c r="C80" s="76" t="s">
        <v>87</v>
      </c>
      <c r="D80" s="98"/>
      <c r="E80" s="98"/>
      <c r="F80" s="98"/>
      <c r="G80" s="98">
        <v>0.18</v>
      </c>
      <c r="H80" s="98">
        <v>0.2</v>
      </c>
      <c r="I80" s="98">
        <v>0.35</v>
      </c>
      <c r="J80" s="98">
        <v>0.2</v>
      </c>
      <c r="K80" s="98">
        <v>0.2</v>
      </c>
      <c r="L80" s="98"/>
      <c r="M80" s="98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</row>
    <row r="81" ht="12.75" customHeight="1">
      <c r="A81" s="597"/>
      <c r="B81" s="76"/>
      <c r="C81" s="76" t="s">
        <v>464</v>
      </c>
      <c r="D81" s="598"/>
      <c r="E81" s="599"/>
      <c r="F81" s="599"/>
      <c r="G81" s="599">
        <v>0.07</v>
      </c>
      <c r="H81" s="599">
        <v>0.07</v>
      </c>
      <c r="I81" s="599">
        <v>0.2</v>
      </c>
      <c r="J81" s="599">
        <v>0.1</v>
      </c>
      <c r="K81" s="599">
        <v>0.05</v>
      </c>
      <c r="L81" s="598"/>
      <c r="M81" s="598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</row>
    <row r="82" ht="12.75" customHeight="1">
      <c r="A82" s="597"/>
      <c r="B82" s="76"/>
      <c r="C82" s="76"/>
      <c r="D82" s="89">
        <f t="shared" ref="D82:M82" si="32">SUM(D76:D81)</f>
        <v>1</v>
      </c>
      <c r="E82" s="89">
        <f t="shared" si="32"/>
        <v>1</v>
      </c>
      <c r="F82" s="89">
        <f t="shared" si="32"/>
        <v>1</v>
      </c>
      <c r="G82" s="89">
        <f t="shared" si="32"/>
        <v>1</v>
      </c>
      <c r="H82" s="89">
        <f t="shared" si="32"/>
        <v>1</v>
      </c>
      <c r="I82" s="89">
        <f t="shared" si="32"/>
        <v>1</v>
      </c>
      <c r="J82" s="89">
        <f t="shared" si="32"/>
        <v>1</v>
      </c>
      <c r="K82" s="89">
        <f t="shared" si="32"/>
        <v>1</v>
      </c>
      <c r="L82" s="89">
        <f t="shared" si="32"/>
        <v>1</v>
      </c>
      <c r="M82" s="89">
        <f t="shared" si="32"/>
        <v>1</v>
      </c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</row>
    <row r="83" ht="12.75" customHeight="1">
      <c r="A83" s="597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</row>
    <row r="84" ht="12.75" customHeight="1">
      <c r="A84" s="597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</row>
    <row r="85" ht="12.75" customHeight="1">
      <c r="A85" s="103"/>
      <c r="B85" s="76"/>
      <c r="C85" s="80" t="s">
        <v>140</v>
      </c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</row>
    <row r="86" ht="12.75" customHeight="1">
      <c r="A86" s="103"/>
      <c r="B86" s="76"/>
      <c r="D86" s="76">
        <v>8.0</v>
      </c>
      <c r="E86" s="76">
        <v>9.0</v>
      </c>
      <c r="F86" s="76">
        <v>10.0</v>
      </c>
      <c r="G86" s="76">
        <v>11.0</v>
      </c>
      <c r="H86" s="76">
        <v>12.0</v>
      </c>
      <c r="I86" s="76">
        <v>13.0</v>
      </c>
      <c r="J86" s="76">
        <v>14.0</v>
      </c>
      <c r="K86" s="76">
        <v>15.0</v>
      </c>
      <c r="L86" s="76">
        <v>16.0</v>
      </c>
      <c r="M86" s="76">
        <v>17.0</v>
      </c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</row>
    <row r="87" ht="12.75" customHeight="1">
      <c r="A87" s="103"/>
      <c r="B87" s="76"/>
      <c r="C87" s="82" t="s">
        <v>149</v>
      </c>
      <c r="D87" s="159">
        <v>2.0</v>
      </c>
      <c r="E87" s="159">
        <v>3.0</v>
      </c>
      <c r="F87" s="159">
        <v>3.0</v>
      </c>
      <c r="G87" s="159">
        <v>3.0</v>
      </c>
      <c r="H87" s="159">
        <v>5.0</v>
      </c>
      <c r="I87" s="159">
        <v>5.0</v>
      </c>
      <c r="J87" s="159">
        <v>5.0</v>
      </c>
      <c r="K87" s="159">
        <v>5.0</v>
      </c>
      <c r="L87" s="159">
        <v>2.0</v>
      </c>
      <c r="M87" s="159">
        <v>0.0</v>
      </c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</row>
    <row r="88" ht="12.75" customHeight="1">
      <c r="A88" s="103"/>
      <c r="B88" s="76"/>
      <c r="C88" s="76" t="s">
        <v>72</v>
      </c>
      <c r="D88" s="91">
        <f t="shared" ref="D88:M88" si="33">ROUND( D$87*D76,0)</f>
        <v>1</v>
      </c>
      <c r="E88" s="91">
        <f t="shared" si="33"/>
        <v>2</v>
      </c>
      <c r="F88" s="91">
        <f t="shared" si="33"/>
        <v>2</v>
      </c>
      <c r="G88" s="91">
        <f t="shared" si="33"/>
        <v>0</v>
      </c>
      <c r="H88" s="91">
        <f t="shared" si="33"/>
        <v>0</v>
      </c>
      <c r="I88" s="91">
        <f t="shared" si="33"/>
        <v>0</v>
      </c>
      <c r="J88" s="91">
        <f t="shared" si="33"/>
        <v>1</v>
      </c>
      <c r="K88" s="91">
        <f t="shared" si="33"/>
        <v>1</v>
      </c>
      <c r="L88" s="91">
        <f t="shared" si="33"/>
        <v>1</v>
      </c>
      <c r="M88" s="91">
        <f t="shared" si="33"/>
        <v>0</v>
      </c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</row>
    <row r="89" ht="12.75" customHeight="1">
      <c r="A89" s="103"/>
      <c r="B89" s="76"/>
      <c r="C89" s="76" t="s">
        <v>76</v>
      </c>
      <c r="D89" s="91">
        <f t="shared" ref="D89:M89" si="34">ROUND( D$87*D77,0)</f>
        <v>1</v>
      </c>
      <c r="E89" s="91">
        <f t="shared" si="34"/>
        <v>1</v>
      </c>
      <c r="F89" s="91">
        <f t="shared" si="34"/>
        <v>1</v>
      </c>
      <c r="G89" s="91">
        <f t="shared" si="34"/>
        <v>0</v>
      </c>
      <c r="H89" s="91">
        <f t="shared" si="34"/>
        <v>0</v>
      </c>
      <c r="I89" s="91">
        <f t="shared" si="34"/>
        <v>0</v>
      </c>
      <c r="J89" s="91">
        <f t="shared" si="34"/>
        <v>1</v>
      </c>
      <c r="K89" s="91">
        <f t="shared" si="34"/>
        <v>2</v>
      </c>
      <c r="L89" s="91">
        <f t="shared" si="34"/>
        <v>1</v>
      </c>
      <c r="M89" s="91">
        <f t="shared" si="34"/>
        <v>0</v>
      </c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</row>
    <row r="90" ht="12.75" customHeight="1">
      <c r="A90" s="103"/>
      <c r="B90" s="76"/>
      <c r="C90" s="76" t="s">
        <v>80</v>
      </c>
      <c r="D90" s="91">
        <f t="shared" ref="D90:M90" si="35">ROUND( D$87*D78,0)</f>
        <v>1</v>
      </c>
      <c r="E90" s="91">
        <f t="shared" si="35"/>
        <v>0</v>
      </c>
      <c r="F90" s="91">
        <f t="shared" si="35"/>
        <v>0</v>
      </c>
      <c r="G90" s="91">
        <f t="shared" si="35"/>
        <v>1</v>
      </c>
      <c r="H90" s="91">
        <f t="shared" si="35"/>
        <v>1</v>
      </c>
      <c r="I90" s="91">
        <f t="shared" si="35"/>
        <v>1</v>
      </c>
      <c r="J90" s="91">
        <f t="shared" si="35"/>
        <v>1</v>
      </c>
      <c r="K90" s="91">
        <f t="shared" si="35"/>
        <v>0</v>
      </c>
      <c r="L90" s="91">
        <f t="shared" si="35"/>
        <v>0</v>
      </c>
      <c r="M90" s="91">
        <f t="shared" si="35"/>
        <v>0</v>
      </c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</row>
    <row r="91" ht="12.75" customHeight="1">
      <c r="A91" s="103"/>
      <c r="B91" s="76"/>
      <c r="C91" s="76" t="s">
        <v>83</v>
      </c>
      <c r="D91" s="91">
        <f t="shared" ref="D91:M91" si="36">ROUND( D$87*D79,0)</f>
        <v>0</v>
      </c>
      <c r="E91" s="91">
        <f t="shared" si="36"/>
        <v>0</v>
      </c>
      <c r="F91" s="91">
        <f t="shared" si="36"/>
        <v>0</v>
      </c>
      <c r="G91" s="91">
        <f t="shared" si="36"/>
        <v>1</v>
      </c>
      <c r="H91" s="91">
        <f t="shared" si="36"/>
        <v>3</v>
      </c>
      <c r="I91" s="91">
        <f t="shared" si="36"/>
        <v>2</v>
      </c>
      <c r="J91" s="91">
        <f t="shared" si="36"/>
        <v>1</v>
      </c>
      <c r="K91" s="91">
        <f t="shared" si="36"/>
        <v>1</v>
      </c>
      <c r="L91" s="91">
        <f t="shared" si="36"/>
        <v>0</v>
      </c>
      <c r="M91" s="91">
        <f t="shared" si="36"/>
        <v>0</v>
      </c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</row>
    <row r="92" ht="12.75" customHeight="1">
      <c r="A92" s="103"/>
      <c r="B92" s="76"/>
      <c r="C92" s="76" t="s">
        <v>87</v>
      </c>
      <c r="D92" s="91">
        <f t="shared" ref="D92:M92" si="37">ROUND( D$87*D80,0)</f>
        <v>0</v>
      </c>
      <c r="E92" s="91">
        <f t="shared" si="37"/>
        <v>0</v>
      </c>
      <c r="F92" s="91">
        <f t="shared" si="37"/>
        <v>0</v>
      </c>
      <c r="G92" s="91">
        <f t="shared" si="37"/>
        <v>1</v>
      </c>
      <c r="H92" s="91">
        <f t="shared" si="37"/>
        <v>1</v>
      </c>
      <c r="I92" s="91">
        <f t="shared" si="37"/>
        <v>2</v>
      </c>
      <c r="J92" s="91">
        <f t="shared" si="37"/>
        <v>1</v>
      </c>
      <c r="K92" s="91">
        <f t="shared" si="37"/>
        <v>1</v>
      </c>
      <c r="L92" s="91">
        <f t="shared" si="37"/>
        <v>0</v>
      </c>
      <c r="M92" s="91">
        <f t="shared" si="37"/>
        <v>0</v>
      </c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</row>
    <row r="93" ht="12.75" customHeight="1">
      <c r="A93" s="103"/>
      <c r="B93" s="76"/>
      <c r="C93" s="76" t="s">
        <v>464</v>
      </c>
      <c r="D93" s="91">
        <f t="shared" ref="D93:M93" si="38">ROUND( D$87*D81,0)</f>
        <v>0</v>
      </c>
      <c r="E93" s="91">
        <f t="shared" si="38"/>
        <v>0</v>
      </c>
      <c r="F93" s="91">
        <f t="shared" si="38"/>
        <v>0</v>
      </c>
      <c r="G93" s="91">
        <f t="shared" si="38"/>
        <v>0</v>
      </c>
      <c r="H93" s="91">
        <f t="shared" si="38"/>
        <v>0</v>
      </c>
      <c r="I93" s="91">
        <f t="shared" si="38"/>
        <v>1</v>
      </c>
      <c r="J93" s="91">
        <f t="shared" si="38"/>
        <v>1</v>
      </c>
      <c r="K93" s="91">
        <f t="shared" si="38"/>
        <v>0</v>
      </c>
      <c r="L93" s="91">
        <f t="shared" si="38"/>
        <v>0</v>
      </c>
      <c r="M93" s="91">
        <f t="shared" si="38"/>
        <v>0</v>
      </c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</row>
    <row r="94" ht="12.75" customHeight="1">
      <c r="A94" s="103"/>
      <c r="B94" s="76"/>
      <c r="C94" s="76"/>
      <c r="D94" s="93">
        <f t="shared" ref="D94:M94" si="39">SUM(D88:D93)</f>
        <v>3</v>
      </c>
      <c r="E94" s="93">
        <f t="shared" si="39"/>
        <v>3</v>
      </c>
      <c r="F94" s="93">
        <f t="shared" si="39"/>
        <v>3</v>
      </c>
      <c r="G94" s="93">
        <f t="shared" si="39"/>
        <v>3</v>
      </c>
      <c r="H94" s="93">
        <f t="shared" si="39"/>
        <v>5</v>
      </c>
      <c r="I94" s="93">
        <f t="shared" si="39"/>
        <v>6</v>
      </c>
      <c r="J94" s="93">
        <f t="shared" si="39"/>
        <v>6</v>
      </c>
      <c r="K94" s="93">
        <f t="shared" si="39"/>
        <v>5</v>
      </c>
      <c r="L94" s="93">
        <f t="shared" si="39"/>
        <v>2</v>
      </c>
      <c r="M94" s="93">
        <f t="shared" si="39"/>
        <v>0</v>
      </c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</row>
    <row r="95" ht="12.75" customHeight="1">
      <c r="A95" s="103"/>
      <c r="B95" s="76"/>
      <c r="C95" s="80" t="s">
        <v>150</v>
      </c>
      <c r="D95" s="95" t="s">
        <v>151</v>
      </c>
      <c r="E95" s="95" t="s">
        <v>152</v>
      </c>
      <c r="F95" s="95" t="s">
        <v>153</v>
      </c>
      <c r="G95" s="95" t="s">
        <v>154</v>
      </c>
      <c r="H95" s="95" t="s">
        <v>155</v>
      </c>
      <c r="I95" s="95" t="s">
        <v>156</v>
      </c>
      <c r="J95" s="95" t="s">
        <v>151</v>
      </c>
      <c r="K95" s="95" t="s">
        <v>152</v>
      </c>
      <c r="L95" s="95" t="s">
        <v>153</v>
      </c>
      <c r="M95" s="95" t="s">
        <v>154</v>
      </c>
      <c r="N95" s="95" t="s">
        <v>155</v>
      </c>
      <c r="O95" s="95" t="s">
        <v>156</v>
      </c>
      <c r="P95" s="95" t="s">
        <v>151</v>
      </c>
      <c r="Q95" s="95" t="s">
        <v>152</v>
      </c>
      <c r="R95" s="95" t="s">
        <v>153</v>
      </c>
      <c r="S95" s="95" t="s">
        <v>154</v>
      </c>
      <c r="T95" s="95" t="s">
        <v>155</v>
      </c>
      <c r="U95" s="95" t="s">
        <v>156</v>
      </c>
      <c r="V95" s="95" t="s">
        <v>151</v>
      </c>
      <c r="W95" s="95" t="s">
        <v>152</v>
      </c>
      <c r="X95" s="95" t="s">
        <v>153</v>
      </c>
      <c r="Y95" s="95" t="s">
        <v>154</v>
      </c>
      <c r="Z95" s="95" t="s">
        <v>155</v>
      </c>
      <c r="AA95" s="95" t="s">
        <v>156</v>
      </c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</row>
    <row r="96" ht="12.75" customHeight="1">
      <c r="A96" s="103"/>
      <c r="B96" s="76"/>
      <c r="C96" s="76"/>
      <c r="D96" s="76">
        <v>1.0</v>
      </c>
      <c r="E96" s="76">
        <v>2.0</v>
      </c>
      <c r="F96" s="76">
        <v>3.0</v>
      </c>
      <c r="G96" s="76">
        <v>4.0</v>
      </c>
      <c r="H96" s="76">
        <v>5.0</v>
      </c>
      <c r="I96" s="76">
        <v>6.0</v>
      </c>
      <c r="J96" s="76">
        <v>7.0</v>
      </c>
      <c r="K96" s="76">
        <v>8.0</v>
      </c>
      <c r="L96" s="76">
        <v>9.0</v>
      </c>
      <c r="M96" s="76">
        <v>10.0</v>
      </c>
      <c r="N96" s="76">
        <v>11.0</v>
      </c>
      <c r="O96" s="76">
        <v>12.0</v>
      </c>
      <c r="P96" s="76">
        <v>13.0</v>
      </c>
      <c r="Q96" s="76">
        <v>14.0</v>
      </c>
      <c r="R96" s="76">
        <v>15.0</v>
      </c>
      <c r="S96" s="76">
        <v>16.0</v>
      </c>
      <c r="T96" s="76">
        <v>17.0</v>
      </c>
      <c r="U96" s="76">
        <v>18.0</v>
      </c>
      <c r="V96" s="76">
        <v>19.0</v>
      </c>
      <c r="W96" s="76">
        <v>20.0</v>
      </c>
      <c r="X96" s="76">
        <v>21.0</v>
      </c>
      <c r="Y96" s="76">
        <v>22.0</v>
      </c>
      <c r="Z96" s="76">
        <v>23.0</v>
      </c>
      <c r="AA96" s="76">
        <v>24.0</v>
      </c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</row>
    <row r="97" ht="12.75" customHeight="1">
      <c r="A97" s="103"/>
      <c r="C97" s="82" t="s">
        <v>157</v>
      </c>
      <c r="D97" s="98">
        <v>0.8</v>
      </c>
      <c r="E97" s="98">
        <v>0.8</v>
      </c>
      <c r="F97" s="98">
        <v>0.7</v>
      </c>
      <c r="G97" s="98">
        <v>0.6</v>
      </c>
      <c r="H97" s="98">
        <v>0.7</v>
      </c>
      <c r="I97" s="98">
        <v>0.8</v>
      </c>
      <c r="J97" s="98">
        <v>0.8</v>
      </c>
      <c r="K97" s="98">
        <v>0.8</v>
      </c>
      <c r="L97" s="98">
        <v>0.7</v>
      </c>
      <c r="M97" s="98">
        <v>0.6</v>
      </c>
      <c r="N97" s="98">
        <v>0.7</v>
      </c>
      <c r="O97" s="98">
        <v>0.8</v>
      </c>
      <c r="P97" s="98">
        <v>0.8</v>
      </c>
      <c r="Q97" s="98">
        <v>0.8</v>
      </c>
      <c r="R97" s="98">
        <v>0.7</v>
      </c>
      <c r="S97" s="98">
        <v>0.6</v>
      </c>
      <c r="T97" s="98">
        <v>0.7</v>
      </c>
      <c r="U97" s="98">
        <v>0.8</v>
      </c>
      <c r="V97" s="98">
        <v>0.8</v>
      </c>
      <c r="W97" s="98">
        <v>0.8</v>
      </c>
      <c r="X97" s="98">
        <v>0.7</v>
      </c>
      <c r="Y97" s="98">
        <v>0.6</v>
      </c>
      <c r="Z97" s="98">
        <v>0.7</v>
      </c>
      <c r="AA97" s="98">
        <v>0.8</v>
      </c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</row>
    <row r="98" ht="12.75" customHeight="1">
      <c r="A98" s="103"/>
      <c r="B98" s="76"/>
      <c r="C98" s="76" t="s">
        <v>148</v>
      </c>
      <c r="D98" s="76">
        <f t="shared" ref="D98:AA98" si="40">ROUND(SUM($D88:$M88)*D$97,0)</f>
        <v>6</v>
      </c>
      <c r="E98" s="76">
        <f t="shared" si="40"/>
        <v>6</v>
      </c>
      <c r="F98" s="76">
        <f t="shared" si="40"/>
        <v>6</v>
      </c>
      <c r="G98" s="76">
        <f t="shared" si="40"/>
        <v>5</v>
      </c>
      <c r="H98" s="76">
        <f t="shared" si="40"/>
        <v>6</v>
      </c>
      <c r="I98" s="76">
        <f t="shared" si="40"/>
        <v>6</v>
      </c>
      <c r="J98" s="76">
        <f t="shared" si="40"/>
        <v>6</v>
      </c>
      <c r="K98" s="76">
        <f t="shared" si="40"/>
        <v>6</v>
      </c>
      <c r="L98" s="76">
        <f t="shared" si="40"/>
        <v>6</v>
      </c>
      <c r="M98" s="76">
        <f t="shared" si="40"/>
        <v>5</v>
      </c>
      <c r="N98" s="76">
        <f t="shared" si="40"/>
        <v>6</v>
      </c>
      <c r="O98" s="76">
        <f t="shared" si="40"/>
        <v>6</v>
      </c>
      <c r="P98" s="76">
        <f t="shared" si="40"/>
        <v>6</v>
      </c>
      <c r="Q98" s="76">
        <f t="shared" si="40"/>
        <v>6</v>
      </c>
      <c r="R98" s="76">
        <f t="shared" si="40"/>
        <v>6</v>
      </c>
      <c r="S98" s="76">
        <f t="shared" si="40"/>
        <v>5</v>
      </c>
      <c r="T98" s="76">
        <f t="shared" si="40"/>
        <v>6</v>
      </c>
      <c r="U98" s="76">
        <f t="shared" si="40"/>
        <v>6</v>
      </c>
      <c r="V98" s="76">
        <f t="shared" si="40"/>
        <v>6</v>
      </c>
      <c r="W98" s="76">
        <f t="shared" si="40"/>
        <v>6</v>
      </c>
      <c r="X98" s="76">
        <f t="shared" si="40"/>
        <v>6</v>
      </c>
      <c r="Y98" s="76">
        <f t="shared" si="40"/>
        <v>5</v>
      </c>
      <c r="Z98" s="76">
        <f t="shared" si="40"/>
        <v>6</v>
      </c>
      <c r="AA98" s="76">
        <f t="shared" si="40"/>
        <v>6</v>
      </c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</row>
    <row r="99" ht="12.75" customHeight="1">
      <c r="A99" s="103"/>
      <c r="B99" s="76"/>
      <c r="C99" s="76" t="s">
        <v>76</v>
      </c>
      <c r="D99" s="76">
        <f t="shared" ref="D99:AA99" si="41">ROUND(SUM($D89:$M89)*D$97,0)</f>
        <v>6</v>
      </c>
      <c r="E99" s="76">
        <f t="shared" si="41"/>
        <v>6</v>
      </c>
      <c r="F99" s="76">
        <f t="shared" si="41"/>
        <v>5</v>
      </c>
      <c r="G99" s="76">
        <f t="shared" si="41"/>
        <v>4</v>
      </c>
      <c r="H99" s="76">
        <f t="shared" si="41"/>
        <v>5</v>
      </c>
      <c r="I99" s="76">
        <f t="shared" si="41"/>
        <v>6</v>
      </c>
      <c r="J99" s="76">
        <f t="shared" si="41"/>
        <v>6</v>
      </c>
      <c r="K99" s="76">
        <f t="shared" si="41"/>
        <v>6</v>
      </c>
      <c r="L99" s="76">
        <f t="shared" si="41"/>
        <v>5</v>
      </c>
      <c r="M99" s="76">
        <f t="shared" si="41"/>
        <v>4</v>
      </c>
      <c r="N99" s="76">
        <f t="shared" si="41"/>
        <v>5</v>
      </c>
      <c r="O99" s="76">
        <f t="shared" si="41"/>
        <v>6</v>
      </c>
      <c r="P99" s="76">
        <f t="shared" si="41"/>
        <v>6</v>
      </c>
      <c r="Q99" s="76">
        <f t="shared" si="41"/>
        <v>6</v>
      </c>
      <c r="R99" s="76">
        <f t="shared" si="41"/>
        <v>5</v>
      </c>
      <c r="S99" s="76">
        <f t="shared" si="41"/>
        <v>4</v>
      </c>
      <c r="T99" s="76">
        <f t="shared" si="41"/>
        <v>5</v>
      </c>
      <c r="U99" s="76">
        <f t="shared" si="41"/>
        <v>6</v>
      </c>
      <c r="V99" s="76">
        <f t="shared" si="41"/>
        <v>6</v>
      </c>
      <c r="W99" s="76">
        <f t="shared" si="41"/>
        <v>6</v>
      </c>
      <c r="X99" s="76">
        <f t="shared" si="41"/>
        <v>5</v>
      </c>
      <c r="Y99" s="76">
        <f t="shared" si="41"/>
        <v>4</v>
      </c>
      <c r="Z99" s="76">
        <f t="shared" si="41"/>
        <v>5</v>
      </c>
      <c r="AA99" s="76">
        <f t="shared" si="41"/>
        <v>6</v>
      </c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</row>
    <row r="100" ht="12.75" customHeight="1">
      <c r="A100" s="103"/>
      <c r="B100" s="76"/>
      <c r="C100" s="76" t="s">
        <v>80</v>
      </c>
      <c r="D100" s="76">
        <f t="shared" ref="D100:AA100" si="42">ROUND(SUM($D90:$M90)*D$97,0)</f>
        <v>4</v>
      </c>
      <c r="E100" s="76">
        <f t="shared" si="42"/>
        <v>4</v>
      </c>
      <c r="F100" s="76">
        <f t="shared" si="42"/>
        <v>4</v>
      </c>
      <c r="G100" s="76">
        <f t="shared" si="42"/>
        <v>3</v>
      </c>
      <c r="H100" s="76">
        <f t="shared" si="42"/>
        <v>4</v>
      </c>
      <c r="I100" s="76">
        <f t="shared" si="42"/>
        <v>4</v>
      </c>
      <c r="J100" s="76">
        <f t="shared" si="42"/>
        <v>4</v>
      </c>
      <c r="K100" s="76">
        <f t="shared" si="42"/>
        <v>4</v>
      </c>
      <c r="L100" s="76">
        <f t="shared" si="42"/>
        <v>4</v>
      </c>
      <c r="M100" s="76">
        <f t="shared" si="42"/>
        <v>3</v>
      </c>
      <c r="N100" s="76">
        <f t="shared" si="42"/>
        <v>4</v>
      </c>
      <c r="O100" s="76">
        <f t="shared" si="42"/>
        <v>4</v>
      </c>
      <c r="P100" s="76">
        <f t="shared" si="42"/>
        <v>4</v>
      </c>
      <c r="Q100" s="76">
        <f t="shared" si="42"/>
        <v>4</v>
      </c>
      <c r="R100" s="76">
        <f t="shared" si="42"/>
        <v>4</v>
      </c>
      <c r="S100" s="76">
        <f t="shared" si="42"/>
        <v>3</v>
      </c>
      <c r="T100" s="76">
        <f t="shared" si="42"/>
        <v>4</v>
      </c>
      <c r="U100" s="76">
        <f t="shared" si="42"/>
        <v>4</v>
      </c>
      <c r="V100" s="76">
        <f t="shared" si="42"/>
        <v>4</v>
      </c>
      <c r="W100" s="76">
        <f t="shared" si="42"/>
        <v>4</v>
      </c>
      <c r="X100" s="76">
        <f t="shared" si="42"/>
        <v>4</v>
      </c>
      <c r="Y100" s="76">
        <f t="shared" si="42"/>
        <v>3</v>
      </c>
      <c r="Z100" s="76">
        <f t="shared" si="42"/>
        <v>4</v>
      </c>
      <c r="AA100" s="76">
        <f t="shared" si="42"/>
        <v>4</v>
      </c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</row>
    <row r="101" ht="12.75" customHeight="1">
      <c r="A101" s="103"/>
      <c r="B101" s="76"/>
      <c r="C101" s="76" t="s">
        <v>83</v>
      </c>
      <c r="D101" s="76">
        <f t="shared" ref="D101:AA101" si="43">ROUND(SUM($D91:$M91)*D$97,0)</f>
        <v>6</v>
      </c>
      <c r="E101" s="76">
        <f t="shared" si="43"/>
        <v>6</v>
      </c>
      <c r="F101" s="76">
        <f t="shared" si="43"/>
        <v>6</v>
      </c>
      <c r="G101" s="76">
        <f t="shared" si="43"/>
        <v>5</v>
      </c>
      <c r="H101" s="76">
        <f t="shared" si="43"/>
        <v>6</v>
      </c>
      <c r="I101" s="76">
        <f t="shared" si="43"/>
        <v>6</v>
      </c>
      <c r="J101" s="76">
        <f t="shared" si="43"/>
        <v>6</v>
      </c>
      <c r="K101" s="76">
        <f t="shared" si="43"/>
        <v>6</v>
      </c>
      <c r="L101" s="76">
        <f t="shared" si="43"/>
        <v>6</v>
      </c>
      <c r="M101" s="76">
        <f t="shared" si="43"/>
        <v>5</v>
      </c>
      <c r="N101" s="76">
        <f t="shared" si="43"/>
        <v>6</v>
      </c>
      <c r="O101" s="76">
        <f t="shared" si="43"/>
        <v>6</v>
      </c>
      <c r="P101" s="76">
        <f t="shared" si="43"/>
        <v>6</v>
      </c>
      <c r="Q101" s="76">
        <f t="shared" si="43"/>
        <v>6</v>
      </c>
      <c r="R101" s="76">
        <f t="shared" si="43"/>
        <v>6</v>
      </c>
      <c r="S101" s="76">
        <f t="shared" si="43"/>
        <v>5</v>
      </c>
      <c r="T101" s="76">
        <f t="shared" si="43"/>
        <v>6</v>
      </c>
      <c r="U101" s="76">
        <f t="shared" si="43"/>
        <v>6</v>
      </c>
      <c r="V101" s="76">
        <f t="shared" si="43"/>
        <v>6</v>
      </c>
      <c r="W101" s="76">
        <f t="shared" si="43"/>
        <v>6</v>
      </c>
      <c r="X101" s="76">
        <f t="shared" si="43"/>
        <v>6</v>
      </c>
      <c r="Y101" s="76">
        <f t="shared" si="43"/>
        <v>5</v>
      </c>
      <c r="Z101" s="76">
        <f t="shared" si="43"/>
        <v>6</v>
      </c>
      <c r="AA101" s="76">
        <f t="shared" si="43"/>
        <v>6</v>
      </c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</row>
    <row r="102" ht="12.75" customHeight="1">
      <c r="A102" s="103"/>
      <c r="B102" s="76"/>
      <c r="C102" s="76" t="s">
        <v>87</v>
      </c>
      <c r="D102" s="76">
        <f t="shared" ref="D102:AA102" si="44">ROUND(SUM($D92:$M92)*D$97,0)</f>
        <v>5</v>
      </c>
      <c r="E102" s="76">
        <f t="shared" si="44"/>
        <v>5</v>
      </c>
      <c r="F102" s="76">
        <f t="shared" si="44"/>
        <v>4</v>
      </c>
      <c r="G102" s="76">
        <f t="shared" si="44"/>
        <v>4</v>
      </c>
      <c r="H102" s="76">
        <f t="shared" si="44"/>
        <v>4</v>
      </c>
      <c r="I102" s="76">
        <f t="shared" si="44"/>
        <v>5</v>
      </c>
      <c r="J102" s="76">
        <f t="shared" si="44"/>
        <v>5</v>
      </c>
      <c r="K102" s="76">
        <f t="shared" si="44"/>
        <v>5</v>
      </c>
      <c r="L102" s="76">
        <f t="shared" si="44"/>
        <v>4</v>
      </c>
      <c r="M102" s="76">
        <f t="shared" si="44"/>
        <v>4</v>
      </c>
      <c r="N102" s="76">
        <f t="shared" si="44"/>
        <v>4</v>
      </c>
      <c r="O102" s="76">
        <f t="shared" si="44"/>
        <v>5</v>
      </c>
      <c r="P102" s="76">
        <f t="shared" si="44"/>
        <v>5</v>
      </c>
      <c r="Q102" s="76">
        <f t="shared" si="44"/>
        <v>5</v>
      </c>
      <c r="R102" s="76">
        <f t="shared" si="44"/>
        <v>4</v>
      </c>
      <c r="S102" s="76">
        <f t="shared" si="44"/>
        <v>4</v>
      </c>
      <c r="T102" s="76">
        <f t="shared" si="44"/>
        <v>4</v>
      </c>
      <c r="U102" s="76">
        <f t="shared" si="44"/>
        <v>5</v>
      </c>
      <c r="V102" s="76">
        <f t="shared" si="44"/>
        <v>5</v>
      </c>
      <c r="W102" s="76">
        <f t="shared" si="44"/>
        <v>5</v>
      </c>
      <c r="X102" s="76">
        <f t="shared" si="44"/>
        <v>4</v>
      </c>
      <c r="Y102" s="76">
        <f t="shared" si="44"/>
        <v>4</v>
      </c>
      <c r="Z102" s="76">
        <f t="shared" si="44"/>
        <v>4</v>
      </c>
      <c r="AA102" s="76">
        <f t="shared" si="44"/>
        <v>5</v>
      </c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</row>
    <row r="103" ht="12.75" customHeight="1">
      <c r="A103" s="103"/>
      <c r="B103" s="76"/>
      <c r="C103" s="76" t="s">
        <v>464</v>
      </c>
      <c r="D103" s="76">
        <f t="shared" ref="D103:AA103" si="45">ROUND(SUM($D93:$M93)*D$97,0)</f>
        <v>2</v>
      </c>
      <c r="E103" s="76">
        <f t="shared" si="45"/>
        <v>2</v>
      </c>
      <c r="F103" s="76">
        <f t="shared" si="45"/>
        <v>1</v>
      </c>
      <c r="G103" s="76">
        <f t="shared" si="45"/>
        <v>1</v>
      </c>
      <c r="H103" s="76">
        <f t="shared" si="45"/>
        <v>1</v>
      </c>
      <c r="I103" s="76">
        <f t="shared" si="45"/>
        <v>2</v>
      </c>
      <c r="J103" s="76">
        <f t="shared" si="45"/>
        <v>2</v>
      </c>
      <c r="K103" s="76">
        <f t="shared" si="45"/>
        <v>2</v>
      </c>
      <c r="L103" s="76">
        <f t="shared" si="45"/>
        <v>1</v>
      </c>
      <c r="M103" s="76">
        <f t="shared" si="45"/>
        <v>1</v>
      </c>
      <c r="N103" s="76">
        <f t="shared" si="45"/>
        <v>1</v>
      </c>
      <c r="O103" s="76">
        <f t="shared" si="45"/>
        <v>2</v>
      </c>
      <c r="P103" s="76">
        <f t="shared" si="45"/>
        <v>2</v>
      </c>
      <c r="Q103" s="76">
        <f t="shared" si="45"/>
        <v>2</v>
      </c>
      <c r="R103" s="76">
        <f t="shared" si="45"/>
        <v>1</v>
      </c>
      <c r="S103" s="76">
        <f t="shared" si="45"/>
        <v>1</v>
      </c>
      <c r="T103" s="76">
        <f t="shared" si="45"/>
        <v>1</v>
      </c>
      <c r="U103" s="76">
        <f t="shared" si="45"/>
        <v>2</v>
      </c>
      <c r="V103" s="76">
        <f t="shared" si="45"/>
        <v>2</v>
      </c>
      <c r="W103" s="76">
        <f t="shared" si="45"/>
        <v>2</v>
      </c>
      <c r="X103" s="76">
        <f t="shared" si="45"/>
        <v>1</v>
      </c>
      <c r="Y103" s="76">
        <f t="shared" si="45"/>
        <v>1</v>
      </c>
      <c r="Z103" s="76">
        <f t="shared" si="45"/>
        <v>1</v>
      </c>
      <c r="AA103" s="76">
        <f t="shared" si="45"/>
        <v>2</v>
      </c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</row>
    <row r="104" ht="12.75" customHeight="1">
      <c r="A104" s="103"/>
      <c r="B104" s="76"/>
      <c r="C104" s="76"/>
      <c r="D104" s="93">
        <f t="shared" ref="D104:AA104" si="46">SUM(D98:D103)</f>
        <v>29</v>
      </c>
      <c r="E104" s="93">
        <f t="shared" si="46"/>
        <v>29</v>
      </c>
      <c r="F104" s="93">
        <f t="shared" si="46"/>
        <v>26</v>
      </c>
      <c r="G104" s="93">
        <f t="shared" si="46"/>
        <v>22</v>
      </c>
      <c r="H104" s="93">
        <f t="shared" si="46"/>
        <v>26</v>
      </c>
      <c r="I104" s="93">
        <f t="shared" si="46"/>
        <v>29</v>
      </c>
      <c r="J104" s="93">
        <f t="shared" si="46"/>
        <v>29</v>
      </c>
      <c r="K104" s="93">
        <f t="shared" si="46"/>
        <v>29</v>
      </c>
      <c r="L104" s="93">
        <f t="shared" si="46"/>
        <v>26</v>
      </c>
      <c r="M104" s="93">
        <f t="shared" si="46"/>
        <v>22</v>
      </c>
      <c r="N104" s="93">
        <f t="shared" si="46"/>
        <v>26</v>
      </c>
      <c r="O104" s="93">
        <f t="shared" si="46"/>
        <v>29</v>
      </c>
      <c r="P104" s="93">
        <f t="shared" si="46"/>
        <v>29</v>
      </c>
      <c r="Q104" s="93">
        <f t="shared" si="46"/>
        <v>29</v>
      </c>
      <c r="R104" s="93">
        <f t="shared" si="46"/>
        <v>26</v>
      </c>
      <c r="S104" s="93">
        <f t="shared" si="46"/>
        <v>22</v>
      </c>
      <c r="T104" s="93">
        <f t="shared" si="46"/>
        <v>26</v>
      </c>
      <c r="U104" s="93">
        <f t="shared" si="46"/>
        <v>29</v>
      </c>
      <c r="V104" s="93">
        <f t="shared" si="46"/>
        <v>29</v>
      </c>
      <c r="W104" s="93">
        <f t="shared" si="46"/>
        <v>29</v>
      </c>
      <c r="X104" s="93">
        <f t="shared" si="46"/>
        <v>26</v>
      </c>
      <c r="Y104" s="93">
        <f t="shared" si="46"/>
        <v>22</v>
      </c>
      <c r="Z104" s="93">
        <f t="shared" si="46"/>
        <v>26</v>
      </c>
      <c r="AA104" s="93">
        <f t="shared" si="46"/>
        <v>29</v>
      </c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</row>
    <row r="105" ht="12.75" customHeight="1">
      <c r="A105" s="103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</row>
    <row r="106" ht="12.75" customHeight="1">
      <c r="A106" s="103"/>
      <c r="B106" s="76"/>
      <c r="C106" s="80" t="s">
        <v>158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</row>
    <row r="107" ht="12.75" customHeight="1">
      <c r="A107" s="103"/>
      <c r="B107" s="76"/>
      <c r="C107" s="76"/>
      <c r="D107" s="76">
        <v>2024.0</v>
      </c>
      <c r="E107" s="76"/>
      <c r="F107" s="76"/>
      <c r="G107" s="76"/>
      <c r="H107" s="76"/>
      <c r="I107" s="76"/>
      <c r="J107" s="76"/>
      <c r="K107" s="95" t="s">
        <v>465</v>
      </c>
      <c r="L107" s="76"/>
      <c r="M107" s="76"/>
      <c r="N107" s="76"/>
      <c r="O107" s="76"/>
      <c r="P107" s="76">
        <v>2025.0</v>
      </c>
      <c r="Q107" s="76"/>
      <c r="R107" s="76"/>
      <c r="S107" s="76"/>
      <c r="T107" s="76"/>
      <c r="U107" s="76"/>
      <c r="V107" s="76"/>
      <c r="W107" s="95" t="s">
        <v>465</v>
      </c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</row>
    <row r="108" ht="12.75" customHeight="1">
      <c r="A108" s="103"/>
      <c r="B108" s="76"/>
      <c r="C108" s="82" t="s">
        <v>159</v>
      </c>
      <c r="D108" s="76">
        <v>1.0</v>
      </c>
      <c r="E108" s="76">
        <v>2.0</v>
      </c>
      <c r="F108" s="76">
        <v>3.0</v>
      </c>
      <c r="G108" s="76">
        <v>4.0</v>
      </c>
      <c r="H108" s="76">
        <v>5.0</v>
      </c>
      <c r="I108" s="76">
        <v>6.0</v>
      </c>
      <c r="J108" s="76">
        <v>7.0</v>
      </c>
      <c r="K108" s="76">
        <v>8.0</v>
      </c>
      <c r="L108" s="76">
        <v>9.0</v>
      </c>
      <c r="M108" s="76">
        <v>10.0</v>
      </c>
      <c r="N108" s="76">
        <v>11.0</v>
      </c>
      <c r="O108" s="76">
        <v>12.0</v>
      </c>
      <c r="P108" s="76">
        <v>1.0</v>
      </c>
      <c r="Q108" s="76">
        <v>2.0</v>
      </c>
      <c r="R108" s="76">
        <v>3.0</v>
      </c>
      <c r="S108" s="76">
        <v>4.0</v>
      </c>
      <c r="T108" s="76">
        <v>5.0</v>
      </c>
      <c r="U108" s="76">
        <v>6.0</v>
      </c>
      <c r="V108" s="76">
        <v>7.0</v>
      </c>
      <c r="W108" s="76">
        <v>8.0</v>
      </c>
      <c r="X108" s="76">
        <v>9.0</v>
      </c>
      <c r="Y108" s="76">
        <v>10.0</v>
      </c>
      <c r="Z108" s="76">
        <v>11.0</v>
      </c>
      <c r="AA108" s="76">
        <v>12.0</v>
      </c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</row>
    <row r="109" ht="12.75" customHeight="1">
      <c r="A109" s="103"/>
      <c r="B109" s="76"/>
      <c r="C109" s="82" t="s">
        <v>160</v>
      </c>
      <c r="D109" s="98">
        <v>0.0</v>
      </c>
      <c r="E109" s="98">
        <v>0.0</v>
      </c>
      <c r="F109" s="98">
        <v>0.0</v>
      </c>
      <c r="G109" s="98">
        <v>0.2</v>
      </c>
      <c r="H109" s="98">
        <v>0.2</v>
      </c>
      <c r="I109" s="98">
        <v>0.25</v>
      </c>
      <c r="J109" s="98">
        <v>0.25</v>
      </c>
      <c r="K109" s="98">
        <v>0.1</v>
      </c>
      <c r="L109" s="98">
        <v>0.3</v>
      </c>
      <c r="M109" s="98">
        <v>0.3</v>
      </c>
      <c r="N109" s="98">
        <v>0.35</v>
      </c>
      <c r="O109" s="98">
        <v>0.4</v>
      </c>
      <c r="P109" s="98">
        <v>0.4</v>
      </c>
      <c r="Q109" s="98">
        <v>0.45</v>
      </c>
      <c r="R109" s="98">
        <v>0.45</v>
      </c>
      <c r="S109" s="98">
        <v>0.45</v>
      </c>
      <c r="T109" s="98">
        <v>0.3</v>
      </c>
      <c r="U109" s="98">
        <v>0.25</v>
      </c>
      <c r="V109" s="98">
        <v>0.2</v>
      </c>
      <c r="W109" s="98">
        <v>0.1</v>
      </c>
      <c r="X109" s="98">
        <v>0.3</v>
      </c>
      <c r="Y109" s="98">
        <v>0.55</v>
      </c>
      <c r="Z109" s="98">
        <v>0.55</v>
      </c>
      <c r="AA109" s="98">
        <v>0.5</v>
      </c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</row>
    <row r="110" ht="12.75" customHeight="1">
      <c r="A110" s="103"/>
      <c r="B110" s="76"/>
      <c r="C110" s="76" t="s">
        <v>148</v>
      </c>
      <c r="D110" s="76">
        <f t="shared" ref="D110:AA110" si="47">ROUND(SUM($D98:$AA98)*D$109,0)</f>
        <v>0</v>
      </c>
      <c r="E110" s="76">
        <f t="shared" si="47"/>
        <v>0</v>
      </c>
      <c r="F110" s="76">
        <f t="shared" si="47"/>
        <v>0</v>
      </c>
      <c r="G110" s="76">
        <f t="shared" si="47"/>
        <v>28</v>
      </c>
      <c r="H110" s="76">
        <f t="shared" si="47"/>
        <v>28</v>
      </c>
      <c r="I110" s="76">
        <f t="shared" si="47"/>
        <v>35</v>
      </c>
      <c r="J110" s="76">
        <f t="shared" si="47"/>
        <v>35</v>
      </c>
      <c r="K110" s="76">
        <f t="shared" si="47"/>
        <v>14</v>
      </c>
      <c r="L110" s="76">
        <f t="shared" si="47"/>
        <v>42</v>
      </c>
      <c r="M110" s="76">
        <f t="shared" si="47"/>
        <v>42</v>
      </c>
      <c r="N110" s="76">
        <f t="shared" si="47"/>
        <v>49</v>
      </c>
      <c r="O110" s="76">
        <f t="shared" si="47"/>
        <v>56</v>
      </c>
      <c r="P110" s="76">
        <f t="shared" si="47"/>
        <v>56</v>
      </c>
      <c r="Q110" s="76">
        <f t="shared" si="47"/>
        <v>63</v>
      </c>
      <c r="R110" s="76">
        <f t="shared" si="47"/>
        <v>63</v>
      </c>
      <c r="S110" s="76">
        <f t="shared" si="47"/>
        <v>63</v>
      </c>
      <c r="T110" s="76">
        <f t="shared" si="47"/>
        <v>42</v>
      </c>
      <c r="U110" s="76">
        <f t="shared" si="47"/>
        <v>35</v>
      </c>
      <c r="V110" s="76">
        <f t="shared" si="47"/>
        <v>28</v>
      </c>
      <c r="W110" s="76">
        <f t="shared" si="47"/>
        <v>14</v>
      </c>
      <c r="X110" s="76">
        <f t="shared" si="47"/>
        <v>42</v>
      </c>
      <c r="Y110" s="76">
        <f t="shared" si="47"/>
        <v>77</v>
      </c>
      <c r="Z110" s="76">
        <f t="shared" si="47"/>
        <v>77</v>
      </c>
      <c r="AA110" s="76">
        <f t="shared" si="47"/>
        <v>70</v>
      </c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</row>
    <row r="111" ht="12.75" customHeight="1">
      <c r="A111" s="103"/>
      <c r="B111" s="76"/>
      <c r="C111" s="76" t="s">
        <v>76</v>
      </c>
      <c r="D111" s="76">
        <f t="shared" ref="D111:AA111" si="48">ROUND(SUM($D99:$AA99)*D$109,0)</f>
        <v>0</v>
      </c>
      <c r="E111" s="76">
        <f t="shared" si="48"/>
        <v>0</v>
      </c>
      <c r="F111" s="76">
        <f t="shared" si="48"/>
        <v>0</v>
      </c>
      <c r="G111" s="76">
        <f t="shared" si="48"/>
        <v>26</v>
      </c>
      <c r="H111" s="76">
        <f t="shared" si="48"/>
        <v>26</v>
      </c>
      <c r="I111" s="76">
        <f t="shared" si="48"/>
        <v>32</v>
      </c>
      <c r="J111" s="76">
        <f t="shared" si="48"/>
        <v>32</v>
      </c>
      <c r="K111" s="76">
        <f t="shared" si="48"/>
        <v>13</v>
      </c>
      <c r="L111" s="76">
        <f t="shared" si="48"/>
        <v>38</v>
      </c>
      <c r="M111" s="76">
        <f t="shared" si="48"/>
        <v>38</v>
      </c>
      <c r="N111" s="76">
        <f t="shared" si="48"/>
        <v>45</v>
      </c>
      <c r="O111" s="76">
        <f t="shared" si="48"/>
        <v>51</v>
      </c>
      <c r="P111" s="76">
        <f t="shared" si="48"/>
        <v>51</v>
      </c>
      <c r="Q111" s="76">
        <f t="shared" si="48"/>
        <v>58</v>
      </c>
      <c r="R111" s="76">
        <f t="shared" si="48"/>
        <v>58</v>
      </c>
      <c r="S111" s="76">
        <f t="shared" si="48"/>
        <v>58</v>
      </c>
      <c r="T111" s="76">
        <f t="shared" si="48"/>
        <v>38</v>
      </c>
      <c r="U111" s="76">
        <f t="shared" si="48"/>
        <v>32</v>
      </c>
      <c r="V111" s="76">
        <f t="shared" si="48"/>
        <v>26</v>
      </c>
      <c r="W111" s="76">
        <f t="shared" si="48"/>
        <v>13</v>
      </c>
      <c r="X111" s="76">
        <f t="shared" si="48"/>
        <v>38</v>
      </c>
      <c r="Y111" s="76">
        <f t="shared" si="48"/>
        <v>70</v>
      </c>
      <c r="Z111" s="76">
        <f t="shared" si="48"/>
        <v>70</v>
      </c>
      <c r="AA111" s="76">
        <f t="shared" si="48"/>
        <v>64</v>
      </c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</row>
    <row r="112" ht="12.75" customHeight="1">
      <c r="A112" s="103"/>
      <c r="B112" s="76"/>
      <c r="C112" s="76" t="s">
        <v>80</v>
      </c>
      <c r="D112" s="76">
        <f t="shared" ref="D112:AA112" si="49">ROUND(SUM($D100:$AA100)*D$109,0)</f>
        <v>0</v>
      </c>
      <c r="E112" s="76">
        <f t="shared" si="49"/>
        <v>0</v>
      </c>
      <c r="F112" s="76">
        <f t="shared" si="49"/>
        <v>0</v>
      </c>
      <c r="G112" s="76">
        <f t="shared" si="49"/>
        <v>18</v>
      </c>
      <c r="H112" s="76">
        <f t="shared" si="49"/>
        <v>18</v>
      </c>
      <c r="I112" s="76">
        <f t="shared" si="49"/>
        <v>23</v>
      </c>
      <c r="J112" s="76">
        <f t="shared" si="49"/>
        <v>23</v>
      </c>
      <c r="K112" s="76">
        <f t="shared" si="49"/>
        <v>9</v>
      </c>
      <c r="L112" s="76">
        <f t="shared" si="49"/>
        <v>28</v>
      </c>
      <c r="M112" s="76">
        <f t="shared" si="49"/>
        <v>28</v>
      </c>
      <c r="N112" s="76">
        <f t="shared" si="49"/>
        <v>32</v>
      </c>
      <c r="O112" s="76">
        <f t="shared" si="49"/>
        <v>37</v>
      </c>
      <c r="P112" s="76">
        <f t="shared" si="49"/>
        <v>37</v>
      </c>
      <c r="Q112" s="76">
        <f t="shared" si="49"/>
        <v>41</v>
      </c>
      <c r="R112" s="76">
        <f t="shared" si="49"/>
        <v>41</v>
      </c>
      <c r="S112" s="76">
        <f t="shared" si="49"/>
        <v>41</v>
      </c>
      <c r="T112" s="76">
        <f t="shared" si="49"/>
        <v>28</v>
      </c>
      <c r="U112" s="76">
        <f t="shared" si="49"/>
        <v>23</v>
      </c>
      <c r="V112" s="76">
        <f t="shared" si="49"/>
        <v>18</v>
      </c>
      <c r="W112" s="76">
        <f t="shared" si="49"/>
        <v>9</v>
      </c>
      <c r="X112" s="76">
        <f t="shared" si="49"/>
        <v>28</v>
      </c>
      <c r="Y112" s="76">
        <f t="shared" si="49"/>
        <v>51</v>
      </c>
      <c r="Z112" s="76">
        <f t="shared" si="49"/>
        <v>51</v>
      </c>
      <c r="AA112" s="76">
        <f t="shared" si="49"/>
        <v>46</v>
      </c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</row>
    <row r="113" ht="12.75" customHeight="1">
      <c r="A113" s="103"/>
      <c r="B113" s="76"/>
      <c r="C113" s="76" t="s">
        <v>83</v>
      </c>
      <c r="D113" s="76">
        <f t="shared" ref="D113:AA113" si="50">ROUND(SUM($D101:$AA101)*D$109,0)</f>
        <v>0</v>
      </c>
      <c r="E113" s="76">
        <f t="shared" si="50"/>
        <v>0</v>
      </c>
      <c r="F113" s="76">
        <f t="shared" si="50"/>
        <v>0</v>
      </c>
      <c r="G113" s="76">
        <f t="shared" si="50"/>
        <v>28</v>
      </c>
      <c r="H113" s="76">
        <f t="shared" si="50"/>
        <v>28</v>
      </c>
      <c r="I113" s="76">
        <f t="shared" si="50"/>
        <v>35</v>
      </c>
      <c r="J113" s="76">
        <f t="shared" si="50"/>
        <v>35</v>
      </c>
      <c r="K113" s="76">
        <f t="shared" si="50"/>
        <v>14</v>
      </c>
      <c r="L113" s="76">
        <f t="shared" si="50"/>
        <v>42</v>
      </c>
      <c r="M113" s="76">
        <f t="shared" si="50"/>
        <v>42</v>
      </c>
      <c r="N113" s="76">
        <f t="shared" si="50"/>
        <v>49</v>
      </c>
      <c r="O113" s="76">
        <f t="shared" si="50"/>
        <v>56</v>
      </c>
      <c r="P113" s="76">
        <f t="shared" si="50"/>
        <v>56</v>
      </c>
      <c r="Q113" s="76">
        <f t="shared" si="50"/>
        <v>63</v>
      </c>
      <c r="R113" s="76">
        <f t="shared" si="50"/>
        <v>63</v>
      </c>
      <c r="S113" s="76">
        <f t="shared" si="50"/>
        <v>63</v>
      </c>
      <c r="T113" s="76">
        <f t="shared" si="50"/>
        <v>42</v>
      </c>
      <c r="U113" s="76">
        <f t="shared" si="50"/>
        <v>35</v>
      </c>
      <c r="V113" s="76">
        <f t="shared" si="50"/>
        <v>28</v>
      </c>
      <c r="W113" s="76">
        <f t="shared" si="50"/>
        <v>14</v>
      </c>
      <c r="X113" s="76">
        <f t="shared" si="50"/>
        <v>42</v>
      </c>
      <c r="Y113" s="76">
        <f t="shared" si="50"/>
        <v>77</v>
      </c>
      <c r="Z113" s="76">
        <f t="shared" si="50"/>
        <v>77</v>
      </c>
      <c r="AA113" s="76">
        <f t="shared" si="50"/>
        <v>70</v>
      </c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</row>
    <row r="114" ht="12.75" customHeight="1">
      <c r="A114" s="103"/>
      <c r="B114" s="76"/>
      <c r="C114" s="76" t="s">
        <v>87</v>
      </c>
      <c r="D114" s="76">
        <f t="shared" ref="D114:AA114" si="51">ROUND(SUM($D102:$AA102)*D$109,0)</f>
        <v>0</v>
      </c>
      <c r="E114" s="76">
        <f t="shared" si="51"/>
        <v>0</v>
      </c>
      <c r="F114" s="76">
        <f t="shared" si="51"/>
        <v>0</v>
      </c>
      <c r="G114" s="76">
        <f t="shared" si="51"/>
        <v>22</v>
      </c>
      <c r="H114" s="76">
        <f t="shared" si="51"/>
        <v>22</v>
      </c>
      <c r="I114" s="76">
        <f t="shared" si="51"/>
        <v>27</v>
      </c>
      <c r="J114" s="76">
        <f t="shared" si="51"/>
        <v>27</v>
      </c>
      <c r="K114" s="76">
        <f t="shared" si="51"/>
        <v>11</v>
      </c>
      <c r="L114" s="76">
        <f t="shared" si="51"/>
        <v>32</v>
      </c>
      <c r="M114" s="76">
        <f t="shared" si="51"/>
        <v>32</v>
      </c>
      <c r="N114" s="76">
        <f t="shared" si="51"/>
        <v>38</v>
      </c>
      <c r="O114" s="76">
        <f t="shared" si="51"/>
        <v>43</v>
      </c>
      <c r="P114" s="76">
        <f t="shared" si="51"/>
        <v>43</v>
      </c>
      <c r="Q114" s="76">
        <f t="shared" si="51"/>
        <v>49</v>
      </c>
      <c r="R114" s="76">
        <f t="shared" si="51"/>
        <v>49</v>
      </c>
      <c r="S114" s="76">
        <f t="shared" si="51"/>
        <v>49</v>
      </c>
      <c r="T114" s="76">
        <f t="shared" si="51"/>
        <v>32</v>
      </c>
      <c r="U114" s="76">
        <f t="shared" si="51"/>
        <v>27</v>
      </c>
      <c r="V114" s="76">
        <f t="shared" si="51"/>
        <v>22</v>
      </c>
      <c r="W114" s="76">
        <f t="shared" si="51"/>
        <v>11</v>
      </c>
      <c r="X114" s="76">
        <f t="shared" si="51"/>
        <v>32</v>
      </c>
      <c r="Y114" s="76">
        <f t="shared" si="51"/>
        <v>59</v>
      </c>
      <c r="Z114" s="76">
        <f t="shared" si="51"/>
        <v>59</v>
      </c>
      <c r="AA114" s="76">
        <f t="shared" si="51"/>
        <v>54</v>
      </c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</row>
    <row r="115" ht="12.75" customHeight="1">
      <c r="A115" s="103"/>
      <c r="B115" s="76"/>
      <c r="C115" s="76" t="s">
        <v>464</v>
      </c>
      <c r="D115" s="76">
        <f t="shared" ref="D115:AA115" si="52">ROUND(SUM($D103:$AA103)*D$109,0)</f>
        <v>0</v>
      </c>
      <c r="E115" s="76">
        <f t="shared" si="52"/>
        <v>0</v>
      </c>
      <c r="F115" s="76">
        <f t="shared" si="52"/>
        <v>0</v>
      </c>
      <c r="G115" s="76">
        <f t="shared" si="52"/>
        <v>7</v>
      </c>
      <c r="H115" s="76">
        <f t="shared" si="52"/>
        <v>7</v>
      </c>
      <c r="I115" s="76">
        <f t="shared" si="52"/>
        <v>9</v>
      </c>
      <c r="J115" s="76">
        <f t="shared" si="52"/>
        <v>9</v>
      </c>
      <c r="K115" s="76">
        <f t="shared" si="52"/>
        <v>4</v>
      </c>
      <c r="L115" s="76">
        <f t="shared" si="52"/>
        <v>11</v>
      </c>
      <c r="M115" s="76">
        <f t="shared" si="52"/>
        <v>11</v>
      </c>
      <c r="N115" s="76">
        <f t="shared" si="52"/>
        <v>13</v>
      </c>
      <c r="O115" s="76">
        <f t="shared" si="52"/>
        <v>14</v>
      </c>
      <c r="P115" s="76">
        <f t="shared" si="52"/>
        <v>14</v>
      </c>
      <c r="Q115" s="76">
        <f t="shared" si="52"/>
        <v>16</v>
      </c>
      <c r="R115" s="76">
        <f t="shared" si="52"/>
        <v>16</v>
      </c>
      <c r="S115" s="76">
        <f t="shared" si="52"/>
        <v>16</v>
      </c>
      <c r="T115" s="76">
        <f t="shared" si="52"/>
        <v>11</v>
      </c>
      <c r="U115" s="76">
        <f t="shared" si="52"/>
        <v>9</v>
      </c>
      <c r="V115" s="76">
        <f t="shared" si="52"/>
        <v>7</v>
      </c>
      <c r="W115" s="76">
        <f t="shared" si="52"/>
        <v>4</v>
      </c>
      <c r="X115" s="76">
        <f t="shared" si="52"/>
        <v>11</v>
      </c>
      <c r="Y115" s="76">
        <f t="shared" si="52"/>
        <v>20</v>
      </c>
      <c r="Z115" s="76">
        <f t="shared" si="52"/>
        <v>20</v>
      </c>
      <c r="AA115" s="76">
        <f t="shared" si="52"/>
        <v>18</v>
      </c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</row>
    <row r="116" ht="12.75" customHeight="1">
      <c r="A116" s="103"/>
      <c r="B116" s="76"/>
      <c r="D116" s="93">
        <f t="shared" ref="D116:AA116" si="53">SUM(D110:D115)</f>
        <v>0</v>
      </c>
      <c r="E116" s="93">
        <f t="shared" si="53"/>
        <v>0</v>
      </c>
      <c r="F116" s="93">
        <f t="shared" si="53"/>
        <v>0</v>
      </c>
      <c r="G116" s="93">
        <f t="shared" si="53"/>
        <v>129</v>
      </c>
      <c r="H116" s="93">
        <f t="shared" si="53"/>
        <v>129</v>
      </c>
      <c r="I116" s="93">
        <f t="shared" si="53"/>
        <v>161</v>
      </c>
      <c r="J116" s="93">
        <f t="shared" si="53"/>
        <v>161</v>
      </c>
      <c r="K116" s="93">
        <f t="shared" si="53"/>
        <v>65</v>
      </c>
      <c r="L116" s="93">
        <f t="shared" si="53"/>
        <v>193</v>
      </c>
      <c r="M116" s="93">
        <f t="shared" si="53"/>
        <v>193</v>
      </c>
      <c r="N116" s="93">
        <f t="shared" si="53"/>
        <v>226</v>
      </c>
      <c r="O116" s="93">
        <f t="shared" si="53"/>
        <v>257</v>
      </c>
      <c r="P116" s="93">
        <f t="shared" si="53"/>
        <v>257</v>
      </c>
      <c r="Q116" s="93">
        <f t="shared" si="53"/>
        <v>290</v>
      </c>
      <c r="R116" s="93">
        <f t="shared" si="53"/>
        <v>290</v>
      </c>
      <c r="S116" s="93">
        <f t="shared" si="53"/>
        <v>290</v>
      </c>
      <c r="T116" s="93">
        <f t="shared" si="53"/>
        <v>193</v>
      </c>
      <c r="U116" s="93">
        <f t="shared" si="53"/>
        <v>161</v>
      </c>
      <c r="V116" s="93">
        <f t="shared" si="53"/>
        <v>129</v>
      </c>
      <c r="W116" s="93">
        <f t="shared" si="53"/>
        <v>65</v>
      </c>
      <c r="X116" s="93">
        <f t="shared" si="53"/>
        <v>193</v>
      </c>
      <c r="Y116" s="93">
        <f t="shared" si="53"/>
        <v>354</v>
      </c>
      <c r="Z116" s="93">
        <f t="shared" si="53"/>
        <v>354</v>
      </c>
      <c r="AA116" s="93">
        <f t="shared" si="53"/>
        <v>322</v>
      </c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</row>
    <row r="117" ht="12.75" customHeight="1">
      <c r="A117" s="103"/>
      <c r="B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</row>
    <row r="118" ht="12.75" customHeight="1">
      <c r="A118" s="103"/>
      <c r="B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</row>
    <row r="119" ht="12.75" customHeight="1">
      <c r="A119" s="103"/>
      <c r="B119" s="76"/>
      <c r="C119" s="80" t="s">
        <v>163</v>
      </c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</row>
    <row r="120" ht="12.75" customHeight="1">
      <c r="A120" s="103"/>
      <c r="B120" s="76"/>
      <c r="C120" s="76"/>
      <c r="D120" s="76">
        <v>2024.0</v>
      </c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>
        <v>2025.0</v>
      </c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</row>
    <row r="121" ht="12.75" customHeight="1">
      <c r="A121" s="103"/>
      <c r="B121" s="76"/>
      <c r="C121" s="82" t="s">
        <v>159</v>
      </c>
      <c r="D121" s="76">
        <v>1.0</v>
      </c>
      <c r="E121" s="76">
        <v>2.0</v>
      </c>
      <c r="F121" s="76">
        <v>3.0</v>
      </c>
      <c r="G121" s="76">
        <v>4.0</v>
      </c>
      <c r="H121" s="76">
        <v>5.0</v>
      </c>
      <c r="I121" s="76">
        <v>6.0</v>
      </c>
      <c r="J121" s="76">
        <v>7.0</v>
      </c>
      <c r="K121" s="76">
        <v>8.0</v>
      </c>
      <c r="L121" s="76">
        <v>9.0</v>
      </c>
      <c r="M121" s="76">
        <v>10.0</v>
      </c>
      <c r="N121" s="76">
        <v>11.0</v>
      </c>
      <c r="O121" s="76">
        <v>12.0</v>
      </c>
      <c r="P121" s="76">
        <v>1.0</v>
      </c>
      <c r="Q121" s="76">
        <v>2.0</v>
      </c>
      <c r="R121" s="76">
        <v>3.0</v>
      </c>
      <c r="S121" s="76">
        <v>4.0</v>
      </c>
      <c r="T121" s="76">
        <v>5.0</v>
      </c>
      <c r="U121" s="76">
        <v>6.0</v>
      </c>
      <c r="V121" s="76">
        <v>7.0</v>
      </c>
      <c r="W121" s="76">
        <v>8.0</v>
      </c>
      <c r="X121" s="76">
        <v>9.0</v>
      </c>
      <c r="Y121" s="76">
        <v>10.0</v>
      </c>
      <c r="Z121" s="76">
        <v>11.0</v>
      </c>
      <c r="AA121" s="76">
        <v>12.0</v>
      </c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</row>
    <row r="122" ht="12.75" customHeight="1">
      <c r="A122" s="103"/>
      <c r="B122" s="76"/>
      <c r="C122" s="82" t="s">
        <v>164</v>
      </c>
      <c r="D122" s="107">
        <f t="shared" ref="D122:AA122" si="54">D123/24</f>
        <v>0</v>
      </c>
      <c r="E122" s="107">
        <f t="shared" si="54"/>
        <v>0</v>
      </c>
      <c r="F122" s="107">
        <f t="shared" si="54"/>
        <v>0</v>
      </c>
      <c r="G122" s="107">
        <f t="shared" si="54"/>
        <v>63.29166667</v>
      </c>
      <c r="H122" s="107">
        <f t="shared" si="54"/>
        <v>63.29166667</v>
      </c>
      <c r="I122" s="107">
        <f t="shared" si="54"/>
        <v>78.7594697</v>
      </c>
      <c r="J122" s="107">
        <f t="shared" si="54"/>
        <v>78.7594697</v>
      </c>
      <c r="K122" s="107">
        <f t="shared" si="54"/>
        <v>31.64583333</v>
      </c>
      <c r="L122" s="107">
        <f t="shared" si="54"/>
        <v>94.22727273</v>
      </c>
      <c r="M122" s="107">
        <f t="shared" si="54"/>
        <v>94.22727273</v>
      </c>
      <c r="N122" s="107">
        <f t="shared" si="54"/>
        <v>110.405303</v>
      </c>
      <c r="O122" s="107">
        <f t="shared" si="54"/>
        <v>125.8731061</v>
      </c>
      <c r="P122" s="107">
        <f t="shared" si="54"/>
        <v>125.8731061</v>
      </c>
      <c r="Q122" s="107">
        <f t="shared" si="54"/>
        <v>142.0511364</v>
      </c>
      <c r="R122" s="107">
        <f t="shared" si="54"/>
        <v>142.0511364</v>
      </c>
      <c r="S122" s="107">
        <f t="shared" si="54"/>
        <v>142.0511364</v>
      </c>
      <c r="T122" s="107">
        <f t="shared" si="54"/>
        <v>94.22727273</v>
      </c>
      <c r="U122" s="107">
        <f t="shared" si="54"/>
        <v>78.7594697</v>
      </c>
      <c r="V122" s="107">
        <f t="shared" si="54"/>
        <v>63.29166667</v>
      </c>
      <c r="W122" s="107">
        <f t="shared" si="54"/>
        <v>31.64583333</v>
      </c>
      <c r="X122" s="107">
        <f t="shared" si="54"/>
        <v>94.22727273</v>
      </c>
      <c r="Y122" s="107">
        <f t="shared" si="54"/>
        <v>172.9867424</v>
      </c>
      <c r="Z122" s="107">
        <f t="shared" si="54"/>
        <v>172.9867424</v>
      </c>
      <c r="AA122" s="107">
        <f t="shared" si="54"/>
        <v>157.5189394</v>
      </c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</row>
    <row r="123" ht="12.75" customHeight="1">
      <c r="A123" s="103"/>
      <c r="B123" s="76"/>
      <c r="C123" s="82" t="s">
        <v>165</v>
      </c>
      <c r="D123" s="108">
        <f t="shared" ref="D123:AA123" si="55">SUM(D124:D129)</f>
        <v>0</v>
      </c>
      <c r="E123" s="108">
        <f t="shared" si="55"/>
        <v>0</v>
      </c>
      <c r="F123" s="108">
        <f t="shared" si="55"/>
        <v>0</v>
      </c>
      <c r="G123" s="108">
        <f t="shared" si="55"/>
        <v>1519</v>
      </c>
      <c r="H123" s="108">
        <f t="shared" si="55"/>
        <v>1519</v>
      </c>
      <c r="I123" s="108">
        <f t="shared" si="55"/>
        <v>1890.227273</v>
      </c>
      <c r="J123" s="108">
        <f t="shared" si="55"/>
        <v>1890.227273</v>
      </c>
      <c r="K123" s="108">
        <f t="shared" si="55"/>
        <v>759.5</v>
      </c>
      <c r="L123" s="108">
        <f t="shared" si="55"/>
        <v>2261.454545</v>
      </c>
      <c r="M123" s="108">
        <f t="shared" si="55"/>
        <v>2261.454545</v>
      </c>
      <c r="N123" s="108">
        <f t="shared" si="55"/>
        <v>2649.727273</v>
      </c>
      <c r="O123" s="108">
        <f t="shared" si="55"/>
        <v>3020.954545</v>
      </c>
      <c r="P123" s="109">
        <f t="shared" si="55"/>
        <v>3020.954545</v>
      </c>
      <c r="Q123" s="109">
        <f t="shared" si="55"/>
        <v>3409.227273</v>
      </c>
      <c r="R123" s="109">
        <f t="shared" si="55"/>
        <v>3409.227273</v>
      </c>
      <c r="S123" s="109">
        <f t="shared" si="55"/>
        <v>3409.227273</v>
      </c>
      <c r="T123" s="109">
        <f t="shared" si="55"/>
        <v>2261.454545</v>
      </c>
      <c r="U123" s="109">
        <f t="shared" si="55"/>
        <v>1890.227273</v>
      </c>
      <c r="V123" s="109">
        <f t="shared" si="55"/>
        <v>1519</v>
      </c>
      <c r="W123" s="109">
        <f t="shared" si="55"/>
        <v>759.5</v>
      </c>
      <c r="X123" s="109">
        <f t="shared" si="55"/>
        <v>2261.454545</v>
      </c>
      <c r="Y123" s="109">
        <f t="shared" si="55"/>
        <v>4151.681818</v>
      </c>
      <c r="Z123" s="109">
        <f t="shared" si="55"/>
        <v>4151.681818</v>
      </c>
      <c r="AA123" s="109">
        <f t="shared" si="55"/>
        <v>3780.454545</v>
      </c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</row>
    <row r="124" ht="12.75" customHeight="1">
      <c r="A124" s="103"/>
      <c r="B124" s="595">
        <f>UNIT_PRICE_CLIENT_A</f>
        <v>5</v>
      </c>
      <c r="C124" s="76" t="s">
        <v>148</v>
      </c>
      <c r="D124" s="76">
        <f t="shared" ref="D124:AA124" si="56">D110*$B124</f>
        <v>0</v>
      </c>
      <c r="E124" s="76">
        <f t="shared" si="56"/>
        <v>0</v>
      </c>
      <c r="F124" s="76">
        <f t="shared" si="56"/>
        <v>0</v>
      </c>
      <c r="G124" s="76">
        <f t="shared" si="56"/>
        <v>140</v>
      </c>
      <c r="H124" s="76">
        <f t="shared" si="56"/>
        <v>140</v>
      </c>
      <c r="I124" s="76">
        <f t="shared" si="56"/>
        <v>175</v>
      </c>
      <c r="J124" s="76">
        <f t="shared" si="56"/>
        <v>175</v>
      </c>
      <c r="K124" s="76">
        <f t="shared" si="56"/>
        <v>70</v>
      </c>
      <c r="L124" s="76">
        <f t="shared" si="56"/>
        <v>210</v>
      </c>
      <c r="M124" s="76">
        <f t="shared" si="56"/>
        <v>210</v>
      </c>
      <c r="N124" s="76">
        <f t="shared" si="56"/>
        <v>245</v>
      </c>
      <c r="O124" s="76">
        <f t="shared" si="56"/>
        <v>280</v>
      </c>
      <c r="P124" s="76">
        <f t="shared" si="56"/>
        <v>280</v>
      </c>
      <c r="Q124" s="76">
        <f t="shared" si="56"/>
        <v>315</v>
      </c>
      <c r="R124" s="76">
        <f t="shared" si="56"/>
        <v>315</v>
      </c>
      <c r="S124" s="76">
        <f t="shared" si="56"/>
        <v>315</v>
      </c>
      <c r="T124" s="76">
        <f t="shared" si="56"/>
        <v>210</v>
      </c>
      <c r="U124" s="76">
        <f t="shared" si="56"/>
        <v>175</v>
      </c>
      <c r="V124" s="76">
        <f t="shared" si="56"/>
        <v>140</v>
      </c>
      <c r="W124" s="76">
        <f t="shared" si="56"/>
        <v>70</v>
      </c>
      <c r="X124" s="76">
        <f t="shared" si="56"/>
        <v>210</v>
      </c>
      <c r="Y124" s="76">
        <f t="shared" si="56"/>
        <v>385</v>
      </c>
      <c r="Z124" s="76">
        <f t="shared" si="56"/>
        <v>385</v>
      </c>
      <c r="AA124" s="76">
        <f t="shared" si="56"/>
        <v>350</v>
      </c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</row>
    <row r="125" ht="12.75" customHeight="1">
      <c r="A125" s="103"/>
      <c r="B125" s="595">
        <f>UNIT_PRICE_CLIENT_B</f>
        <v>9.181818182</v>
      </c>
      <c r="C125" s="76" t="s">
        <v>76</v>
      </c>
      <c r="D125" s="76">
        <f t="shared" ref="D125:AA125" si="57">D111*$B125</f>
        <v>0</v>
      </c>
      <c r="E125" s="76">
        <f t="shared" si="57"/>
        <v>0</v>
      </c>
      <c r="F125" s="76">
        <f t="shared" si="57"/>
        <v>0</v>
      </c>
      <c r="G125" s="76">
        <f t="shared" si="57"/>
        <v>238.7272727</v>
      </c>
      <c r="H125" s="76">
        <f t="shared" si="57"/>
        <v>238.7272727</v>
      </c>
      <c r="I125" s="76">
        <f t="shared" si="57"/>
        <v>293.8181818</v>
      </c>
      <c r="J125" s="76">
        <f t="shared" si="57"/>
        <v>293.8181818</v>
      </c>
      <c r="K125" s="76">
        <f t="shared" si="57"/>
        <v>119.3636364</v>
      </c>
      <c r="L125" s="76">
        <f t="shared" si="57"/>
        <v>348.9090909</v>
      </c>
      <c r="M125" s="76">
        <f t="shared" si="57"/>
        <v>348.9090909</v>
      </c>
      <c r="N125" s="76">
        <f t="shared" si="57"/>
        <v>413.1818182</v>
      </c>
      <c r="O125" s="76">
        <f t="shared" si="57"/>
        <v>468.2727273</v>
      </c>
      <c r="P125" s="76">
        <f t="shared" si="57"/>
        <v>468.2727273</v>
      </c>
      <c r="Q125" s="76">
        <f t="shared" si="57"/>
        <v>532.5454545</v>
      </c>
      <c r="R125" s="76">
        <f t="shared" si="57"/>
        <v>532.5454545</v>
      </c>
      <c r="S125" s="76">
        <f t="shared" si="57"/>
        <v>532.5454545</v>
      </c>
      <c r="T125" s="76">
        <f t="shared" si="57"/>
        <v>348.9090909</v>
      </c>
      <c r="U125" s="76">
        <f t="shared" si="57"/>
        <v>293.8181818</v>
      </c>
      <c r="V125" s="76">
        <f t="shared" si="57"/>
        <v>238.7272727</v>
      </c>
      <c r="W125" s="76">
        <f t="shared" si="57"/>
        <v>119.3636364</v>
      </c>
      <c r="X125" s="76">
        <f t="shared" si="57"/>
        <v>348.9090909</v>
      </c>
      <c r="Y125" s="76">
        <f t="shared" si="57"/>
        <v>642.7272727</v>
      </c>
      <c r="Z125" s="76">
        <f t="shared" si="57"/>
        <v>642.7272727</v>
      </c>
      <c r="AA125" s="76">
        <f t="shared" si="57"/>
        <v>587.6363636</v>
      </c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</row>
    <row r="126" ht="12.75" customHeight="1">
      <c r="A126" s="103"/>
      <c r="B126" s="595">
        <f>UNIT_PRICE_CLIENT_C</f>
        <v>12.72727273</v>
      </c>
      <c r="C126" s="76" t="s">
        <v>80</v>
      </c>
      <c r="D126" s="76">
        <f t="shared" ref="D126:AA126" si="58">D112*$B126</f>
        <v>0</v>
      </c>
      <c r="E126" s="76">
        <f t="shared" si="58"/>
        <v>0</v>
      </c>
      <c r="F126" s="76">
        <f t="shared" si="58"/>
        <v>0</v>
      </c>
      <c r="G126" s="76">
        <f t="shared" si="58"/>
        <v>229.0909091</v>
      </c>
      <c r="H126" s="76">
        <f t="shared" si="58"/>
        <v>229.0909091</v>
      </c>
      <c r="I126" s="76">
        <f t="shared" si="58"/>
        <v>292.7272727</v>
      </c>
      <c r="J126" s="76">
        <f t="shared" si="58"/>
        <v>292.7272727</v>
      </c>
      <c r="K126" s="76">
        <f t="shared" si="58"/>
        <v>114.5454545</v>
      </c>
      <c r="L126" s="76">
        <f t="shared" si="58"/>
        <v>356.3636364</v>
      </c>
      <c r="M126" s="76">
        <f t="shared" si="58"/>
        <v>356.3636364</v>
      </c>
      <c r="N126" s="76">
        <f t="shared" si="58"/>
        <v>407.2727273</v>
      </c>
      <c r="O126" s="76">
        <f t="shared" si="58"/>
        <v>470.9090909</v>
      </c>
      <c r="P126" s="76">
        <f t="shared" si="58"/>
        <v>470.9090909</v>
      </c>
      <c r="Q126" s="76">
        <f t="shared" si="58"/>
        <v>521.8181818</v>
      </c>
      <c r="R126" s="76">
        <f t="shared" si="58"/>
        <v>521.8181818</v>
      </c>
      <c r="S126" s="76">
        <f t="shared" si="58"/>
        <v>521.8181818</v>
      </c>
      <c r="T126" s="76">
        <f t="shared" si="58"/>
        <v>356.3636364</v>
      </c>
      <c r="U126" s="76">
        <f t="shared" si="58"/>
        <v>292.7272727</v>
      </c>
      <c r="V126" s="76">
        <f t="shared" si="58"/>
        <v>229.0909091</v>
      </c>
      <c r="W126" s="76">
        <f t="shared" si="58"/>
        <v>114.5454545</v>
      </c>
      <c r="X126" s="76">
        <f t="shared" si="58"/>
        <v>356.3636364</v>
      </c>
      <c r="Y126" s="76">
        <f t="shared" si="58"/>
        <v>649.0909091</v>
      </c>
      <c r="Z126" s="76">
        <f t="shared" si="58"/>
        <v>649.0909091</v>
      </c>
      <c r="AA126" s="76">
        <f t="shared" si="58"/>
        <v>585.4545455</v>
      </c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</row>
    <row r="127" ht="12.75" customHeight="1">
      <c r="A127" s="103"/>
      <c r="B127" s="595">
        <f>UNIT_PRICE_CLIENT_D</f>
        <v>16.36363636</v>
      </c>
      <c r="C127" s="76" t="s">
        <v>83</v>
      </c>
      <c r="D127" s="76">
        <f t="shared" ref="D127:AA127" si="59">D113*$B127</f>
        <v>0</v>
      </c>
      <c r="E127" s="76">
        <f t="shared" si="59"/>
        <v>0</v>
      </c>
      <c r="F127" s="76">
        <f t="shared" si="59"/>
        <v>0</v>
      </c>
      <c r="G127" s="76">
        <f t="shared" si="59"/>
        <v>458.1818182</v>
      </c>
      <c r="H127" s="76">
        <f t="shared" si="59"/>
        <v>458.1818182</v>
      </c>
      <c r="I127" s="76">
        <f t="shared" si="59"/>
        <v>572.7272727</v>
      </c>
      <c r="J127" s="76">
        <f t="shared" si="59"/>
        <v>572.7272727</v>
      </c>
      <c r="K127" s="76">
        <f t="shared" si="59"/>
        <v>229.0909091</v>
      </c>
      <c r="L127" s="76">
        <f t="shared" si="59"/>
        <v>687.2727273</v>
      </c>
      <c r="M127" s="76">
        <f t="shared" si="59"/>
        <v>687.2727273</v>
      </c>
      <c r="N127" s="76">
        <f t="shared" si="59"/>
        <v>801.8181818</v>
      </c>
      <c r="O127" s="76">
        <f t="shared" si="59"/>
        <v>916.3636364</v>
      </c>
      <c r="P127" s="76">
        <f t="shared" si="59"/>
        <v>916.3636364</v>
      </c>
      <c r="Q127" s="76">
        <f t="shared" si="59"/>
        <v>1030.909091</v>
      </c>
      <c r="R127" s="76">
        <f t="shared" si="59"/>
        <v>1030.909091</v>
      </c>
      <c r="S127" s="76">
        <f t="shared" si="59"/>
        <v>1030.909091</v>
      </c>
      <c r="T127" s="76">
        <f t="shared" si="59"/>
        <v>687.2727273</v>
      </c>
      <c r="U127" s="76">
        <f t="shared" si="59"/>
        <v>572.7272727</v>
      </c>
      <c r="V127" s="76">
        <f t="shared" si="59"/>
        <v>458.1818182</v>
      </c>
      <c r="W127" s="76">
        <f t="shared" si="59"/>
        <v>229.0909091</v>
      </c>
      <c r="X127" s="76">
        <f t="shared" si="59"/>
        <v>687.2727273</v>
      </c>
      <c r="Y127" s="76">
        <f t="shared" si="59"/>
        <v>1260</v>
      </c>
      <c r="Z127" s="76">
        <f t="shared" si="59"/>
        <v>1260</v>
      </c>
      <c r="AA127" s="76">
        <f t="shared" si="59"/>
        <v>1145.454545</v>
      </c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</row>
    <row r="128" ht="12.75" customHeight="1">
      <c r="A128" s="103"/>
      <c r="B128" s="595">
        <f>UNIT_PRICE_CLIENT_E</f>
        <v>20.59090909</v>
      </c>
      <c r="C128" s="76" t="s">
        <v>87</v>
      </c>
      <c r="D128" s="76">
        <f t="shared" ref="D128:AA128" si="60">D114*$B128</f>
        <v>0</v>
      </c>
      <c r="E128" s="76">
        <f t="shared" si="60"/>
        <v>0</v>
      </c>
      <c r="F128" s="76">
        <f t="shared" si="60"/>
        <v>0</v>
      </c>
      <c r="G128" s="76">
        <f t="shared" si="60"/>
        <v>453</v>
      </c>
      <c r="H128" s="76">
        <f t="shared" si="60"/>
        <v>453</v>
      </c>
      <c r="I128" s="76">
        <f t="shared" si="60"/>
        <v>555.9545455</v>
      </c>
      <c r="J128" s="76">
        <f t="shared" si="60"/>
        <v>555.9545455</v>
      </c>
      <c r="K128" s="76">
        <f t="shared" si="60"/>
        <v>226.5</v>
      </c>
      <c r="L128" s="76">
        <f t="shared" si="60"/>
        <v>658.9090909</v>
      </c>
      <c r="M128" s="76">
        <f t="shared" si="60"/>
        <v>658.9090909</v>
      </c>
      <c r="N128" s="76">
        <f t="shared" si="60"/>
        <v>782.4545455</v>
      </c>
      <c r="O128" s="76">
        <f t="shared" si="60"/>
        <v>885.4090909</v>
      </c>
      <c r="P128" s="76">
        <f t="shared" si="60"/>
        <v>885.4090909</v>
      </c>
      <c r="Q128" s="76">
        <f t="shared" si="60"/>
        <v>1008.954545</v>
      </c>
      <c r="R128" s="76">
        <f t="shared" si="60"/>
        <v>1008.954545</v>
      </c>
      <c r="S128" s="76">
        <f t="shared" si="60"/>
        <v>1008.954545</v>
      </c>
      <c r="T128" s="76">
        <f t="shared" si="60"/>
        <v>658.9090909</v>
      </c>
      <c r="U128" s="76">
        <f t="shared" si="60"/>
        <v>555.9545455</v>
      </c>
      <c r="V128" s="76">
        <f t="shared" si="60"/>
        <v>453</v>
      </c>
      <c r="W128" s="76">
        <f t="shared" si="60"/>
        <v>226.5</v>
      </c>
      <c r="X128" s="76">
        <f t="shared" si="60"/>
        <v>658.9090909</v>
      </c>
      <c r="Y128" s="76">
        <f t="shared" si="60"/>
        <v>1214.863636</v>
      </c>
      <c r="Z128" s="76">
        <f t="shared" si="60"/>
        <v>1214.863636</v>
      </c>
      <c r="AA128" s="76">
        <f t="shared" si="60"/>
        <v>1111.909091</v>
      </c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</row>
    <row r="129" ht="12.75" customHeight="1">
      <c r="A129" s="103"/>
      <c r="B129" s="595">
        <f>UNIT_PRICE_CLIENT_F</f>
        <v>0</v>
      </c>
      <c r="C129" s="76" t="s">
        <v>464</v>
      </c>
      <c r="D129" s="76">
        <f t="shared" ref="D129:AA129" si="61">D115*$B129</f>
        <v>0</v>
      </c>
      <c r="E129" s="76">
        <f t="shared" si="61"/>
        <v>0</v>
      </c>
      <c r="F129" s="76">
        <f t="shared" si="61"/>
        <v>0</v>
      </c>
      <c r="G129" s="76">
        <f t="shared" si="61"/>
        <v>0</v>
      </c>
      <c r="H129" s="76">
        <f t="shared" si="61"/>
        <v>0</v>
      </c>
      <c r="I129" s="76">
        <f t="shared" si="61"/>
        <v>0</v>
      </c>
      <c r="J129" s="76">
        <f t="shared" si="61"/>
        <v>0</v>
      </c>
      <c r="K129" s="76">
        <f t="shared" si="61"/>
        <v>0</v>
      </c>
      <c r="L129" s="76">
        <f t="shared" si="61"/>
        <v>0</v>
      </c>
      <c r="M129" s="76">
        <f t="shared" si="61"/>
        <v>0</v>
      </c>
      <c r="N129" s="76">
        <f t="shared" si="61"/>
        <v>0</v>
      </c>
      <c r="O129" s="76">
        <f t="shared" si="61"/>
        <v>0</v>
      </c>
      <c r="P129" s="76">
        <f t="shared" si="61"/>
        <v>0</v>
      </c>
      <c r="Q129" s="76">
        <f t="shared" si="61"/>
        <v>0</v>
      </c>
      <c r="R129" s="76">
        <f t="shared" si="61"/>
        <v>0</v>
      </c>
      <c r="S129" s="76">
        <f t="shared" si="61"/>
        <v>0</v>
      </c>
      <c r="T129" s="76">
        <f t="shared" si="61"/>
        <v>0</v>
      </c>
      <c r="U129" s="76">
        <f t="shared" si="61"/>
        <v>0</v>
      </c>
      <c r="V129" s="76">
        <f t="shared" si="61"/>
        <v>0</v>
      </c>
      <c r="W129" s="76">
        <f t="shared" si="61"/>
        <v>0</v>
      </c>
      <c r="X129" s="76">
        <f t="shared" si="61"/>
        <v>0</v>
      </c>
      <c r="Y129" s="76">
        <f t="shared" si="61"/>
        <v>0</v>
      </c>
      <c r="Z129" s="76">
        <f t="shared" si="61"/>
        <v>0</v>
      </c>
      <c r="AA129" s="76">
        <f t="shared" si="61"/>
        <v>0</v>
      </c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</row>
    <row r="130" ht="12.75" customHeight="1">
      <c r="A130" s="103"/>
      <c r="B130" s="76"/>
      <c r="D130" s="112">
        <f>SUM(D123:O123)</f>
        <v>17771.54545</v>
      </c>
      <c r="P130" s="113">
        <f>SUM(P123:AA123)</f>
        <v>34024.09091</v>
      </c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</row>
    <row r="131" ht="12.75" customHeight="1">
      <c r="A131" s="103"/>
      <c r="B131" s="76"/>
      <c r="C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</row>
    <row r="132" ht="12.75" customHeight="1">
      <c r="A132" s="103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115">
        <f>(P130-D130)/D130</f>
        <v>0.9145262856</v>
      </c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</row>
    <row r="133" ht="12.75" customHeight="1">
      <c r="A133" s="103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</row>
    <row r="134" ht="12.75" customHeight="1">
      <c r="A134" s="103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</row>
    <row r="135" ht="12.75" customHeight="1">
      <c r="A135" s="103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</row>
    <row r="136" ht="12.75" customHeight="1">
      <c r="A136" s="103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</row>
    <row r="137" ht="12.75" customHeight="1">
      <c r="A137" s="103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</row>
    <row r="138" ht="12.75" customHeight="1">
      <c r="A138" s="76"/>
      <c r="B138" s="117" t="s">
        <v>177</v>
      </c>
      <c r="C138" s="117" t="s">
        <v>178</v>
      </c>
      <c r="D138" s="117">
        <v>2024.0</v>
      </c>
      <c r="E138" s="117">
        <v>2025.0</v>
      </c>
      <c r="F138" s="117">
        <v>2026.0</v>
      </c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</row>
    <row r="139" ht="12.75" customHeight="1">
      <c r="A139" s="596" t="s">
        <v>179</v>
      </c>
      <c r="B139" s="117"/>
      <c r="C139" s="117"/>
      <c r="D139" s="117"/>
      <c r="E139" s="117"/>
      <c r="F139" s="117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</row>
    <row r="140" ht="12.75" customHeight="1">
      <c r="A140" s="76"/>
      <c r="B140" s="117">
        <v>8.0</v>
      </c>
      <c r="C140" s="117" t="s">
        <v>180</v>
      </c>
      <c r="D140" s="117">
        <v>10.0</v>
      </c>
      <c r="E140" s="117">
        <v>25.0</v>
      </c>
      <c r="F140" s="117">
        <v>30.0</v>
      </c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</row>
    <row r="141" ht="12.75" customHeight="1">
      <c r="A141" s="76"/>
      <c r="B141" s="117">
        <v>20.0</v>
      </c>
      <c r="C141" s="117" t="s">
        <v>181</v>
      </c>
      <c r="D141" s="117">
        <v>0.0</v>
      </c>
      <c r="E141" s="117">
        <v>10.0</v>
      </c>
      <c r="F141" s="117">
        <v>30.0</v>
      </c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</row>
    <row r="142" ht="12.75" customHeight="1">
      <c r="A142" s="76"/>
      <c r="B142" s="117">
        <v>15.0</v>
      </c>
      <c r="C142" s="117" t="s">
        <v>182</v>
      </c>
      <c r="D142" s="117">
        <v>0.0</v>
      </c>
      <c r="E142" s="117">
        <v>0.0</v>
      </c>
      <c r="F142" s="117">
        <v>10.0</v>
      </c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</row>
    <row r="143" ht="12.75" customHeight="1">
      <c r="A143" s="76"/>
      <c r="B143" s="117">
        <v>10.0</v>
      </c>
      <c r="C143" s="117" t="s">
        <v>183</v>
      </c>
      <c r="D143" s="117">
        <v>10.0</v>
      </c>
      <c r="E143" s="117">
        <v>25.0</v>
      </c>
      <c r="F143" s="117">
        <v>30.0</v>
      </c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</row>
    <row r="144" ht="12.75" customHeight="1">
      <c r="B144" s="119">
        <v>30.0</v>
      </c>
      <c r="C144" s="119" t="s">
        <v>184</v>
      </c>
      <c r="D144" s="117">
        <v>0.0</v>
      </c>
      <c r="E144" s="117">
        <v>0.0</v>
      </c>
      <c r="F144" s="117">
        <v>5.0</v>
      </c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</row>
    <row r="145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</row>
    <row r="146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</row>
    <row r="147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</row>
    <row r="148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</row>
    <row r="149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</row>
    <row r="150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</row>
    <row r="151" ht="12.75" customHeight="1">
      <c r="A151" s="600"/>
      <c r="B151" s="600"/>
      <c r="C151" s="600"/>
      <c r="D151" s="600"/>
      <c r="E151" s="600"/>
      <c r="F151" s="600"/>
      <c r="G151" s="600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</row>
    <row r="152" ht="12.75" customHeight="1">
      <c r="A152" s="601" t="s">
        <v>467</v>
      </c>
      <c r="B152" s="602" t="s">
        <v>468</v>
      </c>
      <c r="C152" s="602"/>
      <c r="D152" s="602">
        <v>2024.0</v>
      </c>
      <c r="E152" s="602">
        <v>2025.0</v>
      </c>
      <c r="F152" s="602">
        <v>2026.0</v>
      </c>
      <c r="G152" s="600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</row>
    <row r="153" ht="12.75" customHeight="1">
      <c r="A153" s="600"/>
      <c r="B153" s="602">
        <v>450.0</v>
      </c>
      <c r="C153" s="602" t="s">
        <v>469</v>
      </c>
      <c r="D153" s="602">
        <v>1.0</v>
      </c>
      <c r="E153" s="602">
        <v>2.0</v>
      </c>
      <c r="F153" s="602">
        <v>2.0</v>
      </c>
      <c r="G153" s="600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</row>
    <row r="154" ht="12.75" customHeight="1">
      <c r="A154" s="600"/>
      <c r="B154" s="602">
        <v>1000.0</v>
      </c>
      <c r="C154" s="602" t="s">
        <v>470</v>
      </c>
      <c r="D154" s="602"/>
      <c r="E154" s="602">
        <v>1.0</v>
      </c>
      <c r="F154" s="602">
        <v>2.0</v>
      </c>
      <c r="G154" s="600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</row>
    <row r="155" ht="12.75" customHeight="1">
      <c r="A155" s="600"/>
      <c r="B155" s="600"/>
      <c r="C155" s="600"/>
      <c r="D155" s="600"/>
      <c r="E155" s="600"/>
      <c r="F155" s="600"/>
      <c r="G155" s="600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</row>
    <row r="156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</row>
    <row r="159" ht="12.75" customHeight="1">
      <c r="A159" s="76"/>
      <c r="B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</row>
    <row r="160" ht="12.75" customHeight="1">
      <c r="A160" s="76"/>
      <c r="B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</row>
    <row r="711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</row>
    <row r="71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</row>
    <row r="713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</row>
    <row r="714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</row>
    <row r="715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</row>
    <row r="716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</row>
    <row r="717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</row>
    <row r="718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</row>
    <row r="719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</row>
    <row r="720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</row>
    <row r="721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</row>
    <row r="72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</row>
    <row r="723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</row>
    <row r="724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</row>
    <row r="725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</row>
    <row r="726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</row>
    <row r="727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</row>
    <row r="728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</row>
    <row r="729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</row>
    <row r="730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</row>
    <row r="731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</row>
    <row r="733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</row>
    <row r="734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</row>
    <row r="735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</row>
    <row r="736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</row>
    <row r="737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</row>
    <row r="738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</row>
    <row r="739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</row>
    <row r="740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</row>
    <row r="741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</row>
    <row r="74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</row>
    <row r="743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</row>
    <row r="744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</row>
    <row r="745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</row>
    <row r="746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</row>
    <row r="747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</row>
    <row r="748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</row>
    <row r="749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</row>
    <row r="750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</row>
    <row r="751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</row>
    <row r="75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</row>
    <row r="753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</row>
    <row r="754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</row>
    <row r="755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</row>
    <row r="756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</row>
    <row r="757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</row>
    <row r="758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</row>
    <row r="759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</row>
    <row r="760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</row>
    <row r="761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</row>
    <row r="76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</row>
    <row r="763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</row>
    <row r="764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</row>
    <row r="765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</row>
    <row r="766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</row>
    <row r="767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</row>
    <row r="768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</row>
    <row r="769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</row>
    <row r="770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</row>
    <row r="771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</row>
    <row r="77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</row>
    <row r="773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</row>
    <row r="774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</row>
    <row r="775" ht="12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</row>
    <row r="776" ht="12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</row>
    <row r="777" ht="12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</row>
    <row r="778" ht="12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</row>
    <row r="779" ht="12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</row>
    <row r="780" ht="12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</row>
    <row r="781" ht="12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</row>
    <row r="782" ht="12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</row>
    <row r="783" ht="12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</row>
    <row r="784" ht="12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</row>
    <row r="785" ht="12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</row>
    <row r="786" ht="12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</row>
    <row r="787" ht="12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</row>
    <row r="788" ht="12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</row>
    <row r="789" ht="12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</row>
    <row r="790" ht="12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</row>
    <row r="791" ht="12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</row>
    <row r="792" ht="12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</row>
    <row r="793" ht="12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</row>
    <row r="794" ht="12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</row>
    <row r="795" ht="12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</row>
    <row r="796" ht="12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</row>
    <row r="797" ht="12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</row>
    <row r="798" ht="12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</row>
    <row r="799" ht="12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</row>
    <row r="800" ht="12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</row>
    <row r="801" ht="12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</row>
    <row r="802" ht="12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</row>
    <row r="803" ht="12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</row>
    <row r="804" ht="12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</row>
    <row r="805" ht="12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</row>
    <row r="806" ht="12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</row>
    <row r="807" ht="12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</row>
    <row r="808" ht="12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</row>
    <row r="809" ht="12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</row>
    <row r="810" ht="12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</row>
    <row r="811" ht="12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</row>
    <row r="812" ht="12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</row>
    <row r="813" ht="12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</row>
    <row r="814" ht="12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</row>
    <row r="815" ht="12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</row>
    <row r="816" ht="12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</row>
    <row r="817" ht="12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</row>
    <row r="818" ht="12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</row>
    <row r="819" ht="12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</row>
    <row r="820" ht="12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</row>
    <row r="821" ht="12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</row>
    <row r="822" ht="12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</row>
    <row r="823" ht="12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</row>
    <row r="824" ht="12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</row>
    <row r="825" ht="12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</row>
    <row r="826" ht="12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</row>
    <row r="827" ht="12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</row>
    <row r="828" ht="12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</row>
    <row r="829" ht="12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</row>
    <row r="830" ht="12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</row>
    <row r="831" ht="12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</row>
    <row r="832" ht="12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</row>
    <row r="833" ht="12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</row>
    <row r="834" ht="12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</row>
    <row r="835" ht="12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</row>
    <row r="836" ht="12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</row>
    <row r="837" ht="12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</row>
    <row r="838" ht="12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</row>
    <row r="839" ht="12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</row>
    <row r="840" ht="12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</row>
    <row r="841" ht="12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</row>
    <row r="842" ht="12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</row>
    <row r="843" ht="12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</row>
    <row r="844" ht="12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</row>
    <row r="845" ht="12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</row>
    <row r="846" ht="12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</row>
    <row r="847" ht="12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</row>
    <row r="848" ht="12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</row>
    <row r="849" ht="12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</row>
    <row r="850" ht="12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</row>
    <row r="851" ht="12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</row>
    <row r="852" ht="12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</row>
    <row r="853" ht="12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</row>
    <row r="854" ht="12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</row>
    <row r="855" ht="12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</row>
    <row r="856" ht="12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</row>
    <row r="857" ht="12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</row>
  </sheetData>
  <autoFilter ref="$C$36:$AA$46"/>
  <mergeCells count="8">
    <mergeCell ref="D60:O61"/>
    <mergeCell ref="P60:AA61"/>
    <mergeCell ref="AB60:AM61"/>
    <mergeCell ref="AN60:AY61"/>
    <mergeCell ref="O62:P63"/>
    <mergeCell ref="D130:O131"/>
    <mergeCell ref="P130:AA131"/>
    <mergeCell ref="O132:P13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6.75"/>
    <col customWidth="1" min="4" max="13" width="7.5"/>
    <col customWidth="1" min="14" max="14" width="11.88"/>
    <col customWidth="1" min="15" max="15" width="14.75"/>
    <col customWidth="1" min="16" max="27" width="7.5"/>
    <col customWidth="1" min="28" max="51" width="11.38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</row>
    <row r="2" ht="47.25" customHeight="1">
      <c r="A2" s="78" t="s">
        <v>463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</row>
    <row r="3" ht="12.75" customHeight="1">
      <c r="A3" s="79"/>
      <c r="B3" s="76"/>
      <c r="C3" s="80" t="s">
        <v>140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</row>
    <row r="4" ht="12.75" customHeight="1">
      <c r="A4" s="79"/>
      <c r="B4" s="76"/>
      <c r="C4" s="82" t="s">
        <v>141</v>
      </c>
      <c r="D4" s="76" t="s">
        <v>471</v>
      </c>
      <c r="E4" s="76" t="s">
        <v>472</v>
      </c>
      <c r="F4" s="76" t="s">
        <v>473</v>
      </c>
      <c r="G4" s="76" t="s">
        <v>474</v>
      </c>
      <c r="H4" s="76" t="s">
        <v>475</v>
      </c>
      <c r="I4" s="76" t="s">
        <v>476</v>
      </c>
      <c r="J4" s="76" t="s">
        <v>477</v>
      </c>
      <c r="K4" s="76"/>
      <c r="L4" s="76"/>
      <c r="M4" s="76"/>
      <c r="N4" s="603" t="s">
        <v>478</v>
      </c>
      <c r="O4" s="603" t="s">
        <v>479</v>
      </c>
      <c r="P4" s="603"/>
      <c r="Q4" s="76"/>
      <c r="R4" s="76"/>
      <c r="S4" s="76"/>
      <c r="T4" s="76"/>
      <c r="U4" s="77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</row>
    <row r="5" ht="12.75" customHeight="1">
      <c r="A5" s="79"/>
      <c r="B5" s="76"/>
      <c r="C5" s="76" t="s">
        <v>148</v>
      </c>
      <c r="D5" s="98">
        <v>0.35</v>
      </c>
      <c r="E5" s="98">
        <v>0.15</v>
      </c>
      <c r="F5" s="98">
        <v>0.05</v>
      </c>
      <c r="G5" s="98"/>
      <c r="H5" s="98"/>
      <c r="I5" s="98">
        <v>0.35</v>
      </c>
      <c r="J5" s="98">
        <v>0.45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7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</row>
    <row r="6" ht="12.75" customHeight="1">
      <c r="A6" s="79"/>
      <c r="B6" s="76"/>
      <c r="C6" s="76" t="s">
        <v>76</v>
      </c>
      <c r="D6" s="98">
        <v>0.45</v>
      </c>
      <c r="E6" s="98">
        <v>0.35</v>
      </c>
      <c r="F6" s="98">
        <v>0.1</v>
      </c>
      <c r="G6" s="98"/>
      <c r="H6" s="98"/>
      <c r="I6" s="98">
        <v>0.35</v>
      </c>
      <c r="J6" s="98">
        <v>0.55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7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</row>
    <row r="7" ht="12.75" customHeight="1">
      <c r="A7" s="79"/>
      <c r="B7" s="76"/>
      <c r="C7" s="76" t="s">
        <v>80</v>
      </c>
      <c r="D7" s="98">
        <v>0.1</v>
      </c>
      <c r="E7" s="98">
        <v>0.3</v>
      </c>
      <c r="F7" s="98">
        <v>0.3</v>
      </c>
      <c r="G7" s="98">
        <v>0.3</v>
      </c>
      <c r="H7" s="98">
        <v>0.3</v>
      </c>
      <c r="I7" s="98">
        <v>0.15</v>
      </c>
      <c r="J7" s="98">
        <v>0.05</v>
      </c>
      <c r="K7" s="76"/>
      <c r="L7" s="76"/>
      <c r="M7" s="76"/>
      <c r="N7" s="76"/>
      <c r="O7" s="76"/>
      <c r="P7" s="76"/>
      <c r="Q7" s="76"/>
      <c r="R7" s="76"/>
      <c r="S7" s="76"/>
      <c r="T7" s="76"/>
      <c r="U7" s="77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</row>
    <row r="8" ht="12.75" customHeight="1">
      <c r="A8" s="79"/>
      <c r="B8" s="76"/>
      <c r="C8" s="76" t="s">
        <v>83</v>
      </c>
      <c r="D8" s="98">
        <v>0.05</v>
      </c>
      <c r="E8" s="98">
        <v>0.1</v>
      </c>
      <c r="F8" s="98">
        <v>0.3</v>
      </c>
      <c r="G8" s="98">
        <v>0.35</v>
      </c>
      <c r="H8" s="98">
        <v>0.35</v>
      </c>
      <c r="I8" s="98">
        <v>0.1</v>
      </c>
      <c r="J8" s="98"/>
      <c r="K8" s="76"/>
      <c r="L8" s="76"/>
      <c r="M8" s="76"/>
      <c r="N8" s="76"/>
      <c r="O8" s="76"/>
      <c r="P8" s="76"/>
      <c r="Q8" s="76"/>
      <c r="R8" s="76"/>
      <c r="S8" s="76"/>
      <c r="T8" s="76"/>
      <c r="U8" s="77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</row>
    <row r="9" ht="12.75" customHeight="1">
      <c r="A9" s="79"/>
      <c r="B9" s="76"/>
      <c r="C9" s="76" t="s">
        <v>87</v>
      </c>
      <c r="D9" s="98">
        <v>0.05</v>
      </c>
      <c r="E9" s="98">
        <v>0.05</v>
      </c>
      <c r="F9" s="98">
        <v>0.15</v>
      </c>
      <c r="G9" s="98">
        <v>0.15</v>
      </c>
      <c r="H9" s="98">
        <v>0.15</v>
      </c>
      <c r="I9" s="98">
        <v>0.05</v>
      </c>
      <c r="J9" s="98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</row>
    <row r="10" ht="12.75" customHeight="1">
      <c r="A10" s="79"/>
      <c r="B10" s="76"/>
      <c r="C10" s="76" t="s">
        <v>464</v>
      </c>
      <c r="D10" s="98"/>
      <c r="E10" s="98">
        <v>0.05</v>
      </c>
      <c r="F10" s="98">
        <v>0.1</v>
      </c>
      <c r="G10" s="98">
        <v>0.2</v>
      </c>
      <c r="H10" s="98">
        <v>0.2</v>
      </c>
      <c r="I10" s="98"/>
      <c r="J10" s="98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</row>
    <row r="11" ht="12.75" customHeight="1">
      <c r="A11" s="79"/>
      <c r="B11" s="76"/>
      <c r="C11" s="76"/>
      <c r="D11" s="89">
        <f t="shared" ref="D11:J11" si="1">SUM(D5:D10)</f>
        <v>1</v>
      </c>
      <c r="E11" s="89">
        <f t="shared" si="1"/>
        <v>1</v>
      </c>
      <c r="F11" s="89">
        <f t="shared" si="1"/>
        <v>1</v>
      </c>
      <c r="G11" s="89">
        <f t="shared" si="1"/>
        <v>1</v>
      </c>
      <c r="H11" s="89">
        <f t="shared" si="1"/>
        <v>1</v>
      </c>
      <c r="I11" s="89">
        <f t="shared" si="1"/>
        <v>1</v>
      </c>
      <c r="J11" s="89">
        <f t="shared" si="1"/>
        <v>1.05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</row>
    <row r="12" ht="12.75" customHeight="1">
      <c r="A12" s="79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>
        <v>4.0</v>
      </c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</row>
    <row r="13" ht="12.75" customHeight="1">
      <c r="A13" s="79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</row>
    <row r="14" ht="12.75" customHeight="1">
      <c r="A14" s="79"/>
      <c r="B14" s="76"/>
      <c r="C14" s="80" t="s">
        <v>140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</row>
    <row r="15" ht="12.75" customHeight="1">
      <c r="A15" s="79"/>
      <c r="B15" s="76"/>
      <c r="D15" s="76" t="s">
        <v>471</v>
      </c>
      <c r="E15" s="76" t="s">
        <v>472</v>
      </c>
      <c r="F15" s="76" t="s">
        <v>473</v>
      </c>
      <c r="G15" s="76" t="s">
        <v>474</v>
      </c>
      <c r="H15" s="76" t="s">
        <v>475</v>
      </c>
      <c r="I15" s="76" t="s">
        <v>476</v>
      </c>
      <c r="J15" s="76" t="s">
        <v>477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</row>
    <row r="16" ht="12.75" customHeight="1">
      <c r="A16" s="79"/>
      <c r="B16" s="76"/>
      <c r="C16" s="82" t="s">
        <v>149</v>
      </c>
      <c r="D16" s="159">
        <v>7.0</v>
      </c>
      <c r="E16" s="159">
        <v>18.0</v>
      </c>
      <c r="F16" s="159">
        <v>18.0</v>
      </c>
      <c r="G16" s="159">
        <v>22.0</v>
      </c>
      <c r="H16" s="159">
        <v>25.0</v>
      </c>
      <c r="I16" s="159">
        <v>18.0</v>
      </c>
      <c r="J16" s="159">
        <v>17.0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</row>
    <row r="17" ht="12.75" customHeight="1">
      <c r="A17" s="79"/>
      <c r="B17" s="76"/>
      <c r="C17" s="76" t="s">
        <v>72</v>
      </c>
      <c r="D17" s="91">
        <f t="shared" ref="D17:J17" si="2">ROUND( D$16*D5,0)</f>
        <v>2</v>
      </c>
      <c r="E17" s="91">
        <f t="shared" si="2"/>
        <v>3</v>
      </c>
      <c r="F17" s="91">
        <f t="shared" si="2"/>
        <v>1</v>
      </c>
      <c r="G17" s="91">
        <f t="shared" si="2"/>
        <v>0</v>
      </c>
      <c r="H17" s="91">
        <f t="shared" si="2"/>
        <v>0</v>
      </c>
      <c r="I17" s="91">
        <f t="shared" si="2"/>
        <v>6</v>
      </c>
      <c r="J17" s="91">
        <f t="shared" si="2"/>
        <v>8</v>
      </c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</row>
    <row r="18" ht="12.75" customHeight="1">
      <c r="A18" s="79"/>
      <c r="B18" s="76"/>
      <c r="C18" s="76" t="s">
        <v>76</v>
      </c>
      <c r="D18" s="91">
        <f t="shared" ref="D18:J18" si="3">ROUND( D$16*D6,0)</f>
        <v>3</v>
      </c>
      <c r="E18" s="91">
        <f t="shared" si="3"/>
        <v>6</v>
      </c>
      <c r="F18" s="91">
        <f t="shared" si="3"/>
        <v>2</v>
      </c>
      <c r="G18" s="91">
        <f t="shared" si="3"/>
        <v>0</v>
      </c>
      <c r="H18" s="91">
        <f t="shared" si="3"/>
        <v>0</v>
      </c>
      <c r="I18" s="91">
        <f t="shared" si="3"/>
        <v>6</v>
      </c>
      <c r="J18" s="91">
        <f t="shared" si="3"/>
        <v>9</v>
      </c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</row>
    <row r="19" ht="12.75" customHeight="1">
      <c r="A19" s="79"/>
      <c r="B19" s="76"/>
      <c r="C19" s="76" t="s">
        <v>80</v>
      </c>
      <c r="D19" s="91">
        <f t="shared" ref="D19:J19" si="4">ROUND( D$16*D7,0)</f>
        <v>1</v>
      </c>
      <c r="E19" s="91">
        <f t="shared" si="4"/>
        <v>5</v>
      </c>
      <c r="F19" s="91">
        <f t="shared" si="4"/>
        <v>5</v>
      </c>
      <c r="G19" s="91">
        <f t="shared" si="4"/>
        <v>7</v>
      </c>
      <c r="H19" s="91">
        <f t="shared" si="4"/>
        <v>8</v>
      </c>
      <c r="I19" s="91">
        <f t="shared" si="4"/>
        <v>3</v>
      </c>
      <c r="J19" s="91">
        <f t="shared" si="4"/>
        <v>1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</row>
    <row r="20" ht="12.75" customHeight="1">
      <c r="A20" s="79"/>
      <c r="B20" s="76"/>
      <c r="C20" s="76" t="s">
        <v>83</v>
      </c>
      <c r="D20" s="91">
        <f t="shared" ref="D20:J20" si="5">ROUND( D$16*D8,0)</f>
        <v>0</v>
      </c>
      <c r="E20" s="91">
        <f t="shared" si="5"/>
        <v>2</v>
      </c>
      <c r="F20" s="91">
        <f t="shared" si="5"/>
        <v>5</v>
      </c>
      <c r="G20" s="91">
        <f t="shared" si="5"/>
        <v>8</v>
      </c>
      <c r="H20" s="91">
        <f t="shared" si="5"/>
        <v>9</v>
      </c>
      <c r="I20" s="91">
        <f t="shared" si="5"/>
        <v>2</v>
      </c>
      <c r="J20" s="91">
        <f t="shared" si="5"/>
        <v>0</v>
      </c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</row>
    <row r="21" ht="12.75" customHeight="1">
      <c r="A21" s="79"/>
      <c r="B21" s="76"/>
      <c r="C21" s="76" t="s">
        <v>87</v>
      </c>
      <c r="D21" s="91">
        <f t="shared" ref="D21:J21" si="6">ROUND( D$16*D9,0)</f>
        <v>0</v>
      </c>
      <c r="E21" s="91">
        <f t="shared" si="6"/>
        <v>1</v>
      </c>
      <c r="F21" s="91">
        <f t="shared" si="6"/>
        <v>3</v>
      </c>
      <c r="G21" s="91">
        <f t="shared" si="6"/>
        <v>3</v>
      </c>
      <c r="H21" s="91">
        <f t="shared" si="6"/>
        <v>4</v>
      </c>
      <c r="I21" s="91">
        <f t="shared" si="6"/>
        <v>1</v>
      </c>
      <c r="J21" s="91">
        <f t="shared" si="6"/>
        <v>0</v>
      </c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</row>
    <row r="22" ht="12.75" customHeight="1">
      <c r="A22" s="79"/>
      <c r="B22" s="76"/>
      <c r="C22" s="76" t="s">
        <v>464</v>
      </c>
      <c r="D22" s="91">
        <f t="shared" ref="D22:J22" si="7">ROUND( D$16*D10,0)</f>
        <v>0</v>
      </c>
      <c r="E22" s="91">
        <f t="shared" si="7"/>
        <v>1</v>
      </c>
      <c r="F22" s="91">
        <f t="shared" si="7"/>
        <v>2</v>
      </c>
      <c r="G22" s="91">
        <f t="shared" si="7"/>
        <v>4</v>
      </c>
      <c r="H22" s="91">
        <f t="shared" si="7"/>
        <v>5</v>
      </c>
      <c r="I22" s="91">
        <f t="shared" si="7"/>
        <v>0</v>
      </c>
      <c r="J22" s="91">
        <f t="shared" si="7"/>
        <v>0</v>
      </c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</row>
    <row r="23" ht="12.75" customHeight="1">
      <c r="A23" s="79"/>
      <c r="B23" s="76"/>
      <c r="C23" s="76"/>
      <c r="D23" s="93">
        <f t="shared" ref="D23:J23" si="8">SUM(D17:D22)</f>
        <v>6</v>
      </c>
      <c r="E23" s="93">
        <f t="shared" si="8"/>
        <v>18</v>
      </c>
      <c r="F23" s="93">
        <f t="shared" si="8"/>
        <v>18</v>
      </c>
      <c r="G23" s="93">
        <f t="shared" si="8"/>
        <v>22</v>
      </c>
      <c r="H23" s="93">
        <f t="shared" si="8"/>
        <v>26</v>
      </c>
      <c r="I23" s="93">
        <f t="shared" si="8"/>
        <v>18</v>
      </c>
      <c r="J23" s="93">
        <f t="shared" si="8"/>
        <v>18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</row>
    <row r="24" ht="12.75" customHeight="1">
      <c r="A24" s="79"/>
      <c r="B24" s="76"/>
      <c r="C24" s="8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</row>
    <row r="25" ht="12.75" customHeight="1">
      <c r="A25" s="79"/>
      <c r="B25" s="76"/>
      <c r="C25" s="80" t="s">
        <v>150</v>
      </c>
      <c r="D25" s="95" t="s">
        <v>151</v>
      </c>
      <c r="E25" s="95" t="s">
        <v>152</v>
      </c>
      <c r="F25" s="95" t="s">
        <v>153</v>
      </c>
      <c r="G25" s="95" t="s">
        <v>154</v>
      </c>
      <c r="H25" s="95" t="s">
        <v>155</v>
      </c>
      <c r="I25" s="95" t="s">
        <v>156</v>
      </c>
      <c r="J25" s="95" t="s">
        <v>151</v>
      </c>
      <c r="K25" s="95" t="s">
        <v>152</v>
      </c>
      <c r="L25" s="95" t="s">
        <v>153</v>
      </c>
      <c r="M25" s="95" t="s">
        <v>154</v>
      </c>
      <c r="N25" s="95" t="s">
        <v>155</v>
      </c>
      <c r="O25" s="95" t="s">
        <v>156</v>
      </c>
      <c r="P25" s="95" t="s">
        <v>151</v>
      </c>
      <c r="Q25" s="95" t="s">
        <v>152</v>
      </c>
      <c r="R25" s="95" t="s">
        <v>153</v>
      </c>
      <c r="S25" s="95" t="s">
        <v>154</v>
      </c>
      <c r="T25" s="95" t="s">
        <v>155</v>
      </c>
      <c r="U25" s="95" t="s">
        <v>156</v>
      </c>
      <c r="V25" s="95" t="s">
        <v>151</v>
      </c>
      <c r="W25" s="95" t="s">
        <v>152</v>
      </c>
      <c r="X25" s="95" t="s">
        <v>153</v>
      </c>
      <c r="Y25" s="95" t="s">
        <v>154</v>
      </c>
      <c r="Z25" s="95" t="s">
        <v>155</v>
      </c>
      <c r="AA25" s="95" t="s">
        <v>156</v>
      </c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</row>
    <row r="26" ht="12.75" customHeight="1">
      <c r="A26" s="79"/>
      <c r="B26" s="76"/>
      <c r="C26" s="76"/>
      <c r="D26" s="76">
        <v>1.0</v>
      </c>
      <c r="E26" s="76">
        <v>2.0</v>
      </c>
      <c r="F26" s="76">
        <v>3.0</v>
      </c>
      <c r="G26" s="76">
        <v>4.0</v>
      </c>
      <c r="H26" s="76">
        <v>5.0</v>
      </c>
      <c r="I26" s="76">
        <v>6.0</v>
      </c>
      <c r="J26" s="76">
        <v>7.0</v>
      </c>
      <c r="K26" s="76">
        <v>8.0</v>
      </c>
      <c r="L26" s="76">
        <v>9.0</v>
      </c>
      <c r="M26" s="76">
        <v>10.0</v>
      </c>
      <c r="N26" s="76">
        <v>11.0</v>
      </c>
      <c r="O26" s="76">
        <v>12.0</v>
      </c>
      <c r="P26" s="76">
        <v>13.0</v>
      </c>
      <c r="Q26" s="76">
        <v>14.0</v>
      </c>
      <c r="R26" s="76">
        <v>15.0</v>
      </c>
      <c r="S26" s="76">
        <v>16.0</v>
      </c>
      <c r="T26" s="76">
        <v>17.0</v>
      </c>
      <c r="U26" s="76">
        <v>18.0</v>
      </c>
      <c r="V26" s="76">
        <v>19.0</v>
      </c>
      <c r="W26" s="76">
        <v>20.0</v>
      </c>
      <c r="X26" s="76">
        <v>21.0</v>
      </c>
      <c r="Y26" s="76">
        <v>22.0</v>
      </c>
      <c r="Z26" s="76">
        <v>23.0</v>
      </c>
      <c r="AA26" s="76">
        <v>24.0</v>
      </c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</row>
    <row r="27" ht="12.75" customHeight="1">
      <c r="A27" s="79"/>
      <c r="C27" s="82" t="s">
        <v>157</v>
      </c>
      <c r="D27" s="98">
        <v>0.5</v>
      </c>
      <c r="E27" s="98">
        <v>0.6</v>
      </c>
      <c r="F27" s="98">
        <v>0.6</v>
      </c>
      <c r="G27" s="98">
        <v>0.7</v>
      </c>
      <c r="H27" s="98">
        <v>0.9</v>
      </c>
      <c r="I27" s="98">
        <v>0.9</v>
      </c>
      <c r="J27" s="98">
        <v>0.5</v>
      </c>
      <c r="K27" s="98">
        <v>0.6</v>
      </c>
      <c r="L27" s="98">
        <v>0.6</v>
      </c>
      <c r="M27" s="98">
        <v>0.7</v>
      </c>
      <c r="N27" s="98">
        <v>0.9</v>
      </c>
      <c r="O27" s="98">
        <v>0.9</v>
      </c>
      <c r="P27" s="98">
        <v>0.5</v>
      </c>
      <c r="Q27" s="98">
        <v>0.6</v>
      </c>
      <c r="R27" s="98">
        <v>0.6</v>
      </c>
      <c r="S27" s="98">
        <v>0.7</v>
      </c>
      <c r="T27" s="98">
        <v>0.9</v>
      </c>
      <c r="U27" s="98">
        <v>0.9</v>
      </c>
      <c r="V27" s="98">
        <v>0.5</v>
      </c>
      <c r="W27" s="98">
        <v>0.6</v>
      </c>
      <c r="X27" s="98">
        <v>0.6</v>
      </c>
      <c r="Y27" s="98">
        <v>0.7</v>
      </c>
      <c r="Z27" s="98">
        <v>0.9</v>
      </c>
      <c r="AA27" s="98">
        <v>0.9</v>
      </c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</row>
    <row r="28" ht="12.75" customHeight="1">
      <c r="A28" s="79"/>
      <c r="B28" s="76"/>
      <c r="C28" s="76" t="s">
        <v>148</v>
      </c>
      <c r="D28" s="76">
        <f t="shared" ref="D28:D33" si="10">ROUND(SUM($D17:$M17)*D$27,0)</f>
        <v>10</v>
      </c>
      <c r="E28" s="76">
        <f t="shared" ref="E28:AA28" si="9">ROUND(SUM($D17:$M17)*E27,0)</f>
        <v>12</v>
      </c>
      <c r="F28" s="76">
        <f t="shared" si="9"/>
        <v>12</v>
      </c>
      <c r="G28" s="76">
        <f t="shared" si="9"/>
        <v>14</v>
      </c>
      <c r="H28" s="76">
        <f t="shared" si="9"/>
        <v>18</v>
      </c>
      <c r="I28" s="76">
        <f t="shared" si="9"/>
        <v>18</v>
      </c>
      <c r="J28" s="76">
        <f t="shared" si="9"/>
        <v>10</v>
      </c>
      <c r="K28" s="76">
        <f t="shared" si="9"/>
        <v>12</v>
      </c>
      <c r="L28" s="76">
        <f t="shared" si="9"/>
        <v>12</v>
      </c>
      <c r="M28" s="76">
        <f t="shared" si="9"/>
        <v>14</v>
      </c>
      <c r="N28" s="76">
        <f t="shared" si="9"/>
        <v>18</v>
      </c>
      <c r="O28" s="76">
        <f t="shared" si="9"/>
        <v>18</v>
      </c>
      <c r="P28" s="76">
        <f t="shared" si="9"/>
        <v>10</v>
      </c>
      <c r="Q28" s="76">
        <f t="shared" si="9"/>
        <v>12</v>
      </c>
      <c r="R28" s="76">
        <f t="shared" si="9"/>
        <v>12</v>
      </c>
      <c r="S28" s="76">
        <f t="shared" si="9"/>
        <v>14</v>
      </c>
      <c r="T28" s="76">
        <f t="shared" si="9"/>
        <v>18</v>
      </c>
      <c r="U28" s="76">
        <f t="shared" si="9"/>
        <v>18</v>
      </c>
      <c r="V28" s="76">
        <f t="shared" si="9"/>
        <v>10</v>
      </c>
      <c r="W28" s="76">
        <f t="shared" si="9"/>
        <v>12</v>
      </c>
      <c r="X28" s="76">
        <f t="shared" si="9"/>
        <v>12</v>
      </c>
      <c r="Y28" s="76">
        <f t="shared" si="9"/>
        <v>14</v>
      </c>
      <c r="Z28" s="76">
        <f t="shared" si="9"/>
        <v>18</v>
      </c>
      <c r="AA28" s="76">
        <f t="shared" si="9"/>
        <v>18</v>
      </c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</row>
    <row r="29" ht="12.75" customHeight="1">
      <c r="A29" s="79"/>
      <c r="B29" s="76"/>
      <c r="C29" s="76" t="s">
        <v>76</v>
      </c>
      <c r="D29" s="76">
        <f t="shared" si="10"/>
        <v>13</v>
      </c>
      <c r="E29" s="76">
        <f t="shared" ref="E29:AA29" si="11">ROUND(SUM($D18:$M18)*E$27,0)</f>
        <v>16</v>
      </c>
      <c r="F29" s="76">
        <f t="shared" si="11"/>
        <v>16</v>
      </c>
      <c r="G29" s="76">
        <f t="shared" si="11"/>
        <v>18</v>
      </c>
      <c r="H29" s="76">
        <f t="shared" si="11"/>
        <v>23</v>
      </c>
      <c r="I29" s="76">
        <f t="shared" si="11"/>
        <v>23</v>
      </c>
      <c r="J29" s="76">
        <f t="shared" si="11"/>
        <v>13</v>
      </c>
      <c r="K29" s="76">
        <f t="shared" si="11"/>
        <v>16</v>
      </c>
      <c r="L29" s="76">
        <f t="shared" si="11"/>
        <v>16</v>
      </c>
      <c r="M29" s="76">
        <f t="shared" si="11"/>
        <v>18</v>
      </c>
      <c r="N29" s="76">
        <f t="shared" si="11"/>
        <v>23</v>
      </c>
      <c r="O29" s="76">
        <f t="shared" si="11"/>
        <v>23</v>
      </c>
      <c r="P29" s="76">
        <f t="shared" si="11"/>
        <v>13</v>
      </c>
      <c r="Q29" s="76">
        <f t="shared" si="11"/>
        <v>16</v>
      </c>
      <c r="R29" s="76">
        <f t="shared" si="11"/>
        <v>16</v>
      </c>
      <c r="S29" s="76">
        <f t="shared" si="11"/>
        <v>18</v>
      </c>
      <c r="T29" s="76">
        <f t="shared" si="11"/>
        <v>23</v>
      </c>
      <c r="U29" s="76">
        <f t="shared" si="11"/>
        <v>23</v>
      </c>
      <c r="V29" s="76">
        <f t="shared" si="11"/>
        <v>13</v>
      </c>
      <c r="W29" s="76">
        <f t="shared" si="11"/>
        <v>16</v>
      </c>
      <c r="X29" s="76">
        <f t="shared" si="11"/>
        <v>16</v>
      </c>
      <c r="Y29" s="76">
        <f t="shared" si="11"/>
        <v>18</v>
      </c>
      <c r="Z29" s="76">
        <f t="shared" si="11"/>
        <v>23</v>
      </c>
      <c r="AA29" s="76">
        <f t="shared" si="11"/>
        <v>23</v>
      </c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</row>
    <row r="30" ht="12.75" customHeight="1">
      <c r="A30" s="79"/>
      <c r="B30" s="76"/>
      <c r="C30" s="76" t="s">
        <v>80</v>
      </c>
      <c r="D30" s="76">
        <f t="shared" si="10"/>
        <v>15</v>
      </c>
      <c r="E30" s="76">
        <f t="shared" ref="E30:AA30" si="12">ROUND(SUM($D19:$M19)*E$27,0)</f>
        <v>18</v>
      </c>
      <c r="F30" s="76">
        <f t="shared" si="12"/>
        <v>18</v>
      </c>
      <c r="G30" s="76">
        <f t="shared" si="12"/>
        <v>21</v>
      </c>
      <c r="H30" s="76">
        <f t="shared" si="12"/>
        <v>27</v>
      </c>
      <c r="I30" s="76">
        <f t="shared" si="12"/>
        <v>27</v>
      </c>
      <c r="J30" s="76">
        <f t="shared" si="12"/>
        <v>15</v>
      </c>
      <c r="K30" s="76">
        <f t="shared" si="12"/>
        <v>18</v>
      </c>
      <c r="L30" s="76">
        <f t="shared" si="12"/>
        <v>18</v>
      </c>
      <c r="M30" s="76">
        <f t="shared" si="12"/>
        <v>21</v>
      </c>
      <c r="N30" s="76">
        <f t="shared" si="12"/>
        <v>27</v>
      </c>
      <c r="O30" s="76">
        <f t="shared" si="12"/>
        <v>27</v>
      </c>
      <c r="P30" s="76">
        <f t="shared" si="12"/>
        <v>15</v>
      </c>
      <c r="Q30" s="76">
        <f t="shared" si="12"/>
        <v>18</v>
      </c>
      <c r="R30" s="76">
        <f t="shared" si="12"/>
        <v>18</v>
      </c>
      <c r="S30" s="76">
        <f t="shared" si="12"/>
        <v>21</v>
      </c>
      <c r="T30" s="76">
        <f t="shared" si="12"/>
        <v>27</v>
      </c>
      <c r="U30" s="76">
        <f t="shared" si="12"/>
        <v>27</v>
      </c>
      <c r="V30" s="76">
        <f t="shared" si="12"/>
        <v>15</v>
      </c>
      <c r="W30" s="76">
        <f t="shared" si="12"/>
        <v>18</v>
      </c>
      <c r="X30" s="76">
        <f t="shared" si="12"/>
        <v>18</v>
      </c>
      <c r="Y30" s="76">
        <f t="shared" si="12"/>
        <v>21</v>
      </c>
      <c r="Z30" s="76">
        <f t="shared" si="12"/>
        <v>27</v>
      </c>
      <c r="AA30" s="76">
        <f t="shared" si="12"/>
        <v>27</v>
      </c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</row>
    <row r="31" ht="12.75" customHeight="1">
      <c r="A31" s="79"/>
      <c r="B31" s="76"/>
      <c r="C31" s="76" t="s">
        <v>83</v>
      </c>
      <c r="D31" s="76">
        <f t="shared" si="10"/>
        <v>13</v>
      </c>
      <c r="E31" s="76">
        <f t="shared" ref="E31:AA31" si="13">ROUND(SUM($D20:$M20)*E$27,0)</f>
        <v>16</v>
      </c>
      <c r="F31" s="76">
        <f t="shared" si="13"/>
        <v>16</v>
      </c>
      <c r="G31" s="76">
        <f t="shared" si="13"/>
        <v>18</v>
      </c>
      <c r="H31" s="76">
        <f t="shared" si="13"/>
        <v>23</v>
      </c>
      <c r="I31" s="76">
        <f t="shared" si="13"/>
        <v>23</v>
      </c>
      <c r="J31" s="76">
        <f t="shared" si="13"/>
        <v>13</v>
      </c>
      <c r="K31" s="76">
        <f t="shared" si="13"/>
        <v>16</v>
      </c>
      <c r="L31" s="76">
        <f t="shared" si="13"/>
        <v>16</v>
      </c>
      <c r="M31" s="76">
        <f t="shared" si="13"/>
        <v>18</v>
      </c>
      <c r="N31" s="76">
        <f t="shared" si="13"/>
        <v>23</v>
      </c>
      <c r="O31" s="76">
        <f t="shared" si="13"/>
        <v>23</v>
      </c>
      <c r="P31" s="76">
        <f t="shared" si="13"/>
        <v>13</v>
      </c>
      <c r="Q31" s="76">
        <f t="shared" si="13"/>
        <v>16</v>
      </c>
      <c r="R31" s="76">
        <f t="shared" si="13"/>
        <v>16</v>
      </c>
      <c r="S31" s="76">
        <f t="shared" si="13"/>
        <v>18</v>
      </c>
      <c r="T31" s="76">
        <f t="shared" si="13"/>
        <v>23</v>
      </c>
      <c r="U31" s="76">
        <f t="shared" si="13"/>
        <v>23</v>
      </c>
      <c r="V31" s="76">
        <f t="shared" si="13"/>
        <v>13</v>
      </c>
      <c r="W31" s="76">
        <f t="shared" si="13"/>
        <v>16</v>
      </c>
      <c r="X31" s="76">
        <f t="shared" si="13"/>
        <v>16</v>
      </c>
      <c r="Y31" s="76">
        <f t="shared" si="13"/>
        <v>18</v>
      </c>
      <c r="Z31" s="76">
        <f t="shared" si="13"/>
        <v>23</v>
      </c>
      <c r="AA31" s="76">
        <f t="shared" si="13"/>
        <v>23</v>
      </c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</row>
    <row r="32" ht="12.75" customHeight="1">
      <c r="A32" s="79"/>
      <c r="B32" s="76"/>
      <c r="C32" s="76" t="s">
        <v>87</v>
      </c>
      <c r="D32" s="76">
        <f t="shared" si="10"/>
        <v>6</v>
      </c>
      <c r="E32" s="76">
        <f t="shared" ref="E32:AA32" si="14">ROUND(SUM($D21:$M21)*E$27,0)</f>
        <v>7</v>
      </c>
      <c r="F32" s="76">
        <f t="shared" si="14"/>
        <v>7</v>
      </c>
      <c r="G32" s="76">
        <f t="shared" si="14"/>
        <v>8</v>
      </c>
      <c r="H32" s="76">
        <f t="shared" si="14"/>
        <v>11</v>
      </c>
      <c r="I32" s="76">
        <f t="shared" si="14"/>
        <v>11</v>
      </c>
      <c r="J32" s="76">
        <f t="shared" si="14"/>
        <v>6</v>
      </c>
      <c r="K32" s="76">
        <f t="shared" si="14"/>
        <v>7</v>
      </c>
      <c r="L32" s="76">
        <f t="shared" si="14"/>
        <v>7</v>
      </c>
      <c r="M32" s="76">
        <f t="shared" si="14"/>
        <v>8</v>
      </c>
      <c r="N32" s="76">
        <f t="shared" si="14"/>
        <v>11</v>
      </c>
      <c r="O32" s="76">
        <f t="shared" si="14"/>
        <v>11</v>
      </c>
      <c r="P32" s="76">
        <f t="shared" si="14"/>
        <v>6</v>
      </c>
      <c r="Q32" s="76">
        <f t="shared" si="14"/>
        <v>7</v>
      </c>
      <c r="R32" s="76">
        <f t="shared" si="14"/>
        <v>7</v>
      </c>
      <c r="S32" s="76">
        <f t="shared" si="14"/>
        <v>8</v>
      </c>
      <c r="T32" s="76">
        <f t="shared" si="14"/>
        <v>11</v>
      </c>
      <c r="U32" s="76">
        <f t="shared" si="14"/>
        <v>11</v>
      </c>
      <c r="V32" s="76">
        <f t="shared" si="14"/>
        <v>6</v>
      </c>
      <c r="W32" s="76">
        <f t="shared" si="14"/>
        <v>7</v>
      </c>
      <c r="X32" s="76">
        <f t="shared" si="14"/>
        <v>7</v>
      </c>
      <c r="Y32" s="76">
        <f t="shared" si="14"/>
        <v>8</v>
      </c>
      <c r="Z32" s="76">
        <f t="shared" si="14"/>
        <v>11</v>
      </c>
      <c r="AA32" s="76">
        <f t="shared" si="14"/>
        <v>11</v>
      </c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</row>
    <row r="33" ht="12.75" customHeight="1">
      <c r="A33" s="79"/>
      <c r="B33" s="76"/>
      <c r="C33" s="76" t="s">
        <v>464</v>
      </c>
      <c r="D33" s="76">
        <f t="shared" si="10"/>
        <v>6</v>
      </c>
      <c r="E33" s="76">
        <f t="shared" ref="E33:AA33" si="15">ROUND(SUM($D22:$M22)*E$27,0)</f>
        <v>7</v>
      </c>
      <c r="F33" s="76">
        <f t="shared" si="15"/>
        <v>7</v>
      </c>
      <c r="G33" s="76">
        <f t="shared" si="15"/>
        <v>8</v>
      </c>
      <c r="H33" s="76">
        <f t="shared" si="15"/>
        <v>11</v>
      </c>
      <c r="I33" s="76">
        <f t="shared" si="15"/>
        <v>11</v>
      </c>
      <c r="J33" s="76">
        <f t="shared" si="15"/>
        <v>6</v>
      </c>
      <c r="K33" s="76">
        <f t="shared" si="15"/>
        <v>7</v>
      </c>
      <c r="L33" s="76">
        <f t="shared" si="15"/>
        <v>7</v>
      </c>
      <c r="M33" s="76">
        <f t="shared" si="15"/>
        <v>8</v>
      </c>
      <c r="N33" s="76">
        <f t="shared" si="15"/>
        <v>11</v>
      </c>
      <c r="O33" s="76">
        <f t="shared" si="15"/>
        <v>11</v>
      </c>
      <c r="P33" s="76">
        <f t="shared" si="15"/>
        <v>6</v>
      </c>
      <c r="Q33" s="76">
        <f t="shared" si="15"/>
        <v>7</v>
      </c>
      <c r="R33" s="76">
        <f t="shared" si="15"/>
        <v>7</v>
      </c>
      <c r="S33" s="76">
        <f t="shared" si="15"/>
        <v>8</v>
      </c>
      <c r="T33" s="76">
        <f t="shared" si="15"/>
        <v>11</v>
      </c>
      <c r="U33" s="76">
        <f t="shared" si="15"/>
        <v>11</v>
      </c>
      <c r="V33" s="76">
        <f t="shared" si="15"/>
        <v>6</v>
      </c>
      <c r="W33" s="76">
        <f t="shared" si="15"/>
        <v>7</v>
      </c>
      <c r="X33" s="76">
        <f t="shared" si="15"/>
        <v>7</v>
      </c>
      <c r="Y33" s="76">
        <f t="shared" si="15"/>
        <v>8</v>
      </c>
      <c r="Z33" s="76">
        <f t="shared" si="15"/>
        <v>11</v>
      </c>
      <c r="AA33" s="76">
        <f t="shared" si="15"/>
        <v>11</v>
      </c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</row>
    <row r="34" ht="12.75" customHeight="1">
      <c r="A34" s="79"/>
      <c r="B34" s="76"/>
      <c r="C34" s="76"/>
      <c r="D34" s="93">
        <f t="shared" ref="D34:AA34" si="16">SUM(D28:D33)</f>
        <v>63</v>
      </c>
      <c r="E34" s="93">
        <f t="shared" si="16"/>
        <v>76</v>
      </c>
      <c r="F34" s="93">
        <f t="shared" si="16"/>
        <v>76</v>
      </c>
      <c r="G34" s="93">
        <f t="shared" si="16"/>
        <v>87</v>
      </c>
      <c r="H34" s="93">
        <f t="shared" si="16"/>
        <v>113</v>
      </c>
      <c r="I34" s="93">
        <f t="shared" si="16"/>
        <v>113</v>
      </c>
      <c r="J34" s="93">
        <f t="shared" si="16"/>
        <v>63</v>
      </c>
      <c r="K34" s="93">
        <f t="shared" si="16"/>
        <v>76</v>
      </c>
      <c r="L34" s="93">
        <f t="shared" si="16"/>
        <v>76</v>
      </c>
      <c r="M34" s="93">
        <f t="shared" si="16"/>
        <v>87</v>
      </c>
      <c r="N34" s="93">
        <f t="shared" si="16"/>
        <v>113</v>
      </c>
      <c r="O34" s="93">
        <f t="shared" si="16"/>
        <v>113</v>
      </c>
      <c r="P34" s="93">
        <f t="shared" si="16"/>
        <v>63</v>
      </c>
      <c r="Q34" s="93">
        <f t="shared" si="16"/>
        <v>76</v>
      </c>
      <c r="R34" s="93">
        <f t="shared" si="16"/>
        <v>76</v>
      </c>
      <c r="S34" s="93">
        <f t="shared" si="16"/>
        <v>87</v>
      </c>
      <c r="T34" s="93">
        <f t="shared" si="16"/>
        <v>113</v>
      </c>
      <c r="U34" s="93">
        <f t="shared" si="16"/>
        <v>113</v>
      </c>
      <c r="V34" s="93">
        <f t="shared" si="16"/>
        <v>63</v>
      </c>
      <c r="W34" s="93">
        <f t="shared" si="16"/>
        <v>76</v>
      </c>
      <c r="X34" s="93">
        <f t="shared" si="16"/>
        <v>76</v>
      </c>
      <c r="Y34" s="93">
        <f t="shared" si="16"/>
        <v>87</v>
      </c>
      <c r="Z34" s="93">
        <f t="shared" si="16"/>
        <v>113</v>
      </c>
      <c r="AA34" s="93">
        <f t="shared" si="16"/>
        <v>113</v>
      </c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</row>
    <row r="35" ht="12.75" customHeight="1">
      <c r="A35" s="79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</row>
    <row r="36" ht="12.75" customHeight="1">
      <c r="A36" s="79"/>
      <c r="B36" s="76"/>
      <c r="C36" s="80" t="s">
        <v>158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</row>
    <row r="37" ht="12.75" customHeight="1">
      <c r="A37" s="79"/>
      <c r="B37" s="76"/>
      <c r="C37" s="76"/>
      <c r="D37" s="76">
        <v>2024.0</v>
      </c>
      <c r="E37" s="76"/>
      <c r="F37" s="76"/>
      <c r="G37" s="76"/>
      <c r="H37" s="76"/>
      <c r="I37" s="76"/>
      <c r="J37" s="76"/>
      <c r="K37" s="95" t="s">
        <v>465</v>
      </c>
      <c r="L37" s="76"/>
      <c r="M37" s="76"/>
      <c r="N37" s="76"/>
      <c r="O37" s="76"/>
      <c r="P37" s="76">
        <v>2025.0</v>
      </c>
      <c r="Q37" s="76"/>
      <c r="R37" s="76"/>
      <c r="S37" s="76"/>
      <c r="T37" s="76"/>
      <c r="U37" s="76"/>
      <c r="V37" s="76"/>
      <c r="W37" s="95" t="s">
        <v>465</v>
      </c>
      <c r="X37" s="76"/>
      <c r="Y37" s="76"/>
      <c r="Z37" s="76"/>
      <c r="AA37" s="76"/>
      <c r="AB37" s="76">
        <v>2026.0</v>
      </c>
      <c r="AC37" s="76"/>
      <c r="AD37" s="76"/>
      <c r="AE37" s="76"/>
      <c r="AF37" s="76"/>
      <c r="AG37" s="76"/>
      <c r="AH37" s="76"/>
      <c r="AI37" s="95" t="s">
        <v>465</v>
      </c>
      <c r="AJ37" s="76"/>
      <c r="AK37" s="76"/>
      <c r="AL37" s="76"/>
      <c r="AM37" s="76"/>
      <c r="AN37" s="76">
        <v>2027.0</v>
      </c>
      <c r="AO37" s="76"/>
      <c r="AP37" s="76"/>
      <c r="AQ37" s="76"/>
      <c r="AR37" s="76"/>
      <c r="AS37" s="76"/>
      <c r="AT37" s="76"/>
      <c r="AU37" s="95" t="s">
        <v>465</v>
      </c>
      <c r="AV37" s="76"/>
      <c r="AW37" s="76"/>
      <c r="AX37" s="76"/>
      <c r="AY37" s="76"/>
    </row>
    <row r="38" ht="12.75" customHeight="1">
      <c r="A38" s="79"/>
      <c r="B38" s="76"/>
      <c r="C38" s="82" t="s">
        <v>159</v>
      </c>
      <c r="D38" s="76">
        <v>1.0</v>
      </c>
      <c r="E38" s="76">
        <v>2.0</v>
      </c>
      <c r="F38" s="76">
        <v>3.0</v>
      </c>
      <c r="G38" s="76">
        <v>4.0</v>
      </c>
      <c r="H38" s="76">
        <v>5.0</v>
      </c>
      <c r="I38" s="76">
        <v>6.0</v>
      </c>
      <c r="J38" s="76">
        <v>7.0</v>
      </c>
      <c r="K38" s="76">
        <v>8.0</v>
      </c>
      <c r="L38" s="76">
        <v>9.0</v>
      </c>
      <c r="M38" s="76">
        <v>10.0</v>
      </c>
      <c r="N38" s="76">
        <v>11.0</v>
      </c>
      <c r="O38" s="76">
        <v>12.0</v>
      </c>
      <c r="P38" s="76">
        <v>1.0</v>
      </c>
      <c r="Q38" s="76">
        <v>2.0</v>
      </c>
      <c r="R38" s="76">
        <v>3.0</v>
      </c>
      <c r="S38" s="76">
        <v>4.0</v>
      </c>
      <c r="T38" s="76">
        <v>5.0</v>
      </c>
      <c r="U38" s="76">
        <v>6.0</v>
      </c>
      <c r="V38" s="76">
        <v>7.0</v>
      </c>
      <c r="W38" s="76">
        <v>8.0</v>
      </c>
      <c r="X38" s="76">
        <v>9.0</v>
      </c>
      <c r="Y38" s="76">
        <v>10.0</v>
      </c>
      <c r="Z38" s="76">
        <v>11.0</v>
      </c>
      <c r="AA38" s="76">
        <v>12.0</v>
      </c>
      <c r="AB38" s="76">
        <v>1.0</v>
      </c>
      <c r="AC38" s="76">
        <v>2.0</v>
      </c>
      <c r="AD38" s="76">
        <v>3.0</v>
      </c>
      <c r="AE38" s="76">
        <v>4.0</v>
      </c>
      <c r="AF38" s="76">
        <v>5.0</v>
      </c>
      <c r="AG38" s="76">
        <v>6.0</v>
      </c>
      <c r="AH38" s="76">
        <v>7.0</v>
      </c>
      <c r="AI38" s="76">
        <v>8.0</v>
      </c>
      <c r="AJ38" s="76">
        <v>9.0</v>
      </c>
      <c r="AK38" s="76">
        <v>10.0</v>
      </c>
      <c r="AL38" s="76">
        <v>11.0</v>
      </c>
      <c r="AM38" s="76">
        <v>12.0</v>
      </c>
      <c r="AN38" s="76">
        <v>1.0</v>
      </c>
      <c r="AO38" s="76">
        <v>2.0</v>
      </c>
      <c r="AP38" s="76">
        <v>3.0</v>
      </c>
      <c r="AQ38" s="76">
        <v>4.0</v>
      </c>
      <c r="AR38" s="76">
        <v>5.0</v>
      </c>
      <c r="AS38" s="76">
        <v>6.0</v>
      </c>
      <c r="AT38" s="76">
        <v>7.0</v>
      </c>
      <c r="AU38" s="76">
        <v>8.0</v>
      </c>
      <c r="AV38" s="76">
        <v>9.0</v>
      </c>
      <c r="AW38" s="76">
        <v>10.0</v>
      </c>
      <c r="AX38" s="76">
        <v>11.0</v>
      </c>
      <c r="AY38" s="76">
        <v>12.0</v>
      </c>
    </row>
    <row r="39" ht="12.75" customHeight="1">
      <c r="A39" s="79"/>
      <c r="B39" s="76"/>
      <c r="C39" s="82" t="s">
        <v>160</v>
      </c>
      <c r="D39" s="98">
        <v>0.2</v>
      </c>
      <c r="E39" s="98">
        <v>0.2</v>
      </c>
      <c r="F39" s="98">
        <v>0.25</v>
      </c>
      <c r="G39" s="98">
        <v>0.3</v>
      </c>
      <c r="H39" s="98">
        <v>0.5</v>
      </c>
      <c r="I39" s="98">
        <v>0.7</v>
      </c>
      <c r="J39" s="98">
        <v>0.7</v>
      </c>
      <c r="K39" s="98">
        <v>0.2</v>
      </c>
      <c r="L39" s="98">
        <v>0.8</v>
      </c>
      <c r="M39" s="98">
        <v>0.7</v>
      </c>
      <c r="N39" s="98">
        <v>0.8</v>
      </c>
      <c r="O39" s="98">
        <v>0.4</v>
      </c>
      <c r="P39" s="98">
        <v>0.6</v>
      </c>
      <c r="Q39" s="98">
        <v>0.8</v>
      </c>
      <c r="R39" s="98">
        <v>0.7</v>
      </c>
      <c r="S39" s="98">
        <v>0.7</v>
      </c>
      <c r="T39" s="98">
        <v>0.8</v>
      </c>
      <c r="U39" s="98">
        <v>0.9</v>
      </c>
      <c r="V39" s="98">
        <v>0.9</v>
      </c>
      <c r="W39" s="98">
        <v>0.3</v>
      </c>
      <c r="X39" s="98">
        <v>0.9</v>
      </c>
      <c r="Y39" s="98">
        <v>0.8</v>
      </c>
      <c r="Z39" s="98">
        <v>0.8</v>
      </c>
      <c r="AA39" s="98">
        <v>0.6</v>
      </c>
      <c r="AB39" s="98">
        <v>0.8</v>
      </c>
      <c r="AC39" s="98">
        <v>0.9</v>
      </c>
      <c r="AD39" s="98">
        <v>0.8</v>
      </c>
      <c r="AE39" s="98">
        <v>0.8</v>
      </c>
      <c r="AF39" s="98">
        <v>1.0</v>
      </c>
      <c r="AG39" s="98">
        <v>1.2</v>
      </c>
      <c r="AH39" s="98">
        <v>1.0</v>
      </c>
      <c r="AI39" s="98">
        <v>1.0</v>
      </c>
      <c r="AJ39" s="98">
        <v>0.9</v>
      </c>
      <c r="AK39" s="98">
        <v>0.8</v>
      </c>
      <c r="AL39" s="98">
        <v>0.8</v>
      </c>
      <c r="AM39" s="98">
        <v>0.6</v>
      </c>
      <c r="AN39" s="98">
        <v>0.6</v>
      </c>
      <c r="AO39" s="98">
        <v>0.8</v>
      </c>
      <c r="AP39" s="98">
        <v>0.7</v>
      </c>
      <c r="AQ39" s="98">
        <v>0.7</v>
      </c>
      <c r="AR39" s="98">
        <v>0.8</v>
      </c>
      <c r="AS39" s="98">
        <v>0.9</v>
      </c>
      <c r="AT39" s="98">
        <v>0.9</v>
      </c>
      <c r="AU39" s="98">
        <v>0.3</v>
      </c>
      <c r="AV39" s="98">
        <v>0.9</v>
      </c>
      <c r="AW39" s="98">
        <v>0.8</v>
      </c>
      <c r="AX39" s="98">
        <v>0.8</v>
      </c>
      <c r="AY39" s="98">
        <v>0.6</v>
      </c>
    </row>
    <row r="40" ht="12.75" customHeight="1">
      <c r="A40" s="79"/>
      <c r="B40" s="76"/>
      <c r="C40" s="76" t="s">
        <v>148</v>
      </c>
      <c r="D40" s="76">
        <f t="shared" ref="D40:AY40" si="17">ROUND(SUM($D28:$AA28)*D$39,0)</f>
        <v>67</v>
      </c>
      <c r="E40" s="76">
        <f t="shared" si="17"/>
        <v>67</v>
      </c>
      <c r="F40" s="76">
        <f t="shared" si="17"/>
        <v>84</v>
      </c>
      <c r="G40" s="76">
        <f t="shared" si="17"/>
        <v>101</v>
      </c>
      <c r="H40" s="76">
        <f t="shared" si="17"/>
        <v>168</v>
      </c>
      <c r="I40" s="76">
        <f t="shared" si="17"/>
        <v>235</v>
      </c>
      <c r="J40" s="76">
        <f t="shared" si="17"/>
        <v>235</v>
      </c>
      <c r="K40" s="76">
        <f t="shared" si="17"/>
        <v>67</v>
      </c>
      <c r="L40" s="76">
        <f t="shared" si="17"/>
        <v>269</v>
      </c>
      <c r="M40" s="76">
        <f t="shared" si="17"/>
        <v>235</v>
      </c>
      <c r="N40" s="76">
        <f t="shared" si="17"/>
        <v>269</v>
      </c>
      <c r="O40" s="76">
        <f t="shared" si="17"/>
        <v>134</v>
      </c>
      <c r="P40" s="76">
        <f t="shared" si="17"/>
        <v>202</v>
      </c>
      <c r="Q40" s="76">
        <f t="shared" si="17"/>
        <v>269</v>
      </c>
      <c r="R40" s="76">
        <f t="shared" si="17"/>
        <v>235</v>
      </c>
      <c r="S40" s="76">
        <f t="shared" si="17"/>
        <v>235</v>
      </c>
      <c r="T40" s="76">
        <f t="shared" si="17"/>
        <v>269</v>
      </c>
      <c r="U40" s="76">
        <f t="shared" si="17"/>
        <v>302</v>
      </c>
      <c r="V40" s="76">
        <f t="shared" si="17"/>
        <v>302</v>
      </c>
      <c r="W40" s="76">
        <f t="shared" si="17"/>
        <v>101</v>
      </c>
      <c r="X40" s="76">
        <f t="shared" si="17"/>
        <v>302</v>
      </c>
      <c r="Y40" s="76">
        <f t="shared" si="17"/>
        <v>269</v>
      </c>
      <c r="Z40" s="76">
        <f t="shared" si="17"/>
        <v>269</v>
      </c>
      <c r="AA40" s="76">
        <f t="shared" si="17"/>
        <v>202</v>
      </c>
      <c r="AB40" s="76">
        <f t="shared" si="17"/>
        <v>269</v>
      </c>
      <c r="AC40" s="76">
        <f t="shared" si="17"/>
        <v>302</v>
      </c>
      <c r="AD40" s="76">
        <f t="shared" si="17"/>
        <v>269</v>
      </c>
      <c r="AE40" s="76">
        <f t="shared" si="17"/>
        <v>269</v>
      </c>
      <c r="AF40" s="76">
        <f t="shared" si="17"/>
        <v>336</v>
      </c>
      <c r="AG40" s="76">
        <f t="shared" si="17"/>
        <v>403</v>
      </c>
      <c r="AH40" s="76">
        <f t="shared" si="17"/>
        <v>336</v>
      </c>
      <c r="AI40" s="76">
        <f t="shared" si="17"/>
        <v>336</v>
      </c>
      <c r="AJ40" s="76">
        <f t="shared" si="17"/>
        <v>302</v>
      </c>
      <c r="AK40" s="76">
        <f t="shared" si="17"/>
        <v>269</v>
      </c>
      <c r="AL40" s="76">
        <f t="shared" si="17"/>
        <v>269</v>
      </c>
      <c r="AM40" s="76">
        <f t="shared" si="17"/>
        <v>202</v>
      </c>
      <c r="AN40" s="76">
        <f t="shared" si="17"/>
        <v>202</v>
      </c>
      <c r="AO40" s="76">
        <f t="shared" si="17"/>
        <v>269</v>
      </c>
      <c r="AP40" s="76">
        <f t="shared" si="17"/>
        <v>235</v>
      </c>
      <c r="AQ40" s="76">
        <f t="shared" si="17"/>
        <v>235</v>
      </c>
      <c r="AR40" s="76">
        <f t="shared" si="17"/>
        <v>269</v>
      </c>
      <c r="AS40" s="76">
        <f t="shared" si="17"/>
        <v>302</v>
      </c>
      <c r="AT40" s="76">
        <f t="shared" si="17"/>
        <v>302</v>
      </c>
      <c r="AU40" s="76">
        <f t="shared" si="17"/>
        <v>101</v>
      </c>
      <c r="AV40" s="76">
        <f t="shared" si="17"/>
        <v>302</v>
      </c>
      <c r="AW40" s="76">
        <f t="shared" si="17"/>
        <v>269</v>
      </c>
      <c r="AX40" s="76">
        <f t="shared" si="17"/>
        <v>269</v>
      </c>
      <c r="AY40" s="76">
        <f t="shared" si="17"/>
        <v>202</v>
      </c>
    </row>
    <row r="41" ht="12.75" customHeight="1">
      <c r="A41" s="79"/>
      <c r="B41" s="76"/>
      <c r="C41" s="76" t="s">
        <v>76</v>
      </c>
      <c r="D41" s="76">
        <f t="shared" ref="D41:AY41" si="18">ROUND(SUM($D29:$AA29)*D$39,0)</f>
        <v>87</v>
      </c>
      <c r="E41" s="76">
        <f t="shared" si="18"/>
        <v>87</v>
      </c>
      <c r="F41" s="76">
        <f t="shared" si="18"/>
        <v>109</v>
      </c>
      <c r="G41" s="76">
        <f t="shared" si="18"/>
        <v>131</v>
      </c>
      <c r="H41" s="76">
        <f t="shared" si="18"/>
        <v>218</v>
      </c>
      <c r="I41" s="76">
        <f t="shared" si="18"/>
        <v>305</v>
      </c>
      <c r="J41" s="76">
        <f t="shared" si="18"/>
        <v>305</v>
      </c>
      <c r="K41" s="76">
        <f t="shared" si="18"/>
        <v>87</v>
      </c>
      <c r="L41" s="76">
        <f t="shared" si="18"/>
        <v>349</v>
      </c>
      <c r="M41" s="76">
        <f t="shared" si="18"/>
        <v>305</v>
      </c>
      <c r="N41" s="76">
        <f t="shared" si="18"/>
        <v>349</v>
      </c>
      <c r="O41" s="76">
        <f t="shared" si="18"/>
        <v>174</v>
      </c>
      <c r="P41" s="76">
        <f t="shared" si="18"/>
        <v>262</v>
      </c>
      <c r="Q41" s="76">
        <f t="shared" si="18"/>
        <v>349</v>
      </c>
      <c r="R41" s="76">
        <f t="shared" si="18"/>
        <v>305</v>
      </c>
      <c r="S41" s="76">
        <f t="shared" si="18"/>
        <v>305</v>
      </c>
      <c r="T41" s="76">
        <f t="shared" si="18"/>
        <v>349</v>
      </c>
      <c r="U41" s="76">
        <f t="shared" si="18"/>
        <v>392</v>
      </c>
      <c r="V41" s="76">
        <f t="shared" si="18"/>
        <v>392</v>
      </c>
      <c r="W41" s="76">
        <f t="shared" si="18"/>
        <v>131</v>
      </c>
      <c r="X41" s="76">
        <f t="shared" si="18"/>
        <v>392</v>
      </c>
      <c r="Y41" s="76">
        <f t="shared" si="18"/>
        <v>349</v>
      </c>
      <c r="Z41" s="76">
        <f t="shared" si="18"/>
        <v>349</v>
      </c>
      <c r="AA41" s="76">
        <f t="shared" si="18"/>
        <v>262</v>
      </c>
      <c r="AB41" s="76">
        <f t="shared" si="18"/>
        <v>349</v>
      </c>
      <c r="AC41" s="76">
        <f t="shared" si="18"/>
        <v>392</v>
      </c>
      <c r="AD41" s="76">
        <f t="shared" si="18"/>
        <v>349</v>
      </c>
      <c r="AE41" s="76">
        <f t="shared" si="18"/>
        <v>349</v>
      </c>
      <c r="AF41" s="76">
        <f t="shared" si="18"/>
        <v>436</v>
      </c>
      <c r="AG41" s="76">
        <f t="shared" si="18"/>
        <v>523</v>
      </c>
      <c r="AH41" s="76">
        <f t="shared" si="18"/>
        <v>436</v>
      </c>
      <c r="AI41" s="76">
        <f t="shared" si="18"/>
        <v>436</v>
      </c>
      <c r="AJ41" s="76">
        <f t="shared" si="18"/>
        <v>392</v>
      </c>
      <c r="AK41" s="76">
        <f t="shared" si="18"/>
        <v>349</v>
      </c>
      <c r="AL41" s="76">
        <f t="shared" si="18"/>
        <v>349</v>
      </c>
      <c r="AM41" s="76">
        <f t="shared" si="18"/>
        <v>262</v>
      </c>
      <c r="AN41" s="76">
        <f t="shared" si="18"/>
        <v>262</v>
      </c>
      <c r="AO41" s="76">
        <f t="shared" si="18"/>
        <v>349</v>
      </c>
      <c r="AP41" s="76">
        <f t="shared" si="18"/>
        <v>305</v>
      </c>
      <c r="AQ41" s="76">
        <f t="shared" si="18"/>
        <v>305</v>
      </c>
      <c r="AR41" s="76">
        <f t="shared" si="18"/>
        <v>349</v>
      </c>
      <c r="AS41" s="76">
        <f t="shared" si="18"/>
        <v>392</v>
      </c>
      <c r="AT41" s="76">
        <f t="shared" si="18"/>
        <v>392</v>
      </c>
      <c r="AU41" s="76">
        <f t="shared" si="18"/>
        <v>131</v>
      </c>
      <c r="AV41" s="76">
        <f t="shared" si="18"/>
        <v>392</v>
      </c>
      <c r="AW41" s="76">
        <f t="shared" si="18"/>
        <v>349</v>
      </c>
      <c r="AX41" s="76">
        <f t="shared" si="18"/>
        <v>349</v>
      </c>
      <c r="AY41" s="76">
        <f t="shared" si="18"/>
        <v>262</v>
      </c>
    </row>
    <row r="42" ht="12.75" customHeight="1">
      <c r="A42" s="79"/>
      <c r="B42" s="76"/>
      <c r="C42" s="76" t="s">
        <v>80</v>
      </c>
      <c r="D42" s="76">
        <f t="shared" ref="D42:AY42" si="19">ROUND(SUM($D30:$AA30)*D$39,0)</f>
        <v>101</v>
      </c>
      <c r="E42" s="76">
        <f t="shared" si="19"/>
        <v>101</v>
      </c>
      <c r="F42" s="76">
        <f t="shared" si="19"/>
        <v>126</v>
      </c>
      <c r="G42" s="76">
        <f t="shared" si="19"/>
        <v>151</v>
      </c>
      <c r="H42" s="76">
        <f t="shared" si="19"/>
        <v>252</v>
      </c>
      <c r="I42" s="76">
        <f t="shared" si="19"/>
        <v>353</v>
      </c>
      <c r="J42" s="76">
        <f t="shared" si="19"/>
        <v>353</v>
      </c>
      <c r="K42" s="76">
        <f t="shared" si="19"/>
        <v>101</v>
      </c>
      <c r="L42" s="76">
        <f t="shared" si="19"/>
        <v>403</v>
      </c>
      <c r="M42" s="76">
        <f t="shared" si="19"/>
        <v>353</v>
      </c>
      <c r="N42" s="76">
        <f t="shared" si="19"/>
        <v>403</v>
      </c>
      <c r="O42" s="76">
        <f t="shared" si="19"/>
        <v>202</v>
      </c>
      <c r="P42" s="76">
        <f t="shared" si="19"/>
        <v>302</v>
      </c>
      <c r="Q42" s="76">
        <f t="shared" si="19"/>
        <v>403</v>
      </c>
      <c r="R42" s="76">
        <f t="shared" si="19"/>
        <v>353</v>
      </c>
      <c r="S42" s="76">
        <f t="shared" si="19"/>
        <v>353</v>
      </c>
      <c r="T42" s="76">
        <f t="shared" si="19"/>
        <v>403</v>
      </c>
      <c r="U42" s="76">
        <f t="shared" si="19"/>
        <v>454</v>
      </c>
      <c r="V42" s="76">
        <f t="shared" si="19"/>
        <v>454</v>
      </c>
      <c r="W42" s="76">
        <f t="shared" si="19"/>
        <v>151</v>
      </c>
      <c r="X42" s="76">
        <f t="shared" si="19"/>
        <v>454</v>
      </c>
      <c r="Y42" s="76">
        <f t="shared" si="19"/>
        <v>403</v>
      </c>
      <c r="Z42" s="76">
        <f t="shared" si="19"/>
        <v>403</v>
      </c>
      <c r="AA42" s="76">
        <f t="shared" si="19"/>
        <v>302</v>
      </c>
      <c r="AB42" s="76">
        <f t="shared" si="19"/>
        <v>403</v>
      </c>
      <c r="AC42" s="76">
        <f t="shared" si="19"/>
        <v>454</v>
      </c>
      <c r="AD42" s="76">
        <f t="shared" si="19"/>
        <v>403</v>
      </c>
      <c r="AE42" s="76">
        <f t="shared" si="19"/>
        <v>403</v>
      </c>
      <c r="AF42" s="76">
        <f t="shared" si="19"/>
        <v>504</v>
      </c>
      <c r="AG42" s="76">
        <f t="shared" si="19"/>
        <v>605</v>
      </c>
      <c r="AH42" s="76">
        <f t="shared" si="19"/>
        <v>504</v>
      </c>
      <c r="AI42" s="76">
        <f t="shared" si="19"/>
        <v>504</v>
      </c>
      <c r="AJ42" s="76">
        <f t="shared" si="19"/>
        <v>454</v>
      </c>
      <c r="AK42" s="76">
        <f t="shared" si="19"/>
        <v>403</v>
      </c>
      <c r="AL42" s="76">
        <f t="shared" si="19"/>
        <v>403</v>
      </c>
      <c r="AM42" s="76">
        <f t="shared" si="19"/>
        <v>302</v>
      </c>
      <c r="AN42" s="76">
        <f t="shared" si="19"/>
        <v>302</v>
      </c>
      <c r="AO42" s="76">
        <f t="shared" si="19"/>
        <v>403</v>
      </c>
      <c r="AP42" s="76">
        <f t="shared" si="19"/>
        <v>353</v>
      </c>
      <c r="AQ42" s="76">
        <f t="shared" si="19"/>
        <v>353</v>
      </c>
      <c r="AR42" s="76">
        <f t="shared" si="19"/>
        <v>403</v>
      </c>
      <c r="AS42" s="76">
        <f t="shared" si="19"/>
        <v>454</v>
      </c>
      <c r="AT42" s="76">
        <f t="shared" si="19"/>
        <v>454</v>
      </c>
      <c r="AU42" s="76">
        <f t="shared" si="19"/>
        <v>151</v>
      </c>
      <c r="AV42" s="76">
        <f t="shared" si="19"/>
        <v>454</v>
      </c>
      <c r="AW42" s="76">
        <f t="shared" si="19"/>
        <v>403</v>
      </c>
      <c r="AX42" s="76">
        <f t="shared" si="19"/>
        <v>403</v>
      </c>
      <c r="AY42" s="76">
        <f t="shared" si="19"/>
        <v>302</v>
      </c>
    </row>
    <row r="43" ht="12.75" customHeight="1">
      <c r="A43" s="79"/>
      <c r="B43" s="76"/>
      <c r="C43" s="76" t="s">
        <v>83</v>
      </c>
      <c r="D43" s="76">
        <f t="shared" ref="D43:AY43" si="20">ROUND(SUM($D31:$AA31)*D$39,0)</f>
        <v>87</v>
      </c>
      <c r="E43" s="76">
        <f t="shared" si="20"/>
        <v>87</v>
      </c>
      <c r="F43" s="76">
        <f t="shared" si="20"/>
        <v>109</v>
      </c>
      <c r="G43" s="76">
        <f t="shared" si="20"/>
        <v>131</v>
      </c>
      <c r="H43" s="76">
        <f t="shared" si="20"/>
        <v>218</v>
      </c>
      <c r="I43" s="76">
        <f t="shared" si="20"/>
        <v>305</v>
      </c>
      <c r="J43" s="76">
        <f t="shared" si="20"/>
        <v>305</v>
      </c>
      <c r="K43" s="76">
        <f t="shared" si="20"/>
        <v>87</v>
      </c>
      <c r="L43" s="76">
        <f t="shared" si="20"/>
        <v>349</v>
      </c>
      <c r="M43" s="76">
        <f t="shared" si="20"/>
        <v>305</v>
      </c>
      <c r="N43" s="76">
        <f t="shared" si="20"/>
        <v>349</v>
      </c>
      <c r="O43" s="76">
        <f t="shared" si="20"/>
        <v>174</v>
      </c>
      <c r="P43" s="76">
        <f t="shared" si="20"/>
        <v>262</v>
      </c>
      <c r="Q43" s="76">
        <f t="shared" si="20"/>
        <v>349</v>
      </c>
      <c r="R43" s="76">
        <f t="shared" si="20"/>
        <v>305</v>
      </c>
      <c r="S43" s="76">
        <f t="shared" si="20"/>
        <v>305</v>
      </c>
      <c r="T43" s="76">
        <f t="shared" si="20"/>
        <v>349</v>
      </c>
      <c r="U43" s="76">
        <f t="shared" si="20"/>
        <v>392</v>
      </c>
      <c r="V43" s="76">
        <f t="shared" si="20"/>
        <v>392</v>
      </c>
      <c r="W43" s="76">
        <f t="shared" si="20"/>
        <v>131</v>
      </c>
      <c r="X43" s="76">
        <f t="shared" si="20"/>
        <v>392</v>
      </c>
      <c r="Y43" s="76">
        <f t="shared" si="20"/>
        <v>349</v>
      </c>
      <c r="Z43" s="76">
        <f t="shared" si="20"/>
        <v>349</v>
      </c>
      <c r="AA43" s="76">
        <f t="shared" si="20"/>
        <v>262</v>
      </c>
      <c r="AB43" s="76">
        <f t="shared" si="20"/>
        <v>349</v>
      </c>
      <c r="AC43" s="76">
        <f t="shared" si="20"/>
        <v>392</v>
      </c>
      <c r="AD43" s="76">
        <f t="shared" si="20"/>
        <v>349</v>
      </c>
      <c r="AE43" s="76">
        <f t="shared" si="20"/>
        <v>349</v>
      </c>
      <c r="AF43" s="76">
        <f t="shared" si="20"/>
        <v>436</v>
      </c>
      <c r="AG43" s="76">
        <f t="shared" si="20"/>
        <v>523</v>
      </c>
      <c r="AH43" s="76">
        <f t="shared" si="20"/>
        <v>436</v>
      </c>
      <c r="AI43" s="76">
        <f t="shared" si="20"/>
        <v>436</v>
      </c>
      <c r="AJ43" s="76">
        <f t="shared" si="20"/>
        <v>392</v>
      </c>
      <c r="AK43" s="76">
        <f t="shared" si="20"/>
        <v>349</v>
      </c>
      <c r="AL43" s="76">
        <f t="shared" si="20"/>
        <v>349</v>
      </c>
      <c r="AM43" s="76">
        <f t="shared" si="20"/>
        <v>262</v>
      </c>
      <c r="AN43" s="76">
        <f t="shared" si="20"/>
        <v>262</v>
      </c>
      <c r="AO43" s="76">
        <f t="shared" si="20"/>
        <v>349</v>
      </c>
      <c r="AP43" s="76">
        <f t="shared" si="20"/>
        <v>305</v>
      </c>
      <c r="AQ43" s="76">
        <f t="shared" si="20"/>
        <v>305</v>
      </c>
      <c r="AR43" s="76">
        <f t="shared" si="20"/>
        <v>349</v>
      </c>
      <c r="AS43" s="76">
        <f t="shared" si="20"/>
        <v>392</v>
      </c>
      <c r="AT43" s="76">
        <f t="shared" si="20"/>
        <v>392</v>
      </c>
      <c r="AU43" s="76">
        <f t="shared" si="20"/>
        <v>131</v>
      </c>
      <c r="AV43" s="76">
        <f t="shared" si="20"/>
        <v>392</v>
      </c>
      <c r="AW43" s="76">
        <f t="shared" si="20"/>
        <v>349</v>
      </c>
      <c r="AX43" s="76">
        <f t="shared" si="20"/>
        <v>349</v>
      </c>
      <c r="AY43" s="76">
        <f t="shared" si="20"/>
        <v>262</v>
      </c>
    </row>
    <row r="44" ht="12.75" customHeight="1">
      <c r="A44" s="79"/>
      <c r="B44" s="76"/>
      <c r="C44" s="76" t="s">
        <v>87</v>
      </c>
      <c r="D44" s="76">
        <f t="shared" ref="D44:AY44" si="21">ROUND(SUM($D32:$AA32)*D$39,0)</f>
        <v>40</v>
      </c>
      <c r="E44" s="76">
        <f t="shared" si="21"/>
        <v>40</v>
      </c>
      <c r="F44" s="76">
        <f t="shared" si="21"/>
        <v>50</v>
      </c>
      <c r="G44" s="76">
        <f t="shared" si="21"/>
        <v>60</v>
      </c>
      <c r="H44" s="76">
        <f t="shared" si="21"/>
        <v>100</v>
      </c>
      <c r="I44" s="76">
        <f t="shared" si="21"/>
        <v>140</v>
      </c>
      <c r="J44" s="76">
        <f t="shared" si="21"/>
        <v>140</v>
      </c>
      <c r="K44" s="76">
        <f t="shared" si="21"/>
        <v>40</v>
      </c>
      <c r="L44" s="76">
        <f t="shared" si="21"/>
        <v>160</v>
      </c>
      <c r="M44" s="76">
        <f t="shared" si="21"/>
        <v>140</v>
      </c>
      <c r="N44" s="76">
        <f t="shared" si="21"/>
        <v>160</v>
      </c>
      <c r="O44" s="76">
        <f t="shared" si="21"/>
        <v>80</v>
      </c>
      <c r="P44" s="76">
        <f t="shared" si="21"/>
        <v>120</v>
      </c>
      <c r="Q44" s="76">
        <f t="shared" si="21"/>
        <v>160</v>
      </c>
      <c r="R44" s="76">
        <f t="shared" si="21"/>
        <v>140</v>
      </c>
      <c r="S44" s="76">
        <f t="shared" si="21"/>
        <v>140</v>
      </c>
      <c r="T44" s="76">
        <f t="shared" si="21"/>
        <v>160</v>
      </c>
      <c r="U44" s="76">
        <f t="shared" si="21"/>
        <v>180</v>
      </c>
      <c r="V44" s="76">
        <f t="shared" si="21"/>
        <v>180</v>
      </c>
      <c r="W44" s="76">
        <f t="shared" si="21"/>
        <v>60</v>
      </c>
      <c r="X44" s="76">
        <f t="shared" si="21"/>
        <v>180</v>
      </c>
      <c r="Y44" s="76">
        <f t="shared" si="21"/>
        <v>160</v>
      </c>
      <c r="Z44" s="76">
        <f t="shared" si="21"/>
        <v>160</v>
      </c>
      <c r="AA44" s="76">
        <f t="shared" si="21"/>
        <v>120</v>
      </c>
      <c r="AB44" s="76">
        <f t="shared" si="21"/>
        <v>160</v>
      </c>
      <c r="AC44" s="76">
        <f t="shared" si="21"/>
        <v>180</v>
      </c>
      <c r="AD44" s="76">
        <f t="shared" si="21"/>
        <v>160</v>
      </c>
      <c r="AE44" s="76">
        <f t="shared" si="21"/>
        <v>160</v>
      </c>
      <c r="AF44" s="76">
        <f t="shared" si="21"/>
        <v>200</v>
      </c>
      <c r="AG44" s="76">
        <f t="shared" si="21"/>
        <v>240</v>
      </c>
      <c r="AH44" s="76">
        <f t="shared" si="21"/>
        <v>200</v>
      </c>
      <c r="AI44" s="76">
        <f t="shared" si="21"/>
        <v>200</v>
      </c>
      <c r="AJ44" s="76">
        <f t="shared" si="21"/>
        <v>180</v>
      </c>
      <c r="AK44" s="76">
        <f t="shared" si="21"/>
        <v>160</v>
      </c>
      <c r="AL44" s="76">
        <f t="shared" si="21"/>
        <v>160</v>
      </c>
      <c r="AM44" s="76">
        <f t="shared" si="21"/>
        <v>120</v>
      </c>
      <c r="AN44" s="76">
        <f t="shared" si="21"/>
        <v>120</v>
      </c>
      <c r="AO44" s="76">
        <f t="shared" si="21"/>
        <v>160</v>
      </c>
      <c r="AP44" s="76">
        <f t="shared" si="21"/>
        <v>140</v>
      </c>
      <c r="AQ44" s="76">
        <f t="shared" si="21"/>
        <v>140</v>
      </c>
      <c r="AR44" s="76">
        <f t="shared" si="21"/>
        <v>160</v>
      </c>
      <c r="AS44" s="76">
        <f t="shared" si="21"/>
        <v>180</v>
      </c>
      <c r="AT44" s="76">
        <f t="shared" si="21"/>
        <v>180</v>
      </c>
      <c r="AU44" s="76">
        <f t="shared" si="21"/>
        <v>60</v>
      </c>
      <c r="AV44" s="76">
        <f t="shared" si="21"/>
        <v>180</v>
      </c>
      <c r="AW44" s="76">
        <f t="shared" si="21"/>
        <v>160</v>
      </c>
      <c r="AX44" s="76">
        <f t="shared" si="21"/>
        <v>160</v>
      </c>
      <c r="AY44" s="76">
        <f t="shared" si="21"/>
        <v>120</v>
      </c>
    </row>
    <row r="45" ht="12.75" customHeight="1">
      <c r="A45" s="79"/>
      <c r="B45" s="76"/>
      <c r="C45" s="76" t="s">
        <v>464</v>
      </c>
      <c r="D45" s="76">
        <f t="shared" ref="D45:AY45" si="22">ROUND(SUM($D33:$AA33)*D$39,0)</f>
        <v>40</v>
      </c>
      <c r="E45" s="76">
        <f t="shared" si="22"/>
        <v>40</v>
      </c>
      <c r="F45" s="76">
        <f t="shared" si="22"/>
        <v>50</v>
      </c>
      <c r="G45" s="76">
        <f t="shared" si="22"/>
        <v>60</v>
      </c>
      <c r="H45" s="76">
        <f t="shared" si="22"/>
        <v>100</v>
      </c>
      <c r="I45" s="76">
        <f t="shared" si="22"/>
        <v>140</v>
      </c>
      <c r="J45" s="76">
        <f t="shared" si="22"/>
        <v>140</v>
      </c>
      <c r="K45" s="76">
        <f t="shared" si="22"/>
        <v>40</v>
      </c>
      <c r="L45" s="76">
        <f t="shared" si="22"/>
        <v>160</v>
      </c>
      <c r="M45" s="76">
        <f t="shared" si="22"/>
        <v>140</v>
      </c>
      <c r="N45" s="76">
        <f t="shared" si="22"/>
        <v>160</v>
      </c>
      <c r="O45" s="76">
        <f t="shared" si="22"/>
        <v>80</v>
      </c>
      <c r="P45" s="76">
        <f t="shared" si="22"/>
        <v>120</v>
      </c>
      <c r="Q45" s="76">
        <f t="shared" si="22"/>
        <v>160</v>
      </c>
      <c r="R45" s="76">
        <f t="shared" si="22"/>
        <v>140</v>
      </c>
      <c r="S45" s="76">
        <f t="shared" si="22"/>
        <v>140</v>
      </c>
      <c r="T45" s="76">
        <f t="shared" si="22"/>
        <v>160</v>
      </c>
      <c r="U45" s="76">
        <f t="shared" si="22"/>
        <v>180</v>
      </c>
      <c r="V45" s="76">
        <f t="shared" si="22"/>
        <v>180</v>
      </c>
      <c r="W45" s="76">
        <f t="shared" si="22"/>
        <v>60</v>
      </c>
      <c r="X45" s="76">
        <f t="shared" si="22"/>
        <v>180</v>
      </c>
      <c r="Y45" s="76">
        <f t="shared" si="22"/>
        <v>160</v>
      </c>
      <c r="Z45" s="76">
        <f t="shared" si="22"/>
        <v>160</v>
      </c>
      <c r="AA45" s="76">
        <f t="shared" si="22"/>
        <v>120</v>
      </c>
      <c r="AB45" s="76">
        <f t="shared" si="22"/>
        <v>160</v>
      </c>
      <c r="AC45" s="76">
        <f t="shared" si="22"/>
        <v>180</v>
      </c>
      <c r="AD45" s="76">
        <f t="shared" si="22"/>
        <v>160</v>
      </c>
      <c r="AE45" s="76">
        <f t="shared" si="22"/>
        <v>160</v>
      </c>
      <c r="AF45" s="76">
        <f t="shared" si="22"/>
        <v>200</v>
      </c>
      <c r="AG45" s="76">
        <f t="shared" si="22"/>
        <v>240</v>
      </c>
      <c r="AH45" s="76">
        <f t="shared" si="22"/>
        <v>200</v>
      </c>
      <c r="AI45" s="76">
        <f t="shared" si="22"/>
        <v>200</v>
      </c>
      <c r="AJ45" s="76">
        <f t="shared" si="22"/>
        <v>180</v>
      </c>
      <c r="AK45" s="76">
        <f t="shared" si="22"/>
        <v>160</v>
      </c>
      <c r="AL45" s="76">
        <f t="shared" si="22"/>
        <v>160</v>
      </c>
      <c r="AM45" s="76">
        <f t="shared" si="22"/>
        <v>120</v>
      </c>
      <c r="AN45" s="76">
        <f t="shared" si="22"/>
        <v>120</v>
      </c>
      <c r="AO45" s="76">
        <f t="shared" si="22"/>
        <v>160</v>
      </c>
      <c r="AP45" s="76">
        <f t="shared" si="22"/>
        <v>140</v>
      </c>
      <c r="AQ45" s="76">
        <f t="shared" si="22"/>
        <v>140</v>
      </c>
      <c r="AR45" s="76">
        <f t="shared" si="22"/>
        <v>160</v>
      </c>
      <c r="AS45" s="76">
        <f t="shared" si="22"/>
        <v>180</v>
      </c>
      <c r="AT45" s="76">
        <f t="shared" si="22"/>
        <v>180</v>
      </c>
      <c r="AU45" s="76">
        <f t="shared" si="22"/>
        <v>60</v>
      </c>
      <c r="AV45" s="76">
        <f t="shared" si="22"/>
        <v>180</v>
      </c>
      <c r="AW45" s="76">
        <f t="shared" si="22"/>
        <v>160</v>
      </c>
      <c r="AX45" s="76">
        <f t="shared" si="22"/>
        <v>160</v>
      </c>
      <c r="AY45" s="76">
        <f t="shared" si="22"/>
        <v>120</v>
      </c>
    </row>
    <row r="46" ht="12.75" customHeight="1">
      <c r="A46" s="79"/>
      <c r="B46" s="76"/>
      <c r="D46" s="93">
        <f t="shared" ref="D46:AY46" si="23">SUM(D40:D45)</f>
        <v>422</v>
      </c>
      <c r="E46" s="93">
        <f t="shared" si="23"/>
        <v>422</v>
      </c>
      <c r="F46" s="93">
        <f t="shared" si="23"/>
        <v>528</v>
      </c>
      <c r="G46" s="93">
        <f t="shared" si="23"/>
        <v>634</v>
      </c>
      <c r="H46" s="93">
        <f t="shared" si="23"/>
        <v>1056</v>
      </c>
      <c r="I46" s="93">
        <f t="shared" si="23"/>
        <v>1478</v>
      </c>
      <c r="J46" s="93">
        <f t="shared" si="23"/>
        <v>1478</v>
      </c>
      <c r="K46" s="93">
        <f t="shared" si="23"/>
        <v>422</v>
      </c>
      <c r="L46" s="93">
        <f t="shared" si="23"/>
        <v>1690</v>
      </c>
      <c r="M46" s="93">
        <f t="shared" si="23"/>
        <v>1478</v>
      </c>
      <c r="N46" s="93">
        <f t="shared" si="23"/>
        <v>1690</v>
      </c>
      <c r="O46" s="93">
        <f t="shared" si="23"/>
        <v>844</v>
      </c>
      <c r="P46" s="93">
        <f t="shared" si="23"/>
        <v>1268</v>
      </c>
      <c r="Q46" s="93">
        <f t="shared" si="23"/>
        <v>1690</v>
      </c>
      <c r="R46" s="93">
        <f t="shared" si="23"/>
        <v>1478</v>
      </c>
      <c r="S46" s="93">
        <f t="shared" si="23"/>
        <v>1478</v>
      </c>
      <c r="T46" s="93">
        <f t="shared" si="23"/>
        <v>1690</v>
      </c>
      <c r="U46" s="93">
        <f t="shared" si="23"/>
        <v>1900</v>
      </c>
      <c r="V46" s="93">
        <f t="shared" si="23"/>
        <v>1900</v>
      </c>
      <c r="W46" s="93">
        <f t="shared" si="23"/>
        <v>634</v>
      </c>
      <c r="X46" s="93">
        <f t="shared" si="23"/>
        <v>1900</v>
      </c>
      <c r="Y46" s="93">
        <f t="shared" si="23"/>
        <v>1690</v>
      </c>
      <c r="Z46" s="93">
        <f t="shared" si="23"/>
        <v>1690</v>
      </c>
      <c r="AA46" s="93">
        <f t="shared" si="23"/>
        <v>1268</v>
      </c>
      <c r="AB46" s="93">
        <f t="shared" si="23"/>
        <v>1690</v>
      </c>
      <c r="AC46" s="93">
        <f t="shared" si="23"/>
        <v>1900</v>
      </c>
      <c r="AD46" s="93">
        <f t="shared" si="23"/>
        <v>1690</v>
      </c>
      <c r="AE46" s="93">
        <f t="shared" si="23"/>
        <v>1690</v>
      </c>
      <c r="AF46" s="93">
        <f t="shared" si="23"/>
        <v>2112</v>
      </c>
      <c r="AG46" s="93">
        <f t="shared" si="23"/>
        <v>2534</v>
      </c>
      <c r="AH46" s="93">
        <f t="shared" si="23"/>
        <v>2112</v>
      </c>
      <c r="AI46" s="93">
        <f t="shared" si="23"/>
        <v>2112</v>
      </c>
      <c r="AJ46" s="93">
        <f t="shared" si="23"/>
        <v>1900</v>
      </c>
      <c r="AK46" s="93">
        <f t="shared" si="23"/>
        <v>1690</v>
      </c>
      <c r="AL46" s="93">
        <f t="shared" si="23"/>
        <v>1690</v>
      </c>
      <c r="AM46" s="93">
        <f t="shared" si="23"/>
        <v>1268</v>
      </c>
      <c r="AN46" s="93">
        <f t="shared" si="23"/>
        <v>1268</v>
      </c>
      <c r="AO46" s="93">
        <f t="shared" si="23"/>
        <v>1690</v>
      </c>
      <c r="AP46" s="93">
        <f t="shared" si="23"/>
        <v>1478</v>
      </c>
      <c r="AQ46" s="93">
        <f t="shared" si="23"/>
        <v>1478</v>
      </c>
      <c r="AR46" s="93">
        <f t="shared" si="23"/>
        <v>1690</v>
      </c>
      <c r="AS46" s="93">
        <f t="shared" si="23"/>
        <v>1900</v>
      </c>
      <c r="AT46" s="93">
        <f t="shared" si="23"/>
        <v>1900</v>
      </c>
      <c r="AU46" s="93">
        <f t="shared" si="23"/>
        <v>634</v>
      </c>
      <c r="AV46" s="93">
        <f t="shared" si="23"/>
        <v>1900</v>
      </c>
      <c r="AW46" s="93">
        <f t="shared" si="23"/>
        <v>1690</v>
      </c>
      <c r="AX46" s="93">
        <f t="shared" si="23"/>
        <v>1690</v>
      </c>
      <c r="AY46" s="93">
        <f t="shared" si="23"/>
        <v>1268</v>
      </c>
    </row>
    <row r="47" ht="12.75" customHeight="1">
      <c r="A47" s="79"/>
      <c r="B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</row>
    <row r="48" ht="12.75" customHeight="1">
      <c r="A48" s="79"/>
      <c r="B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</row>
    <row r="49" ht="12.75" customHeight="1">
      <c r="A49" s="79"/>
      <c r="B49" s="76"/>
      <c r="C49" s="80" t="s">
        <v>163</v>
      </c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</row>
    <row r="50" ht="12.75" customHeight="1">
      <c r="A50" s="79"/>
      <c r="B50" s="76"/>
      <c r="C50" s="76"/>
      <c r="D50" s="76">
        <v>2024.0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>
        <v>2025.0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</row>
    <row r="51" ht="12.75" customHeight="1">
      <c r="A51" s="79"/>
      <c r="B51" s="76"/>
      <c r="C51" s="82" t="s">
        <v>159</v>
      </c>
      <c r="D51" s="76">
        <v>1.0</v>
      </c>
      <c r="E51" s="76">
        <v>2.0</v>
      </c>
      <c r="F51" s="76">
        <v>3.0</v>
      </c>
      <c r="G51" s="76">
        <v>4.0</v>
      </c>
      <c r="H51" s="76">
        <v>5.0</v>
      </c>
      <c r="I51" s="76">
        <v>6.0</v>
      </c>
      <c r="J51" s="76">
        <v>7.0</v>
      </c>
      <c r="K51" s="76">
        <v>8.0</v>
      </c>
      <c r="L51" s="76">
        <v>9.0</v>
      </c>
      <c r="M51" s="76">
        <v>10.0</v>
      </c>
      <c r="N51" s="76">
        <v>11.0</v>
      </c>
      <c r="O51" s="76">
        <v>12.0</v>
      </c>
      <c r="P51" s="76">
        <v>1.0</v>
      </c>
      <c r="Q51" s="76">
        <v>2.0</v>
      </c>
      <c r="R51" s="76">
        <v>3.0</v>
      </c>
      <c r="S51" s="76">
        <v>4.0</v>
      </c>
      <c r="T51" s="76">
        <v>5.0</v>
      </c>
      <c r="U51" s="76">
        <v>6.0</v>
      </c>
      <c r="V51" s="76">
        <v>7.0</v>
      </c>
      <c r="W51" s="76">
        <v>8.0</v>
      </c>
      <c r="X51" s="76">
        <v>9.0</v>
      </c>
      <c r="Y51" s="76">
        <v>10.0</v>
      </c>
      <c r="Z51" s="76">
        <v>11.0</v>
      </c>
      <c r="AA51" s="76">
        <v>12.0</v>
      </c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</row>
    <row r="52" ht="12.75" customHeight="1">
      <c r="A52" s="79"/>
      <c r="B52" s="76"/>
      <c r="C52" s="82" t="s">
        <v>164</v>
      </c>
      <c r="D52" s="107">
        <f t="shared" ref="D52:AA52" si="24">D53/24</f>
        <v>194.4393939</v>
      </c>
      <c r="E52" s="107">
        <f t="shared" si="24"/>
        <v>194.4393939</v>
      </c>
      <c r="F52" s="107">
        <f t="shared" si="24"/>
        <v>243.2348485</v>
      </c>
      <c r="G52" s="107">
        <f t="shared" si="24"/>
        <v>292.030303</v>
      </c>
      <c r="H52" s="107">
        <f t="shared" si="24"/>
        <v>486.469697</v>
      </c>
      <c r="I52" s="107">
        <f t="shared" si="24"/>
        <v>680.9090909</v>
      </c>
      <c r="J52" s="107">
        <f t="shared" si="24"/>
        <v>680.9090909</v>
      </c>
      <c r="K52" s="107">
        <f t="shared" si="24"/>
        <v>194.4393939</v>
      </c>
      <c r="L52" s="107">
        <f t="shared" si="24"/>
        <v>778.5</v>
      </c>
      <c r="M52" s="107">
        <f t="shared" si="24"/>
        <v>680.9090909</v>
      </c>
      <c r="N52" s="107">
        <f t="shared" si="24"/>
        <v>778.5</v>
      </c>
      <c r="O52" s="107">
        <f t="shared" si="24"/>
        <v>388.8787879</v>
      </c>
      <c r="P52" s="107">
        <f t="shared" si="24"/>
        <v>584.0606061</v>
      </c>
      <c r="Q52" s="107">
        <f t="shared" si="24"/>
        <v>778.5</v>
      </c>
      <c r="R52" s="107">
        <f t="shared" si="24"/>
        <v>680.9090909</v>
      </c>
      <c r="S52" s="107">
        <f t="shared" si="24"/>
        <v>680.9090909</v>
      </c>
      <c r="T52" s="107">
        <f t="shared" si="24"/>
        <v>778.5</v>
      </c>
      <c r="U52" s="107">
        <f t="shared" si="24"/>
        <v>875.3484848</v>
      </c>
      <c r="V52" s="107">
        <f t="shared" si="24"/>
        <v>875.3484848</v>
      </c>
      <c r="W52" s="107">
        <f t="shared" si="24"/>
        <v>292.030303</v>
      </c>
      <c r="X52" s="107">
        <f t="shared" si="24"/>
        <v>875.3484848</v>
      </c>
      <c r="Y52" s="107">
        <f t="shared" si="24"/>
        <v>778.5</v>
      </c>
      <c r="Z52" s="107">
        <f t="shared" si="24"/>
        <v>778.5</v>
      </c>
      <c r="AA52" s="107">
        <f t="shared" si="24"/>
        <v>584.0606061</v>
      </c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</row>
    <row r="53" ht="12.75" customHeight="1">
      <c r="A53" s="79"/>
      <c r="B53" s="76"/>
      <c r="C53" s="82" t="s">
        <v>165</v>
      </c>
      <c r="D53" s="108">
        <f t="shared" ref="D53:AA53" si="25">SUM(D54:D59)</f>
        <v>4666.545455</v>
      </c>
      <c r="E53" s="108">
        <f t="shared" si="25"/>
        <v>4666.545455</v>
      </c>
      <c r="F53" s="108">
        <f t="shared" si="25"/>
        <v>5837.636364</v>
      </c>
      <c r="G53" s="108">
        <f t="shared" si="25"/>
        <v>7008.727273</v>
      </c>
      <c r="H53" s="108">
        <f t="shared" si="25"/>
        <v>11675.27273</v>
      </c>
      <c r="I53" s="108">
        <f t="shared" si="25"/>
        <v>16341.81818</v>
      </c>
      <c r="J53" s="108">
        <f t="shared" si="25"/>
        <v>16341.81818</v>
      </c>
      <c r="K53" s="108">
        <f t="shared" si="25"/>
        <v>4666.545455</v>
      </c>
      <c r="L53" s="108">
        <f t="shared" si="25"/>
        <v>18684</v>
      </c>
      <c r="M53" s="108">
        <f t="shared" si="25"/>
        <v>16341.81818</v>
      </c>
      <c r="N53" s="108">
        <f t="shared" si="25"/>
        <v>18684</v>
      </c>
      <c r="O53" s="108">
        <f t="shared" si="25"/>
        <v>9333.090909</v>
      </c>
      <c r="P53" s="109">
        <f t="shared" si="25"/>
        <v>14017.45455</v>
      </c>
      <c r="Q53" s="109">
        <f t="shared" si="25"/>
        <v>18684</v>
      </c>
      <c r="R53" s="109">
        <f t="shared" si="25"/>
        <v>16341.81818</v>
      </c>
      <c r="S53" s="109">
        <f t="shared" si="25"/>
        <v>16341.81818</v>
      </c>
      <c r="T53" s="109">
        <f t="shared" si="25"/>
        <v>18684</v>
      </c>
      <c r="U53" s="109">
        <f t="shared" si="25"/>
        <v>21008.36364</v>
      </c>
      <c r="V53" s="109">
        <f t="shared" si="25"/>
        <v>21008.36364</v>
      </c>
      <c r="W53" s="109">
        <f t="shared" si="25"/>
        <v>7008.727273</v>
      </c>
      <c r="X53" s="109">
        <f t="shared" si="25"/>
        <v>21008.36364</v>
      </c>
      <c r="Y53" s="109">
        <f t="shared" si="25"/>
        <v>18684</v>
      </c>
      <c r="Z53" s="109">
        <f t="shared" si="25"/>
        <v>18684</v>
      </c>
      <c r="AA53" s="109">
        <f t="shared" si="25"/>
        <v>14017.45455</v>
      </c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</row>
    <row r="54" ht="12.75" customHeight="1">
      <c r="A54" s="79"/>
      <c r="B54" s="595">
        <f>UNIT_PRICE_CLIENT_A</f>
        <v>5</v>
      </c>
      <c r="C54" s="76" t="s">
        <v>148</v>
      </c>
      <c r="D54" s="76">
        <f t="shared" ref="D54:AA54" si="26">D40*$B54</f>
        <v>335</v>
      </c>
      <c r="E54" s="76">
        <f t="shared" si="26"/>
        <v>335</v>
      </c>
      <c r="F54" s="76">
        <f t="shared" si="26"/>
        <v>420</v>
      </c>
      <c r="G54" s="76">
        <f t="shared" si="26"/>
        <v>505</v>
      </c>
      <c r="H54" s="76">
        <f t="shared" si="26"/>
        <v>840</v>
      </c>
      <c r="I54" s="76">
        <f t="shared" si="26"/>
        <v>1175</v>
      </c>
      <c r="J54" s="76">
        <f t="shared" si="26"/>
        <v>1175</v>
      </c>
      <c r="K54" s="76">
        <f t="shared" si="26"/>
        <v>335</v>
      </c>
      <c r="L54" s="76">
        <f t="shared" si="26"/>
        <v>1345</v>
      </c>
      <c r="M54" s="76">
        <f t="shared" si="26"/>
        <v>1175</v>
      </c>
      <c r="N54" s="76">
        <f t="shared" si="26"/>
        <v>1345</v>
      </c>
      <c r="O54" s="76">
        <f t="shared" si="26"/>
        <v>670</v>
      </c>
      <c r="P54" s="76">
        <f t="shared" si="26"/>
        <v>1010</v>
      </c>
      <c r="Q54" s="76">
        <f t="shared" si="26"/>
        <v>1345</v>
      </c>
      <c r="R54" s="76">
        <f t="shared" si="26"/>
        <v>1175</v>
      </c>
      <c r="S54" s="76">
        <f t="shared" si="26"/>
        <v>1175</v>
      </c>
      <c r="T54" s="76">
        <f t="shared" si="26"/>
        <v>1345</v>
      </c>
      <c r="U54" s="76">
        <f t="shared" si="26"/>
        <v>1510</v>
      </c>
      <c r="V54" s="76">
        <f t="shared" si="26"/>
        <v>1510</v>
      </c>
      <c r="W54" s="76">
        <f t="shared" si="26"/>
        <v>505</v>
      </c>
      <c r="X54" s="76">
        <f t="shared" si="26"/>
        <v>1510</v>
      </c>
      <c r="Y54" s="76">
        <f t="shared" si="26"/>
        <v>1345</v>
      </c>
      <c r="Z54" s="76">
        <f t="shared" si="26"/>
        <v>1345</v>
      </c>
      <c r="AA54" s="76">
        <f t="shared" si="26"/>
        <v>1010</v>
      </c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</row>
    <row r="55" ht="12.75" customHeight="1">
      <c r="A55" s="79"/>
      <c r="B55" s="595">
        <f>UNIT_PRICE_CLIENT_B</f>
        <v>9.181818182</v>
      </c>
      <c r="C55" s="76" t="s">
        <v>76</v>
      </c>
      <c r="D55" s="76">
        <f t="shared" ref="D55:AA55" si="27">D41*$B55</f>
        <v>798.8181818</v>
      </c>
      <c r="E55" s="76">
        <f t="shared" si="27"/>
        <v>798.8181818</v>
      </c>
      <c r="F55" s="76">
        <f t="shared" si="27"/>
        <v>1000.818182</v>
      </c>
      <c r="G55" s="76">
        <f t="shared" si="27"/>
        <v>1202.818182</v>
      </c>
      <c r="H55" s="76">
        <f t="shared" si="27"/>
        <v>2001.636364</v>
      </c>
      <c r="I55" s="76">
        <f t="shared" si="27"/>
        <v>2800.454545</v>
      </c>
      <c r="J55" s="76">
        <f t="shared" si="27"/>
        <v>2800.454545</v>
      </c>
      <c r="K55" s="76">
        <f t="shared" si="27"/>
        <v>798.8181818</v>
      </c>
      <c r="L55" s="76">
        <f t="shared" si="27"/>
        <v>3204.454545</v>
      </c>
      <c r="M55" s="76">
        <f t="shared" si="27"/>
        <v>2800.454545</v>
      </c>
      <c r="N55" s="76">
        <f t="shared" si="27"/>
        <v>3204.454545</v>
      </c>
      <c r="O55" s="76">
        <f t="shared" si="27"/>
        <v>1597.636364</v>
      </c>
      <c r="P55" s="76">
        <f t="shared" si="27"/>
        <v>2405.636364</v>
      </c>
      <c r="Q55" s="76">
        <f t="shared" si="27"/>
        <v>3204.454545</v>
      </c>
      <c r="R55" s="76">
        <f t="shared" si="27"/>
        <v>2800.454545</v>
      </c>
      <c r="S55" s="76">
        <f t="shared" si="27"/>
        <v>2800.454545</v>
      </c>
      <c r="T55" s="76">
        <f t="shared" si="27"/>
        <v>3204.454545</v>
      </c>
      <c r="U55" s="76">
        <f t="shared" si="27"/>
        <v>3599.272727</v>
      </c>
      <c r="V55" s="76">
        <f t="shared" si="27"/>
        <v>3599.272727</v>
      </c>
      <c r="W55" s="76">
        <f t="shared" si="27"/>
        <v>1202.818182</v>
      </c>
      <c r="X55" s="76">
        <f t="shared" si="27"/>
        <v>3599.272727</v>
      </c>
      <c r="Y55" s="76">
        <f t="shared" si="27"/>
        <v>3204.454545</v>
      </c>
      <c r="Z55" s="76">
        <f t="shared" si="27"/>
        <v>3204.454545</v>
      </c>
      <c r="AA55" s="76">
        <f t="shared" si="27"/>
        <v>2405.636364</v>
      </c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</row>
    <row r="56" ht="12.75" customHeight="1">
      <c r="A56" s="79"/>
      <c r="B56" s="595">
        <f>UNIT_PRICE_CLIENT_C</f>
        <v>12.72727273</v>
      </c>
      <c r="C56" s="76" t="s">
        <v>80</v>
      </c>
      <c r="D56" s="76">
        <f t="shared" ref="D56:AA56" si="28">D42*$B56</f>
        <v>1285.454545</v>
      </c>
      <c r="E56" s="76">
        <f t="shared" si="28"/>
        <v>1285.454545</v>
      </c>
      <c r="F56" s="76">
        <f t="shared" si="28"/>
        <v>1603.636364</v>
      </c>
      <c r="G56" s="76">
        <f t="shared" si="28"/>
        <v>1921.818182</v>
      </c>
      <c r="H56" s="76">
        <f t="shared" si="28"/>
        <v>3207.272727</v>
      </c>
      <c r="I56" s="76">
        <f t="shared" si="28"/>
        <v>4492.727273</v>
      </c>
      <c r="J56" s="76">
        <f t="shared" si="28"/>
        <v>4492.727273</v>
      </c>
      <c r="K56" s="76">
        <f t="shared" si="28"/>
        <v>1285.454545</v>
      </c>
      <c r="L56" s="76">
        <f t="shared" si="28"/>
        <v>5129.090909</v>
      </c>
      <c r="M56" s="76">
        <f t="shared" si="28"/>
        <v>4492.727273</v>
      </c>
      <c r="N56" s="76">
        <f t="shared" si="28"/>
        <v>5129.090909</v>
      </c>
      <c r="O56" s="76">
        <f t="shared" si="28"/>
        <v>2570.909091</v>
      </c>
      <c r="P56" s="76">
        <f t="shared" si="28"/>
        <v>3843.636364</v>
      </c>
      <c r="Q56" s="76">
        <f t="shared" si="28"/>
        <v>5129.090909</v>
      </c>
      <c r="R56" s="76">
        <f t="shared" si="28"/>
        <v>4492.727273</v>
      </c>
      <c r="S56" s="76">
        <f t="shared" si="28"/>
        <v>4492.727273</v>
      </c>
      <c r="T56" s="76">
        <f t="shared" si="28"/>
        <v>5129.090909</v>
      </c>
      <c r="U56" s="76">
        <f t="shared" si="28"/>
        <v>5778.181818</v>
      </c>
      <c r="V56" s="76">
        <f t="shared" si="28"/>
        <v>5778.181818</v>
      </c>
      <c r="W56" s="76">
        <f t="shared" si="28"/>
        <v>1921.818182</v>
      </c>
      <c r="X56" s="76">
        <f t="shared" si="28"/>
        <v>5778.181818</v>
      </c>
      <c r="Y56" s="76">
        <f t="shared" si="28"/>
        <v>5129.090909</v>
      </c>
      <c r="Z56" s="76">
        <f t="shared" si="28"/>
        <v>5129.090909</v>
      </c>
      <c r="AA56" s="76">
        <f t="shared" si="28"/>
        <v>3843.636364</v>
      </c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</row>
    <row r="57" ht="12.75" customHeight="1">
      <c r="A57" s="79"/>
      <c r="B57" s="595">
        <f>UNIT_PRICE_CLIENT_D</f>
        <v>16.36363636</v>
      </c>
      <c r="C57" s="76" t="s">
        <v>83</v>
      </c>
      <c r="D57" s="76">
        <f t="shared" ref="D57:AA57" si="29">D43*$B57</f>
        <v>1423.636364</v>
      </c>
      <c r="E57" s="76">
        <f t="shared" si="29"/>
        <v>1423.636364</v>
      </c>
      <c r="F57" s="76">
        <f t="shared" si="29"/>
        <v>1783.636364</v>
      </c>
      <c r="G57" s="76">
        <f t="shared" si="29"/>
        <v>2143.636364</v>
      </c>
      <c r="H57" s="76">
        <f t="shared" si="29"/>
        <v>3567.272727</v>
      </c>
      <c r="I57" s="76">
        <f t="shared" si="29"/>
        <v>4990.909091</v>
      </c>
      <c r="J57" s="76">
        <f t="shared" si="29"/>
        <v>4990.909091</v>
      </c>
      <c r="K57" s="76">
        <f t="shared" si="29"/>
        <v>1423.636364</v>
      </c>
      <c r="L57" s="76">
        <f t="shared" si="29"/>
        <v>5710.909091</v>
      </c>
      <c r="M57" s="76">
        <f t="shared" si="29"/>
        <v>4990.909091</v>
      </c>
      <c r="N57" s="76">
        <f t="shared" si="29"/>
        <v>5710.909091</v>
      </c>
      <c r="O57" s="76">
        <f t="shared" si="29"/>
        <v>2847.272727</v>
      </c>
      <c r="P57" s="76">
        <f t="shared" si="29"/>
        <v>4287.272727</v>
      </c>
      <c r="Q57" s="76">
        <f t="shared" si="29"/>
        <v>5710.909091</v>
      </c>
      <c r="R57" s="76">
        <f t="shared" si="29"/>
        <v>4990.909091</v>
      </c>
      <c r="S57" s="76">
        <f t="shared" si="29"/>
        <v>4990.909091</v>
      </c>
      <c r="T57" s="76">
        <f t="shared" si="29"/>
        <v>5710.909091</v>
      </c>
      <c r="U57" s="76">
        <f t="shared" si="29"/>
        <v>6414.545455</v>
      </c>
      <c r="V57" s="76">
        <f t="shared" si="29"/>
        <v>6414.545455</v>
      </c>
      <c r="W57" s="76">
        <f t="shared" si="29"/>
        <v>2143.636364</v>
      </c>
      <c r="X57" s="76">
        <f t="shared" si="29"/>
        <v>6414.545455</v>
      </c>
      <c r="Y57" s="76">
        <f t="shared" si="29"/>
        <v>5710.909091</v>
      </c>
      <c r="Z57" s="76">
        <f t="shared" si="29"/>
        <v>5710.909091</v>
      </c>
      <c r="AA57" s="76">
        <f t="shared" si="29"/>
        <v>4287.272727</v>
      </c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</row>
    <row r="58" ht="12.75" customHeight="1">
      <c r="A58" s="79"/>
      <c r="B58" s="595">
        <f>UNIT_PRICE_CLIENT_E</f>
        <v>20.59090909</v>
      </c>
      <c r="C58" s="76" t="s">
        <v>87</v>
      </c>
      <c r="D58" s="76">
        <f t="shared" ref="D58:AA58" si="30">D44*$B58</f>
        <v>823.6363636</v>
      </c>
      <c r="E58" s="76">
        <f t="shared" si="30"/>
        <v>823.6363636</v>
      </c>
      <c r="F58" s="76">
        <f t="shared" si="30"/>
        <v>1029.545455</v>
      </c>
      <c r="G58" s="76">
        <f t="shared" si="30"/>
        <v>1235.454545</v>
      </c>
      <c r="H58" s="76">
        <f t="shared" si="30"/>
        <v>2059.090909</v>
      </c>
      <c r="I58" s="76">
        <f t="shared" si="30"/>
        <v>2882.727273</v>
      </c>
      <c r="J58" s="76">
        <f t="shared" si="30"/>
        <v>2882.727273</v>
      </c>
      <c r="K58" s="76">
        <f t="shared" si="30"/>
        <v>823.6363636</v>
      </c>
      <c r="L58" s="76">
        <f t="shared" si="30"/>
        <v>3294.545455</v>
      </c>
      <c r="M58" s="76">
        <f t="shared" si="30"/>
        <v>2882.727273</v>
      </c>
      <c r="N58" s="76">
        <f t="shared" si="30"/>
        <v>3294.545455</v>
      </c>
      <c r="O58" s="76">
        <f t="shared" si="30"/>
        <v>1647.272727</v>
      </c>
      <c r="P58" s="76">
        <f t="shared" si="30"/>
        <v>2470.909091</v>
      </c>
      <c r="Q58" s="76">
        <f t="shared" si="30"/>
        <v>3294.545455</v>
      </c>
      <c r="R58" s="76">
        <f t="shared" si="30"/>
        <v>2882.727273</v>
      </c>
      <c r="S58" s="76">
        <f t="shared" si="30"/>
        <v>2882.727273</v>
      </c>
      <c r="T58" s="76">
        <f t="shared" si="30"/>
        <v>3294.545455</v>
      </c>
      <c r="U58" s="76">
        <f t="shared" si="30"/>
        <v>3706.363636</v>
      </c>
      <c r="V58" s="76">
        <f t="shared" si="30"/>
        <v>3706.363636</v>
      </c>
      <c r="W58" s="76">
        <f t="shared" si="30"/>
        <v>1235.454545</v>
      </c>
      <c r="X58" s="76">
        <f t="shared" si="30"/>
        <v>3706.363636</v>
      </c>
      <c r="Y58" s="76">
        <f t="shared" si="30"/>
        <v>3294.545455</v>
      </c>
      <c r="Z58" s="76">
        <f t="shared" si="30"/>
        <v>3294.545455</v>
      </c>
      <c r="AA58" s="76">
        <f t="shared" si="30"/>
        <v>2470.909091</v>
      </c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</row>
    <row r="59" ht="12.75" customHeight="1">
      <c r="A59" s="79"/>
      <c r="B59" s="595">
        <f>UNIT_PRICE_CLIENT_F</f>
        <v>0</v>
      </c>
      <c r="C59" s="76" t="s">
        <v>464</v>
      </c>
      <c r="D59" s="76">
        <f t="shared" ref="D59:AA59" si="31">D45*$B59</f>
        <v>0</v>
      </c>
      <c r="E59" s="76">
        <f t="shared" si="31"/>
        <v>0</v>
      </c>
      <c r="F59" s="76">
        <f t="shared" si="31"/>
        <v>0</v>
      </c>
      <c r="G59" s="76">
        <f t="shared" si="31"/>
        <v>0</v>
      </c>
      <c r="H59" s="76">
        <f t="shared" si="31"/>
        <v>0</v>
      </c>
      <c r="I59" s="76">
        <f t="shared" si="31"/>
        <v>0</v>
      </c>
      <c r="J59" s="76">
        <f t="shared" si="31"/>
        <v>0</v>
      </c>
      <c r="K59" s="76">
        <f t="shared" si="31"/>
        <v>0</v>
      </c>
      <c r="L59" s="76">
        <f t="shared" si="31"/>
        <v>0</v>
      </c>
      <c r="M59" s="76">
        <f t="shared" si="31"/>
        <v>0</v>
      </c>
      <c r="N59" s="76">
        <f t="shared" si="31"/>
        <v>0</v>
      </c>
      <c r="O59" s="76">
        <f t="shared" si="31"/>
        <v>0</v>
      </c>
      <c r="P59" s="76">
        <f t="shared" si="31"/>
        <v>0</v>
      </c>
      <c r="Q59" s="76">
        <f t="shared" si="31"/>
        <v>0</v>
      </c>
      <c r="R59" s="76">
        <f t="shared" si="31"/>
        <v>0</v>
      </c>
      <c r="S59" s="76">
        <f t="shared" si="31"/>
        <v>0</v>
      </c>
      <c r="T59" s="76">
        <f t="shared" si="31"/>
        <v>0</v>
      </c>
      <c r="U59" s="76">
        <f t="shared" si="31"/>
        <v>0</v>
      </c>
      <c r="V59" s="76">
        <f t="shared" si="31"/>
        <v>0</v>
      </c>
      <c r="W59" s="76">
        <f t="shared" si="31"/>
        <v>0</v>
      </c>
      <c r="X59" s="76">
        <f t="shared" si="31"/>
        <v>0</v>
      </c>
      <c r="Y59" s="76">
        <f t="shared" si="31"/>
        <v>0</v>
      </c>
      <c r="Z59" s="76">
        <f t="shared" si="31"/>
        <v>0</v>
      </c>
      <c r="AA59" s="76">
        <f t="shared" si="31"/>
        <v>0</v>
      </c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</row>
    <row r="60" ht="12.0" customHeight="1">
      <c r="A60" s="79"/>
      <c r="B60" s="111"/>
      <c r="C60" s="111"/>
      <c r="D60" s="112">
        <f>SUM(D53:O53)</f>
        <v>134247.8182</v>
      </c>
      <c r="P60" s="113">
        <f>SUM(P53:AA53)</f>
        <v>205488.3636</v>
      </c>
      <c r="AB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</row>
    <row r="61" ht="12.75" customHeight="1">
      <c r="A61" s="79"/>
      <c r="B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</row>
    <row r="62" ht="12.75" customHeight="1">
      <c r="A62" s="79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115">
        <f>(P60-D60)/D60</f>
        <v>0.5306644564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</row>
    <row r="63" ht="12.75" customHeight="1">
      <c r="A63" s="79"/>
      <c r="B63" s="76"/>
      <c r="C63" s="76"/>
      <c r="D63" s="110"/>
      <c r="E63" s="76"/>
      <c r="F63" s="76"/>
      <c r="G63" s="76"/>
      <c r="H63" s="76"/>
      <c r="I63" s="76"/>
      <c r="J63" s="76"/>
      <c r="K63" s="76"/>
      <c r="L63" s="76"/>
      <c r="M63" s="76"/>
      <c r="N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</row>
    <row r="64" ht="12.75" customHeight="1">
      <c r="A64" s="79"/>
      <c r="B64" s="76"/>
      <c r="C64" s="76"/>
      <c r="D64" s="110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</row>
    <row r="65" ht="12.75" customHeight="1">
      <c r="A65" s="79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</row>
    <row r="66" ht="12.75" customHeight="1">
      <c r="A66" s="118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</row>
    <row r="67" ht="12.75" customHeight="1">
      <c r="A67" s="118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</row>
    <row r="68" ht="12.75" customHeight="1">
      <c r="A68" s="118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</row>
    <row r="69" ht="12.75" customHeight="1">
      <c r="A69" s="118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</row>
    <row r="70" ht="12.75" customHeight="1">
      <c r="A70" s="118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</row>
    <row r="71" ht="12.75" customHeight="1"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</row>
    <row r="72" ht="12.75" customHeight="1"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</row>
    <row r="73" ht="12.75" customHeight="1">
      <c r="A73" s="596" t="s">
        <v>466</v>
      </c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</row>
    <row r="74" ht="12.75" customHeight="1">
      <c r="B74" s="76"/>
      <c r="C74" s="80" t="s">
        <v>140</v>
      </c>
      <c r="E74" s="76"/>
      <c r="F74" s="76"/>
      <c r="G74" s="76"/>
      <c r="H74" s="76"/>
      <c r="I74" s="76"/>
      <c r="J74" s="76"/>
      <c r="K74" s="76"/>
      <c r="L74" s="76"/>
      <c r="M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</row>
    <row r="75" ht="12.75" customHeight="1">
      <c r="A75" s="597"/>
      <c r="B75" s="76"/>
      <c r="C75" s="82" t="s">
        <v>157</v>
      </c>
      <c r="D75" s="76">
        <v>8.0</v>
      </c>
      <c r="E75" s="76">
        <v>9.0</v>
      </c>
      <c r="F75" s="76">
        <v>10.0</v>
      </c>
      <c r="G75" s="76">
        <v>11.0</v>
      </c>
      <c r="H75" s="76">
        <v>12.0</v>
      </c>
      <c r="I75" s="76">
        <v>13.0</v>
      </c>
      <c r="J75" s="76">
        <v>14.0</v>
      </c>
      <c r="K75" s="76">
        <v>15.0</v>
      </c>
      <c r="L75" s="76">
        <v>16.0</v>
      </c>
      <c r="M75" s="76">
        <v>17.0</v>
      </c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</row>
    <row r="76" ht="12.75" customHeight="1">
      <c r="A76" s="597"/>
      <c r="B76" s="76"/>
      <c r="C76" s="76" t="s">
        <v>148</v>
      </c>
      <c r="D76" s="98">
        <v>0.35</v>
      </c>
      <c r="E76" s="98">
        <v>0.5</v>
      </c>
      <c r="F76" s="98">
        <v>0.5</v>
      </c>
      <c r="G76" s="98">
        <v>0.05</v>
      </c>
      <c r="H76" s="98">
        <v>0.02</v>
      </c>
      <c r="I76" s="98"/>
      <c r="J76" s="98">
        <v>0.2</v>
      </c>
      <c r="K76" s="98">
        <v>0.2</v>
      </c>
      <c r="L76" s="98">
        <v>0.4</v>
      </c>
      <c r="M76" s="98">
        <v>0.45</v>
      </c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</row>
    <row r="77" ht="12.75" customHeight="1">
      <c r="A77" s="597"/>
      <c r="B77" s="76"/>
      <c r="C77" s="76" t="s">
        <v>76</v>
      </c>
      <c r="D77" s="98">
        <v>0.35</v>
      </c>
      <c r="E77" s="98">
        <v>0.4</v>
      </c>
      <c r="F77" s="98">
        <v>0.3</v>
      </c>
      <c r="G77" s="98">
        <v>0.1</v>
      </c>
      <c r="H77" s="98">
        <v>0.05</v>
      </c>
      <c r="I77" s="98"/>
      <c r="J77" s="98">
        <v>0.25</v>
      </c>
      <c r="K77" s="98">
        <v>0.35</v>
      </c>
      <c r="L77" s="98">
        <v>0.55</v>
      </c>
      <c r="M77" s="98">
        <v>0.55</v>
      </c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</row>
    <row r="78" ht="12.75" customHeight="1">
      <c r="A78" s="597"/>
      <c r="B78" s="76"/>
      <c r="C78" s="76" t="s">
        <v>80</v>
      </c>
      <c r="D78" s="98">
        <v>0.3</v>
      </c>
      <c r="E78" s="98">
        <v>0.05</v>
      </c>
      <c r="F78" s="98">
        <v>0.1</v>
      </c>
      <c r="G78" s="98">
        <v>0.25</v>
      </c>
      <c r="H78" s="98">
        <v>0.16</v>
      </c>
      <c r="I78" s="98">
        <v>0.1</v>
      </c>
      <c r="J78" s="98">
        <v>0.1</v>
      </c>
      <c r="K78" s="98">
        <v>0.05</v>
      </c>
      <c r="L78" s="98">
        <v>0.05</v>
      </c>
      <c r="M78" s="98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</row>
    <row r="79" ht="12.75" customHeight="1">
      <c r="A79" s="597"/>
      <c r="B79" s="76"/>
      <c r="C79" s="76" t="s">
        <v>83</v>
      </c>
      <c r="D79" s="98"/>
      <c r="E79" s="98">
        <v>0.05</v>
      </c>
      <c r="F79" s="98">
        <v>0.1</v>
      </c>
      <c r="G79" s="98">
        <v>0.35</v>
      </c>
      <c r="H79" s="98">
        <v>0.5</v>
      </c>
      <c r="I79" s="98">
        <v>0.35</v>
      </c>
      <c r="J79" s="98">
        <v>0.15</v>
      </c>
      <c r="K79" s="98">
        <v>0.15</v>
      </c>
      <c r="L79" s="98"/>
      <c r="M79" s="98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</row>
    <row r="80" ht="12.75" customHeight="1">
      <c r="A80" s="597"/>
      <c r="B80" s="76"/>
      <c r="C80" s="76" t="s">
        <v>87</v>
      </c>
      <c r="D80" s="98"/>
      <c r="E80" s="98"/>
      <c r="F80" s="98"/>
      <c r="G80" s="98">
        <v>0.18</v>
      </c>
      <c r="H80" s="98">
        <v>0.2</v>
      </c>
      <c r="I80" s="98">
        <v>0.35</v>
      </c>
      <c r="J80" s="98">
        <v>0.2</v>
      </c>
      <c r="K80" s="98">
        <v>0.2</v>
      </c>
      <c r="L80" s="98"/>
      <c r="M80" s="98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</row>
    <row r="81" ht="12.75" customHeight="1">
      <c r="A81" s="597"/>
      <c r="B81" s="76"/>
      <c r="C81" s="76" t="s">
        <v>464</v>
      </c>
      <c r="D81" s="598"/>
      <c r="E81" s="599"/>
      <c r="F81" s="599"/>
      <c r="G81" s="599">
        <v>0.07</v>
      </c>
      <c r="H81" s="599">
        <v>0.07</v>
      </c>
      <c r="I81" s="599">
        <v>0.2</v>
      </c>
      <c r="J81" s="599">
        <v>0.1</v>
      </c>
      <c r="K81" s="599">
        <v>0.05</v>
      </c>
      <c r="L81" s="598"/>
      <c r="M81" s="598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</row>
    <row r="82" ht="12.75" customHeight="1">
      <c r="A82" s="597"/>
      <c r="B82" s="76"/>
      <c r="C82" s="76"/>
      <c r="D82" s="89">
        <f t="shared" ref="D82:M82" si="32">SUM(D76:D81)</f>
        <v>1</v>
      </c>
      <c r="E82" s="89">
        <f t="shared" si="32"/>
        <v>1</v>
      </c>
      <c r="F82" s="89">
        <f t="shared" si="32"/>
        <v>1</v>
      </c>
      <c r="G82" s="89">
        <f t="shared" si="32"/>
        <v>1</v>
      </c>
      <c r="H82" s="89">
        <f t="shared" si="32"/>
        <v>1</v>
      </c>
      <c r="I82" s="89">
        <f t="shared" si="32"/>
        <v>1</v>
      </c>
      <c r="J82" s="89">
        <f t="shared" si="32"/>
        <v>1</v>
      </c>
      <c r="K82" s="89">
        <f t="shared" si="32"/>
        <v>1</v>
      </c>
      <c r="L82" s="89">
        <f t="shared" si="32"/>
        <v>1</v>
      </c>
      <c r="M82" s="89">
        <f t="shared" si="32"/>
        <v>1</v>
      </c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</row>
    <row r="83" ht="12.75" customHeight="1">
      <c r="A83" s="597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</row>
    <row r="84" ht="12.75" customHeight="1">
      <c r="A84" s="597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</row>
    <row r="85" ht="12.75" customHeight="1">
      <c r="A85" s="103"/>
      <c r="B85" s="76"/>
      <c r="C85" s="80" t="s">
        <v>140</v>
      </c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</row>
    <row r="86" ht="12.75" customHeight="1">
      <c r="A86" s="103"/>
      <c r="B86" s="76"/>
      <c r="D86" s="76">
        <v>8.0</v>
      </c>
      <c r="E86" s="76">
        <v>9.0</v>
      </c>
      <c r="F86" s="76">
        <v>10.0</v>
      </c>
      <c r="G86" s="76">
        <v>11.0</v>
      </c>
      <c r="H86" s="76">
        <v>12.0</v>
      </c>
      <c r="I86" s="76">
        <v>13.0</v>
      </c>
      <c r="J86" s="76">
        <v>14.0</v>
      </c>
      <c r="K86" s="76">
        <v>15.0</v>
      </c>
      <c r="L86" s="76">
        <v>16.0</v>
      </c>
      <c r="M86" s="76">
        <v>17.0</v>
      </c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</row>
    <row r="87" ht="12.75" customHeight="1">
      <c r="A87" s="103"/>
      <c r="B87" s="76"/>
      <c r="C87" s="82" t="s">
        <v>149</v>
      </c>
      <c r="D87" s="159">
        <v>2.0</v>
      </c>
      <c r="E87" s="159">
        <v>3.0</v>
      </c>
      <c r="F87" s="159">
        <v>3.0</v>
      </c>
      <c r="G87" s="159">
        <v>3.0</v>
      </c>
      <c r="H87" s="159">
        <v>5.0</v>
      </c>
      <c r="I87" s="159">
        <v>5.0</v>
      </c>
      <c r="J87" s="159">
        <v>5.0</v>
      </c>
      <c r="K87" s="159">
        <v>5.0</v>
      </c>
      <c r="L87" s="159">
        <v>2.0</v>
      </c>
      <c r="M87" s="159">
        <v>0.0</v>
      </c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</row>
    <row r="88" ht="12.75" customHeight="1">
      <c r="A88" s="103"/>
      <c r="B88" s="76"/>
      <c r="C88" s="76" t="s">
        <v>72</v>
      </c>
      <c r="D88" s="91">
        <f t="shared" ref="D88:M88" si="33">ROUND( D$87*D76,0)</f>
        <v>1</v>
      </c>
      <c r="E88" s="91">
        <f t="shared" si="33"/>
        <v>2</v>
      </c>
      <c r="F88" s="91">
        <f t="shared" si="33"/>
        <v>2</v>
      </c>
      <c r="G88" s="91">
        <f t="shared" si="33"/>
        <v>0</v>
      </c>
      <c r="H88" s="91">
        <f t="shared" si="33"/>
        <v>0</v>
      </c>
      <c r="I88" s="91">
        <f t="shared" si="33"/>
        <v>0</v>
      </c>
      <c r="J88" s="91">
        <f t="shared" si="33"/>
        <v>1</v>
      </c>
      <c r="K88" s="91">
        <f t="shared" si="33"/>
        <v>1</v>
      </c>
      <c r="L88" s="91">
        <f t="shared" si="33"/>
        <v>1</v>
      </c>
      <c r="M88" s="91">
        <f t="shared" si="33"/>
        <v>0</v>
      </c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</row>
    <row r="89" ht="12.75" customHeight="1">
      <c r="A89" s="103"/>
      <c r="B89" s="76"/>
      <c r="C89" s="76" t="s">
        <v>76</v>
      </c>
      <c r="D89" s="91">
        <f t="shared" ref="D89:M89" si="34">ROUND( D$87*D77,0)</f>
        <v>1</v>
      </c>
      <c r="E89" s="91">
        <f t="shared" si="34"/>
        <v>1</v>
      </c>
      <c r="F89" s="91">
        <f t="shared" si="34"/>
        <v>1</v>
      </c>
      <c r="G89" s="91">
        <f t="shared" si="34"/>
        <v>0</v>
      </c>
      <c r="H89" s="91">
        <f t="shared" si="34"/>
        <v>0</v>
      </c>
      <c r="I89" s="91">
        <f t="shared" si="34"/>
        <v>0</v>
      </c>
      <c r="J89" s="91">
        <f t="shared" si="34"/>
        <v>1</v>
      </c>
      <c r="K89" s="91">
        <f t="shared" si="34"/>
        <v>2</v>
      </c>
      <c r="L89" s="91">
        <f t="shared" si="34"/>
        <v>1</v>
      </c>
      <c r="M89" s="91">
        <f t="shared" si="34"/>
        <v>0</v>
      </c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</row>
    <row r="90" ht="12.75" customHeight="1">
      <c r="A90" s="103"/>
      <c r="B90" s="76"/>
      <c r="C90" s="76" t="s">
        <v>80</v>
      </c>
      <c r="D90" s="91">
        <f t="shared" ref="D90:M90" si="35">ROUND( D$87*D78,0)</f>
        <v>1</v>
      </c>
      <c r="E90" s="91">
        <f t="shared" si="35"/>
        <v>0</v>
      </c>
      <c r="F90" s="91">
        <f t="shared" si="35"/>
        <v>0</v>
      </c>
      <c r="G90" s="91">
        <f t="shared" si="35"/>
        <v>1</v>
      </c>
      <c r="H90" s="91">
        <f t="shared" si="35"/>
        <v>1</v>
      </c>
      <c r="I90" s="91">
        <f t="shared" si="35"/>
        <v>1</v>
      </c>
      <c r="J90" s="91">
        <f t="shared" si="35"/>
        <v>1</v>
      </c>
      <c r="K90" s="91">
        <f t="shared" si="35"/>
        <v>0</v>
      </c>
      <c r="L90" s="91">
        <f t="shared" si="35"/>
        <v>0</v>
      </c>
      <c r="M90" s="91">
        <f t="shared" si="35"/>
        <v>0</v>
      </c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</row>
    <row r="91" ht="12.75" customHeight="1">
      <c r="A91" s="103"/>
      <c r="B91" s="76"/>
      <c r="C91" s="76" t="s">
        <v>83</v>
      </c>
      <c r="D91" s="91">
        <f t="shared" ref="D91:M91" si="36">ROUND( D$87*D79,0)</f>
        <v>0</v>
      </c>
      <c r="E91" s="91">
        <f t="shared" si="36"/>
        <v>0</v>
      </c>
      <c r="F91" s="91">
        <f t="shared" si="36"/>
        <v>0</v>
      </c>
      <c r="G91" s="91">
        <f t="shared" si="36"/>
        <v>1</v>
      </c>
      <c r="H91" s="91">
        <f t="shared" si="36"/>
        <v>3</v>
      </c>
      <c r="I91" s="91">
        <f t="shared" si="36"/>
        <v>2</v>
      </c>
      <c r="J91" s="91">
        <f t="shared" si="36"/>
        <v>1</v>
      </c>
      <c r="K91" s="91">
        <f t="shared" si="36"/>
        <v>1</v>
      </c>
      <c r="L91" s="91">
        <f t="shared" si="36"/>
        <v>0</v>
      </c>
      <c r="M91" s="91">
        <f t="shared" si="36"/>
        <v>0</v>
      </c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</row>
    <row r="92" ht="12.75" customHeight="1">
      <c r="A92" s="103"/>
      <c r="B92" s="76"/>
      <c r="C92" s="76" t="s">
        <v>87</v>
      </c>
      <c r="D92" s="91">
        <f t="shared" ref="D92:M92" si="37">ROUND( D$87*D80,0)</f>
        <v>0</v>
      </c>
      <c r="E92" s="91">
        <f t="shared" si="37"/>
        <v>0</v>
      </c>
      <c r="F92" s="91">
        <f t="shared" si="37"/>
        <v>0</v>
      </c>
      <c r="G92" s="91">
        <f t="shared" si="37"/>
        <v>1</v>
      </c>
      <c r="H92" s="91">
        <f t="shared" si="37"/>
        <v>1</v>
      </c>
      <c r="I92" s="91">
        <f t="shared" si="37"/>
        <v>2</v>
      </c>
      <c r="J92" s="91">
        <f t="shared" si="37"/>
        <v>1</v>
      </c>
      <c r="K92" s="91">
        <f t="shared" si="37"/>
        <v>1</v>
      </c>
      <c r="L92" s="91">
        <f t="shared" si="37"/>
        <v>0</v>
      </c>
      <c r="M92" s="91">
        <f t="shared" si="37"/>
        <v>0</v>
      </c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</row>
    <row r="93" ht="12.75" customHeight="1">
      <c r="A93" s="103"/>
      <c r="B93" s="76"/>
      <c r="C93" s="76" t="s">
        <v>464</v>
      </c>
      <c r="D93" s="91">
        <f t="shared" ref="D93:M93" si="38">ROUND( D$87*D81,0)</f>
        <v>0</v>
      </c>
      <c r="E93" s="91">
        <f t="shared" si="38"/>
        <v>0</v>
      </c>
      <c r="F93" s="91">
        <f t="shared" si="38"/>
        <v>0</v>
      </c>
      <c r="G93" s="91">
        <f t="shared" si="38"/>
        <v>0</v>
      </c>
      <c r="H93" s="91">
        <f t="shared" si="38"/>
        <v>0</v>
      </c>
      <c r="I93" s="91">
        <f t="shared" si="38"/>
        <v>1</v>
      </c>
      <c r="J93" s="91">
        <f t="shared" si="38"/>
        <v>1</v>
      </c>
      <c r="K93" s="91">
        <f t="shared" si="38"/>
        <v>0</v>
      </c>
      <c r="L93" s="91">
        <f t="shared" si="38"/>
        <v>0</v>
      </c>
      <c r="M93" s="91">
        <f t="shared" si="38"/>
        <v>0</v>
      </c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</row>
    <row r="94" ht="12.75" customHeight="1">
      <c r="A94" s="103"/>
      <c r="B94" s="76"/>
      <c r="C94" s="76"/>
      <c r="D94" s="93">
        <f t="shared" ref="D94:M94" si="39">SUM(D88:D93)</f>
        <v>3</v>
      </c>
      <c r="E94" s="93">
        <f t="shared" si="39"/>
        <v>3</v>
      </c>
      <c r="F94" s="93">
        <f t="shared" si="39"/>
        <v>3</v>
      </c>
      <c r="G94" s="93">
        <f t="shared" si="39"/>
        <v>3</v>
      </c>
      <c r="H94" s="93">
        <f t="shared" si="39"/>
        <v>5</v>
      </c>
      <c r="I94" s="93">
        <f t="shared" si="39"/>
        <v>6</v>
      </c>
      <c r="J94" s="93">
        <f t="shared" si="39"/>
        <v>6</v>
      </c>
      <c r="K94" s="93">
        <f t="shared" si="39"/>
        <v>5</v>
      </c>
      <c r="L94" s="93">
        <f t="shared" si="39"/>
        <v>2</v>
      </c>
      <c r="M94" s="93">
        <f t="shared" si="39"/>
        <v>0</v>
      </c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</row>
    <row r="95" ht="12.75" customHeight="1">
      <c r="A95" s="103"/>
      <c r="B95" s="76"/>
      <c r="C95" s="80" t="s">
        <v>150</v>
      </c>
      <c r="D95" s="95" t="s">
        <v>151</v>
      </c>
      <c r="E95" s="95" t="s">
        <v>152</v>
      </c>
      <c r="F95" s="95" t="s">
        <v>153</v>
      </c>
      <c r="G95" s="95" t="s">
        <v>154</v>
      </c>
      <c r="H95" s="95" t="s">
        <v>155</v>
      </c>
      <c r="I95" s="95" t="s">
        <v>156</v>
      </c>
      <c r="J95" s="95" t="s">
        <v>151</v>
      </c>
      <c r="K95" s="95" t="s">
        <v>152</v>
      </c>
      <c r="L95" s="95" t="s">
        <v>153</v>
      </c>
      <c r="M95" s="95" t="s">
        <v>154</v>
      </c>
      <c r="N95" s="95" t="s">
        <v>155</v>
      </c>
      <c r="O95" s="95" t="s">
        <v>156</v>
      </c>
      <c r="P95" s="95" t="s">
        <v>151</v>
      </c>
      <c r="Q95" s="95" t="s">
        <v>152</v>
      </c>
      <c r="R95" s="95" t="s">
        <v>153</v>
      </c>
      <c r="S95" s="95" t="s">
        <v>154</v>
      </c>
      <c r="T95" s="95" t="s">
        <v>155</v>
      </c>
      <c r="U95" s="95" t="s">
        <v>156</v>
      </c>
      <c r="V95" s="95" t="s">
        <v>151</v>
      </c>
      <c r="W95" s="95" t="s">
        <v>152</v>
      </c>
      <c r="X95" s="95" t="s">
        <v>153</v>
      </c>
      <c r="Y95" s="95" t="s">
        <v>154</v>
      </c>
      <c r="Z95" s="95" t="s">
        <v>155</v>
      </c>
      <c r="AA95" s="95" t="s">
        <v>156</v>
      </c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</row>
    <row r="96" ht="12.75" customHeight="1">
      <c r="A96" s="103"/>
      <c r="B96" s="76"/>
      <c r="C96" s="76"/>
      <c r="D96" s="76">
        <v>1.0</v>
      </c>
      <c r="E96" s="76">
        <v>2.0</v>
      </c>
      <c r="F96" s="76">
        <v>3.0</v>
      </c>
      <c r="G96" s="76">
        <v>4.0</v>
      </c>
      <c r="H96" s="76">
        <v>5.0</v>
      </c>
      <c r="I96" s="76">
        <v>6.0</v>
      </c>
      <c r="J96" s="76">
        <v>7.0</v>
      </c>
      <c r="K96" s="76">
        <v>8.0</v>
      </c>
      <c r="L96" s="76">
        <v>9.0</v>
      </c>
      <c r="M96" s="76">
        <v>10.0</v>
      </c>
      <c r="N96" s="76">
        <v>11.0</v>
      </c>
      <c r="O96" s="76">
        <v>12.0</v>
      </c>
      <c r="P96" s="76">
        <v>13.0</v>
      </c>
      <c r="Q96" s="76">
        <v>14.0</v>
      </c>
      <c r="R96" s="76">
        <v>15.0</v>
      </c>
      <c r="S96" s="76">
        <v>16.0</v>
      </c>
      <c r="T96" s="76">
        <v>17.0</v>
      </c>
      <c r="U96" s="76">
        <v>18.0</v>
      </c>
      <c r="V96" s="76">
        <v>19.0</v>
      </c>
      <c r="W96" s="76">
        <v>20.0</v>
      </c>
      <c r="X96" s="76">
        <v>21.0</v>
      </c>
      <c r="Y96" s="76">
        <v>22.0</v>
      </c>
      <c r="Z96" s="76">
        <v>23.0</v>
      </c>
      <c r="AA96" s="76">
        <v>24.0</v>
      </c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</row>
    <row r="97" ht="12.75" customHeight="1">
      <c r="A97" s="103"/>
      <c r="C97" s="82" t="s">
        <v>157</v>
      </c>
      <c r="D97" s="98">
        <v>0.8</v>
      </c>
      <c r="E97" s="98">
        <v>0.8</v>
      </c>
      <c r="F97" s="98">
        <v>0.7</v>
      </c>
      <c r="G97" s="98">
        <v>0.6</v>
      </c>
      <c r="H97" s="98">
        <v>0.7</v>
      </c>
      <c r="I97" s="98">
        <v>0.8</v>
      </c>
      <c r="J97" s="98">
        <v>0.8</v>
      </c>
      <c r="K97" s="98">
        <v>0.8</v>
      </c>
      <c r="L97" s="98">
        <v>0.7</v>
      </c>
      <c r="M97" s="98">
        <v>0.6</v>
      </c>
      <c r="N97" s="98">
        <v>0.7</v>
      </c>
      <c r="O97" s="98">
        <v>0.8</v>
      </c>
      <c r="P97" s="98">
        <v>0.8</v>
      </c>
      <c r="Q97" s="98">
        <v>0.8</v>
      </c>
      <c r="R97" s="98">
        <v>0.7</v>
      </c>
      <c r="S97" s="98">
        <v>0.6</v>
      </c>
      <c r="T97" s="98">
        <v>0.7</v>
      </c>
      <c r="U97" s="98">
        <v>0.8</v>
      </c>
      <c r="V97" s="98">
        <v>0.8</v>
      </c>
      <c r="W97" s="98">
        <v>0.8</v>
      </c>
      <c r="X97" s="98">
        <v>0.7</v>
      </c>
      <c r="Y97" s="98">
        <v>0.6</v>
      </c>
      <c r="Z97" s="98">
        <v>0.7</v>
      </c>
      <c r="AA97" s="98">
        <v>0.8</v>
      </c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</row>
    <row r="98" ht="12.75" customHeight="1">
      <c r="A98" s="103"/>
      <c r="B98" s="76"/>
      <c r="C98" s="76" t="s">
        <v>148</v>
      </c>
      <c r="D98" s="76">
        <f t="shared" ref="D98:AA98" si="40">ROUND(SUM($D88:$M88)*D$97,0)</f>
        <v>6</v>
      </c>
      <c r="E98" s="76">
        <f t="shared" si="40"/>
        <v>6</v>
      </c>
      <c r="F98" s="76">
        <f t="shared" si="40"/>
        <v>6</v>
      </c>
      <c r="G98" s="76">
        <f t="shared" si="40"/>
        <v>5</v>
      </c>
      <c r="H98" s="76">
        <f t="shared" si="40"/>
        <v>6</v>
      </c>
      <c r="I98" s="76">
        <f t="shared" si="40"/>
        <v>6</v>
      </c>
      <c r="J98" s="76">
        <f t="shared" si="40"/>
        <v>6</v>
      </c>
      <c r="K98" s="76">
        <f t="shared" si="40"/>
        <v>6</v>
      </c>
      <c r="L98" s="76">
        <f t="shared" si="40"/>
        <v>6</v>
      </c>
      <c r="M98" s="76">
        <f t="shared" si="40"/>
        <v>5</v>
      </c>
      <c r="N98" s="76">
        <f t="shared" si="40"/>
        <v>6</v>
      </c>
      <c r="O98" s="76">
        <f t="shared" si="40"/>
        <v>6</v>
      </c>
      <c r="P98" s="76">
        <f t="shared" si="40"/>
        <v>6</v>
      </c>
      <c r="Q98" s="76">
        <f t="shared" si="40"/>
        <v>6</v>
      </c>
      <c r="R98" s="76">
        <f t="shared" si="40"/>
        <v>6</v>
      </c>
      <c r="S98" s="76">
        <f t="shared" si="40"/>
        <v>5</v>
      </c>
      <c r="T98" s="76">
        <f t="shared" si="40"/>
        <v>6</v>
      </c>
      <c r="U98" s="76">
        <f t="shared" si="40"/>
        <v>6</v>
      </c>
      <c r="V98" s="76">
        <f t="shared" si="40"/>
        <v>6</v>
      </c>
      <c r="W98" s="76">
        <f t="shared" si="40"/>
        <v>6</v>
      </c>
      <c r="X98" s="76">
        <f t="shared" si="40"/>
        <v>6</v>
      </c>
      <c r="Y98" s="76">
        <f t="shared" si="40"/>
        <v>5</v>
      </c>
      <c r="Z98" s="76">
        <f t="shared" si="40"/>
        <v>6</v>
      </c>
      <c r="AA98" s="76">
        <f t="shared" si="40"/>
        <v>6</v>
      </c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</row>
    <row r="99" ht="12.75" customHeight="1">
      <c r="A99" s="103"/>
      <c r="B99" s="76"/>
      <c r="C99" s="76" t="s">
        <v>76</v>
      </c>
      <c r="D99" s="76">
        <f t="shared" ref="D99:AA99" si="41">ROUND(SUM($D89:$M89)*D$97,0)</f>
        <v>6</v>
      </c>
      <c r="E99" s="76">
        <f t="shared" si="41"/>
        <v>6</v>
      </c>
      <c r="F99" s="76">
        <f t="shared" si="41"/>
        <v>5</v>
      </c>
      <c r="G99" s="76">
        <f t="shared" si="41"/>
        <v>4</v>
      </c>
      <c r="H99" s="76">
        <f t="shared" si="41"/>
        <v>5</v>
      </c>
      <c r="I99" s="76">
        <f t="shared" si="41"/>
        <v>6</v>
      </c>
      <c r="J99" s="76">
        <f t="shared" si="41"/>
        <v>6</v>
      </c>
      <c r="K99" s="76">
        <f t="shared" si="41"/>
        <v>6</v>
      </c>
      <c r="L99" s="76">
        <f t="shared" si="41"/>
        <v>5</v>
      </c>
      <c r="M99" s="76">
        <f t="shared" si="41"/>
        <v>4</v>
      </c>
      <c r="N99" s="76">
        <f t="shared" si="41"/>
        <v>5</v>
      </c>
      <c r="O99" s="76">
        <f t="shared" si="41"/>
        <v>6</v>
      </c>
      <c r="P99" s="76">
        <f t="shared" si="41"/>
        <v>6</v>
      </c>
      <c r="Q99" s="76">
        <f t="shared" si="41"/>
        <v>6</v>
      </c>
      <c r="R99" s="76">
        <f t="shared" si="41"/>
        <v>5</v>
      </c>
      <c r="S99" s="76">
        <f t="shared" si="41"/>
        <v>4</v>
      </c>
      <c r="T99" s="76">
        <f t="shared" si="41"/>
        <v>5</v>
      </c>
      <c r="U99" s="76">
        <f t="shared" si="41"/>
        <v>6</v>
      </c>
      <c r="V99" s="76">
        <f t="shared" si="41"/>
        <v>6</v>
      </c>
      <c r="W99" s="76">
        <f t="shared" si="41"/>
        <v>6</v>
      </c>
      <c r="X99" s="76">
        <f t="shared" si="41"/>
        <v>5</v>
      </c>
      <c r="Y99" s="76">
        <f t="shared" si="41"/>
        <v>4</v>
      </c>
      <c r="Z99" s="76">
        <f t="shared" si="41"/>
        <v>5</v>
      </c>
      <c r="AA99" s="76">
        <f t="shared" si="41"/>
        <v>6</v>
      </c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</row>
    <row r="100" ht="12.75" customHeight="1">
      <c r="A100" s="103"/>
      <c r="B100" s="76"/>
      <c r="C100" s="76" t="s">
        <v>80</v>
      </c>
      <c r="D100" s="76">
        <f t="shared" ref="D100:AA100" si="42">ROUND(SUM($D90:$M90)*D$97,0)</f>
        <v>4</v>
      </c>
      <c r="E100" s="76">
        <f t="shared" si="42"/>
        <v>4</v>
      </c>
      <c r="F100" s="76">
        <f t="shared" si="42"/>
        <v>4</v>
      </c>
      <c r="G100" s="76">
        <f t="shared" si="42"/>
        <v>3</v>
      </c>
      <c r="H100" s="76">
        <f t="shared" si="42"/>
        <v>4</v>
      </c>
      <c r="I100" s="76">
        <f t="shared" si="42"/>
        <v>4</v>
      </c>
      <c r="J100" s="76">
        <f t="shared" si="42"/>
        <v>4</v>
      </c>
      <c r="K100" s="76">
        <f t="shared" si="42"/>
        <v>4</v>
      </c>
      <c r="L100" s="76">
        <f t="shared" si="42"/>
        <v>4</v>
      </c>
      <c r="M100" s="76">
        <f t="shared" si="42"/>
        <v>3</v>
      </c>
      <c r="N100" s="76">
        <f t="shared" si="42"/>
        <v>4</v>
      </c>
      <c r="O100" s="76">
        <f t="shared" si="42"/>
        <v>4</v>
      </c>
      <c r="P100" s="76">
        <f t="shared" si="42"/>
        <v>4</v>
      </c>
      <c r="Q100" s="76">
        <f t="shared" si="42"/>
        <v>4</v>
      </c>
      <c r="R100" s="76">
        <f t="shared" si="42"/>
        <v>4</v>
      </c>
      <c r="S100" s="76">
        <f t="shared" si="42"/>
        <v>3</v>
      </c>
      <c r="T100" s="76">
        <f t="shared" si="42"/>
        <v>4</v>
      </c>
      <c r="U100" s="76">
        <f t="shared" si="42"/>
        <v>4</v>
      </c>
      <c r="V100" s="76">
        <f t="shared" si="42"/>
        <v>4</v>
      </c>
      <c r="W100" s="76">
        <f t="shared" si="42"/>
        <v>4</v>
      </c>
      <c r="X100" s="76">
        <f t="shared" si="42"/>
        <v>4</v>
      </c>
      <c r="Y100" s="76">
        <f t="shared" si="42"/>
        <v>3</v>
      </c>
      <c r="Z100" s="76">
        <f t="shared" si="42"/>
        <v>4</v>
      </c>
      <c r="AA100" s="76">
        <f t="shared" si="42"/>
        <v>4</v>
      </c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</row>
    <row r="101" ht="12.75" customHeight="1">
      <c r="A101" s="103"/>
      <c r="B101" s="76"/>
      <c r="C101" s="76" t="s">
        <v>83</v>
      </c>
      <c r="D101" s="76">
        <f t="shared" ref="D101:AA101" si="43">ROUND(SUM($D91:$M91)*D$97,0)</f>
        <v>6</v>
      </c>
      <c r="E101" s="76">
        <f t="shared" si="43"/>
        <v>6</v>
      </c>
      <c r="F101" s="76">
        <f t="shared" si="43"/>
        <v>6</v>
      </c>
      <c r="G101" s="76">
        <f t="shared" si="43"/>
        <v>5</v>
      </c>
      <c r="H101" s="76">
        <f t="shared" si="43"/>
        <v>6</v>
      </c>
      <c r="I101" s="76">
        <f t="shared" si="43"/>
        <v>6</v>
      </c>
      <c r="J101" s="76">
        <f t="shared" si="43"/>
        <v>6</v>
      </c>
      <c r="K101" s="76">
        <f t="shared" si="43"/>
        <v>6</v>
      </c>
      <c r="L101" s="76">
        <f t="shared" si="43"/>
        <v>6</v>
      </c>
      <c r="M101" s="76">
        <f t="shared" si="43"/>
        <v>5</v>
      </c>
      <c r="N101" s="76">
        <f t="shared" si="43"/>
        <v>6</v>
      </c>
      <c r="O101" s="76">
        <f t="shared" si="43"/>
        <v>6</v>
      </c>
      <c r="P101" s="76">
        <f t="shared" si="43"/>
        <v>6</v>
      </c>
      <c r="Q101" s="76">
        <f t="shared" si="43"/>
        <v>6</v>
      </c>
      <c r="R101" s="76">
        <f t="shared" si="43"/>
        <v>6</v>
      </c>
      <c r="S101" s="76">
        <f t="shared" si="43"/>
        <v>5</v>
      </c>
      <c r="T101" s="76">
        <f t="shared" si="43"/>
        <v>6</v>
      </c>
      <c r="U101" s="76">
        <f t="shared" si="43"/>
        <v>6</v>
      </c>
      <c r="V101" s="76">
        <f t="shared" si="43"/>
        <v>6</v>
      </c>
      <c r="W101" s="76">
        <f t="shared" si="43"/>
        <v>6</v>
      </c>
      <c r="X101" s="76">
        <f t="shared" si="43"/>
        <v>6</v>
      </c>
      <c r="Y101" s="76">
        <f t="shared" si="43"/>
        <v>5</v>
      </c>
      <c r="Z101" s="76">
        <f t="shared" si="43"/>
        <v>6</v>
      </c>
      <c r="AA101" s="76">
        <f t="shared" si="43"/>
        <v>6</v>
      </c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</row>
    <row r="102" ht="12.75" customHeight="1">
      <c r="A102" s="103"/>
      <c r="B102" s="76"/>
      <c r="C102" s="76" t="s">
        <v>87</v>
      </c>
      <c r="D102" s="76">
        <f t="shared" ref="D102:AA102" si="44">ROUND(SUM($D92:$M92)*D$97,0)</f>
        <v>5</v>
      </c>
      <c r="E102" s="76">
        <f t="shared" si="44"/>
        <v>5</v>
      </c>
      <c r="F102" s="76">
        <f t="shared" si="44"/>
        <v>4</v>
      </c>
      <c r="G102" s="76">
        <f t="shared" si="44"/>
        <v>4</v>
      </c>
      <c r="H102" s="76">
        <f t="shared" si="44"/>
        <v>4</v>
      </c>
      <c r="I102" s="76">
        <f t="shared" si="44"/>
        <v>5</v>
      </c>
      <c r="J102" s="76">
        <f t="shared" si="44"/>
        <v>5</v>
      </c>
      <c r="K102" s="76">
        <f t="shared" si="44"/>
        <v>5</v>
      </c>
      <c r="L102" s="76">
        <f t="shared" si="44"/>
        <v>4</v>
      </c>
      <c r="M102" s="76">
        <f t="shared" si="44"/>
        <v>4</v>
      </c>
      <c r="N102" s="76">
        <f t="shared" si="44"/>
        <v>4</v>
      </c>
      <c r="O102" s="76">
        <f t="shared" si="44"/>
        <v>5</v>
      </c>
      <c r="P102" s="76">
        <f t="shared" si="44"/>
        <v>5</v>
      </c>
      <c r="Q102" s="76">
        <f t="shared" si="44"/>
        <v>5</v>
      </c>
      <c r="R102" s="76">
        <f t="shared" si="44"/>
        <v>4</v>
      </c>
      <c r="S102" s="76">
        <f t="shared" si="44"/>
        <v>4</v>
      </c>
      <c r="T102" s="76">
        <f t="shared" si="44"/>
        <v>4</v>
      </c>
      <c r="U102" s="76">
        <f t="shared" si="44"/>
        <v>5</v>
      </c>
      <c r="V102" s="76">
        <f t="shared" si="44"/>
        <v>5</v>
      </c>
      <c r="W102" s="76">
        <f t="shared" si="44"/>
        <v>5</v>
      </c>
      <c r="X102" s="76">
        <f t="shared" si="44"/>
        <v>4</v>
      </c>
      <c r="Y102" s="76">
        <f t="shared" si="44"/>
        <v>4</v>
      </c>
      <c r="Z102" s="76">
        <f t="shared" si="44"/>
        <v>4</v>
      </c>
      <c r="AA102" s="76">
        <f t="shared" si="44"/>
        <v>5</v>
      </c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</row>
    <row r="103" ht="12.75" customHeight="1">
      <c r="A103" s="103"/>
      <c r="B103" s="76"/>
      <c r="C103" s="76" t="s">
        <v>464</v>
      </c>
      <c r="D103" s="76">
        <f t="shared" ref="D103:AA103" si="45">ROUND(SUM($D93:$M93)*D$97,0)</f>
        <v>2</v>
      </c>
      <c r="E103" s="76">
        <f t="shared" si="45"/>
        <v>2</v>
      </c>
      <c r="F103" s="76">
        <f t="shared" si="45"/>
        <v>1</v>
      </c>
      <c r="G103" s="76">
        <f t="shared" si="45"/>
        <v>1</v>
      </c>
      <c r="H103" s="76">
        <f t="shared" si="45"/>
        <v>1</v>
      </c>
      <c r="I103" s="76">
        <f t="shared" si="45"/>
        <v>2</v>
      </c>
      <c r="J103" s="76">
        <f t="shared" si="45"/>
        <v>2</v>
      </c>
      <c r="K103" s="76">
        <f t="shared" si="45"/>
        <v>2</v>
      </c>
      <c r="L103" s="76">
        <f t="shared" si="45"/>
        <v>1</v>
      </c>
      <c r="M103" s="76">
        <f t="shared" si="45"/>
        <v>1</v>
      </c>
      <c r="N103" s="76">
        <f t="shared" si="45"/>
        <v>1</v>
      </c>
      <c r="O103" s="76">
        <f t="shared" si="45"/>
        <v>2</v>
      </c>
      <c r="P103" s="76">
        <f t="shared" si="45"/>
        <v>2</v>
      </c>
      <c r="Q103" s="76">
        <f t="shared" si="45"/>
        <v>2</v>
      </c>
      <c r="R103" s="76">
        <f t="shared" si="45"/>
        <v>1</v>
      </c>
      <c r="S103" s="76">
        <f t="shared" si="45"/>
        <v>1</v>
      </c>
      <c r="T103" s="76">
        <f t="shared" si="45"/>
        <v>1</v>
      </c>
      <c r="U103" s="76">
        <f t="shared" si="45"/>
        <v>2</v>
      </c>
      <c r="V103" s="76">
        <f t="shared" si="45"/>
        <v>2</v>
      </c>
      <c r="W103" s="76">
        <f t="shared" si="45"/>
        <v>2</v>
      </c>
      <c r="X103" s="76">
        <f t="shared" si="45"/>
        <v>1</v>
      </c>
      <c r="Y103" s="76">
        <f t="shared" si="45"/>
        <v>1</v>
      </c>
      <c r="Z103" s="76">
        <f t="shared" si="45"/>
        <v>1</v>
      </c>
      <c r="AA103" s="76">
        <f t="shared" si="45"/>
        <v>2</v>
      </c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</row>
    <row r="104" ht="12.75" customHeight="1">
      <c r="A104" s="103"/>
      <c r="B104" s="76"/>
      <c r="C104" s="76"/>
      <c r="D104" s="93">
        <f t="shared" ref="D104:AA104" si="46">SUM(D98:D103)</f>
        <v>29</v>
      </c>
      <c r="E104" s="93">
        <f t="shared" si="46"/>
        <v>29</v>
      </c>
      <c r="F104" s="93">
        <f t="shared" si="46"/>
        <v>26</v>
      </c>
      <c r="G104" s="93">
        <f t="shared" si="46"/>
        <v>22</v>
      </c>
      <c r="H104" s="93">
        <f t="shared" si="46"/>
        <v>26</v>
      </c>
      <c r="I104" s="93">
        <f t="shared" si="46"/>
        <v>29</v>
      </c>
      <c r="J104" s="93">
        <f t="shared" si="46"/>
        <v>29</v>
      </c>
      <c r="K104" s="93">
        <f t="shared" si="46"/>
        <v>29</v>
      </c>
      <c r="L104" s="93">
        <f t="shared" si="46"/>
        <v>26</v>
      </c>
      <c r="M104" s="93">
        <f t="shared" si="46"/>
        <v>22</v>
      </c>
      <c r="N104" s="93">
        <f t="shared" si="46"/>
        <v>26</v>
      </c>
      <c r="O104" s="93">
        <f t="shared" si="46"/>
        <v>29</v>
      </c>
      <c r="P104" s="93">
        <f t="shared" si="46"/>
        <v>29</v>
      </c>
      <c r="Q104" s="93">
        <f t="shared" si="46"/>
        <v>29</v>
      </c>
      <c r="R104" s="93">
        <f t="shared" si="46"/>
        <v>26</v>
      </c>
      <c r="S104" s="93">
        <f t="shared" si="46"/>
        <v>22</v>
      </c>
      <c r="T104" s="93">
        <f t="shared" si="46"/>
        <v>26</v>
      </c>
      <c r="U104" s="93">
        <f t="shared" si="46"/>
        <v>29</v>
      </c>
      <c r="V104" s="93">
        <f t="shared" si="46"/>
        <v>29</v>
      </c>
      <c r="W104" s="93">
        <f t="shared" si="46"/>
        <v>29</v>
      </c>
      <c r="X104" s="93">
        <f t="shared" si="46"/>
        <v>26</v>
      </c>
      <c r="Y104" s="93">
        <f t="shared" si="46"/>
        <v>22</v>
      </c>
      <c r="Z104" s="93">
        <f t="shared" si="46"/>
        <v>26</v>
      </c>
      <c r="AA104" s="93">
        <f t="shared" si="46"/>
        <v>29</v>
      </c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</row>
    <row r="105" ht="12.75" customHeight="1">
      <c r="A105" s="103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</row>
    <row r="106" ht="12.75" customHeight="1">
      <c r="A106" s="103"/>
      <c r="B106" s="76"/>
      <c r="C106" s="80" t="s">
        <v>158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</row>
    <row r="107" ht="12.75" customHeight="1">
      <c r="A107" s="103"/>
      <c r="B107" s="76"/>
      <c r="C107" s="76"/>
      <c r="D107" s="76">
        <v>2024.0</v>
      </c>
      <c r="E107" s="76"/>
      <c r="F107" s="76"/>
      <c r="G107" s="76"/>
      <c r="H107" s="76"/>
      <c r="I107" s="76"/>
      <c r="J107" s="76"/>
      <c r="K107" s="95" t="s">
        <v>465</v>
      </c>
      <c r="L107" s="76"/>
      <c r="M107" s="76"/>
      <c r="N107" s="76"/>
      <c r="O107" s="76"/>
      <c r="P107" s="76">
        <v>2025.0</v>
      </c>
      <c r="Q107" s="76"/>
      <c r="R107" s="76"/>
      <c r="S107" s="76"/>
      <c r="T107" s="76"/>
      <c r="U107" s="76"/>
      <c r="V107" s="76"/>
      <c r="W107" s="95" t="s">
        <v>465</v>
      </c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</row>
    <row r="108" ht="12.75" customHeight="1">
      <c r="A108" s="103"/>
      <c r="B108" s="76"/>
      <c r="C108" s="82" t="s">
        <v>159</v>
      </c>
      <c r="D108" s="76">
        <v>1.0</v>
      </c>
      <c r="E108" s="76">
        <v>2.0</v>
      </c>
      <c r="F108" s="76">
        <v>3.0</v>
      </c>
      <c r="G108" s="76">
        <v>4.0</v>
      </c>
      <c r="H108" s="76">
        <v>5.0</v>
      </c>
      <c r="I108" s="76">
        <v>6.0</v>
      </c>
      <c r="J108" s="76">
        <v>7.0</v>
      </c>
      <c r="K108" s="76">
        <v>8.0</v>
      </c>
      <c r="L108" s="76">
        <v>9.0</v>
      </c>
      <c r="M108" s="76">
        <v>10.0</v>
      </c>
      <c r="N108" s="76">
        <v>11.0</v>
      </c>
      <c r="O108" s="76">
        <v>12.0</v>
      </c>
      <c r="P108" s="76">
        <v>1.0</v>
      </c>
      <c r="Q108" s="76">
        <v>2.0</v>
      </c>
      <c r="R108" s="76">
        <v>3.0</v>
      </c>
      <c r="S108" s="76">
        <v>4.0</v>
      </c>
      <c r="T108" s="76">
        <v>5.0</v>
      </c>
      <c r="U108" s="76">
        <v>6.0</v>
      </c>
      <c r="V108" s="76">
        <v>7.0</v>
      </c>
      <c r="W108" s="76">
        <v>8.0</v>
      </c>
      <c r="X108" s="76">
        <v>9.0</v>
      </c>
      <c r="Y108" s="76">
        <v>10.0</v>
      </c>
      <c r="Z108" s="76">
        <v>11.0</v>
      </c>
      <c r="AA108" s="76">
        <v>12.0</v>
      </c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</row>
    <row r="109" ht="12.75" customHeight="1">
      <c r="A109" s="103"/>
      <c r="B109" s="76"/>
      <c r="C109" s="82" t="s">
        <v>160</v>
      </c>
      <c r="D109" s="98">
        <v>0.0</v>
      </c>
      <c r="E109" s="98">
        <v>0.0</v>
      </c>
      <c r="F109" s="98">
        <v>0.0</v>
      </c>
      <c r="G109" s="98">
        <v>0.2</v>
      </c>
      <c r="H109" s="98">
        <v>0.2</v>
      </c>
      <c r="I109" s="98">
        <v>0.25</v>
      </c>
      <c r="J109" s="98">
        <v>0.25</v>
      </c>
      <c r="K109" s="98">
        <v>0.1</v>
      </c>
      <c r="L109" s="98">
        <v>0.3</v>
      </c>
      <c r="M109" s="98">
        <v>0.3</v>
      </c>
      <c r="N109" s="98">
        <v>0.35</v>
      </c>
      <c r="O109" s="98">
        <v>0.4</v>
      </c>
      <c r="P109" s="98">
        <v>0.4</v>
      </c>
      <c r="Q109" s="98">
        <v>0.45</v>
      </c>
      <c r="R109" s="98">
        <v>0.45</v>
      </c>
      <c r="S109" s="98">
        <v>0.45</v>
      </c>
      <c r="T109" s="98">
        <v>0.3</v>
      </c>
      <c r="U109" s="98">
        <v>0.25</v>
      </c>
      <c r="V109" s="98">
        <v>0.2</v>
      </c>
      <c r="W109" s="98">
        <v>0.1</v>
      </c>
      <c r="X109" s="98">
        <v>0.3</v>
      </c>
      <c r="Y109" s="98">
        <v>0.55</v>
      </c>
      <c r="Z109" s="98">
        <v>0.55</v>
      </c>
      <c r="AA109" s="98">
        <v>0.5</v>
      </c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</row>
    <row r="110" ht="12.75" customHeight="1">
      <c r="A110" s="103"/>
      <c r="B110" s="76"/>
      <c r="C110" s="76" t="s">
        <v>148</v>
      </c>
      <c r="D110" s="76">
        <f t="shared" ref="D110:AA110" si="47">ROUND(SUM($D98:$AA98)*D$109,0)</f>
        <v>0</v>
      </c>
      <c r="E110" s="76">
        <f t="shared" si="47"/>
        <v>0</v>
      </c>
      <c r="F110" s="76">
        <f t="shared" si="47"/>
        <v>0</v>
      </c>
      <c r="G110" s="76">
        <f t="shared" si="47"/>
        <v>28</v>
      </c>
      <c r="H110" s="76">
        <f t="shared" si="47"/>
        <v>28</v>
      </c>
      <c r="I110" s="76">
        <f t="shared" si="47"/>
        <v>35</v>
      </c>
      <c r="J110" s="76">
        <f t="shared" si="47"/>
        <v>35</v>
      </c>
      <c r="K110" s="76">
        <f t="shared" si="47"/>
        <v>14</v>
      </c>
      <c r="L110" s="76">
        <f t="shared" si="47"/>
        <v>42</v>
      </c>
      <c r="M110" s="76">
        <f t="shared" si="47"/>
        <v>42</v>
      </c>
      <c r="N110" s="76">
        <f t="shared" si="47"/>
        <v>49</v>
      </c>
      <c r="O110" s="76">
        <f t="shared" si="47"/>
        <v>56</v>
      </c>
      <c r="P110" s="76">
        <f t="shared" si="47"/>
        <v>56</v>
      </c>
      <c r="Q110" s="76">
        <f t="shared" si="47"/>
        <v>63</v>
      </c>
      <c r="R110" s="76">
        <f t="shared" si="47"/>
        <v>63</v>
      </c>
      <c r="S110" s="76">
        <f t="shared" si="47"/>
        <v>63</v>
      </c>
      <c r="T110" s="76">
        <f t="shared" si="47"/>
        <v>42</v>
      </c>
      <c r="U110" s="76">
        <f t="shared" si="47"/>
        <v>35</v>
      </c>
      <c r="V110" s="76">
        <f t="shared" si="47"/>
        <v>28</v>
      </c>
      <c r="W110" s="76">
        <f t="shared" si="47"/>
        <v>14</v>
      </c>
      <c r="X110" s="76">
        <f t="shared" si="47"/>
        <v>42</v>
      </c>
      <c r="Y110" s="76">
        <f t="shared" si="47"/>
        <v>77</v>
      </c>
      <c r="Z110" s="76">
        <f t="shared" si="47"/>
        <v>77</v>
      </c>
      <c r="AA110" s="76">
        <f t="shared" si="47"/>
        <v>70</v>
      </c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</row>
    <row r="111" ht="12.75" customHeight="1">
      <c r="A111" s="103"/>
      <c r="B111" s="76"/>
      <c r="C111" s="76" t="s">
        <v>76</v>
      </c>
      <c r="D111" s="76">
        <f t="shared" ref="D111:AA111" si="48">ROUND(SUM($D99:$AA99)*D$109,0)</f>
        <v>0</v>
      </c>
      <c r="E111" s="76">
        <f t="shared" si="48"/>
        <v>0</v>
      </c>
      <c r="F111" s="76">
        <f t="shared" si="48"/>
        <v>0</v>
      </c>
      <c r="G111" s="76">
        <f t="shared" si="48"/>
        <v>26</v>
      </c>
      <c r="H111" s="76">
        <f t="shared" si="48"/>
        <v>26</v>
      </c>
      <c r="I111" s="76">
        <f t="shared" si="48"/>
        <v>32</v>
      </c>
      <c r="J111" s="76">
        <f t="shared" si="48"/>
        <v>32</v>
      </c>
      <c r="K111" s="76">
        <f t="shared" si="48"/>
        <v>13</v>
      </c>
      <c r="L111" s="76">
        <f t="shared" si="48"/>
        <v>38</v>
      </c>
      <c r="M111" s="76">
        <f t="shared" si="48"/>
        <v>38</v>
      </c>
      <c r="N111" s="76">
        <f t="shared" si="48"/>
        <v>45</v>
      </c>
      <c r="O111" s="76">
        <f t="shared" si="48"/>
        <v>51</v>
      </c>
      <c r="P111" s="76">
        <f t="shared" si="48"/>
        <v>51</v>
      </c>
      <c r="Q111" s="76">
        <f t="shared" si="48"/>
        <v>58</v>
      </c>
      <c r="R111" s="76">
        <f t="shared" si="48"/>
        <v>58</v>
      </c>
      <c r="S111" s="76">
        <f t="shared" si="48"/>
        <v>58</v>
      </c>
      <c r="T111" s="76">
        <f t="shared" si="48"/>
        <v>38</v>
      </c>
      <c r="U111" s="76">
        <f t="shared" si="48"/>
        <v>32</v>
      </c>
      <c r="V111" s="76">
        <f t="shared" si="48"/>
        <v>26</v>
      </c>
      <c r="W111" s="76">
        <f t="shared" si="48"/>
        <v>13</v>
      </c>
      <c r="X111" s="76">
        <f t="shared" si="48"/>
        <v>38</v>
      </c>
      <c r="Y111" s="76">
        <f t="shared" si="48"/>
        <v>70</v>
      </c>
      <c r="Z111" s="76">
        <f t="shared" si="48"/>
        <v>70</v>
      </c>
      <c r="AA111" s="76">
        <f t="shared" si="48"/>
        <v>64</v>
      </c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</row>
    <row r="112" ht="12.75" customHeight="1">
      <c r="A112" s="103"/>
      <c r="B112" s="76"/>
      <c r="C112" s="76" t="s">
        <v>80</v>
      </c>
      <c r="D112" s="76">
        <f t="shared" ref="D112:AA112" si="49">ROUND(SUM($D100:$AA100)*D$109,0)</f>
        <v>0</v>
      </c>
      <c r="E112" s="76">
        <f t="shared" si="49"/>
        <v>0</v>
      </c>
      <c r="F112" s="76">
        <f t="shared" si="49"/>
        <v>0</v>
      </c>
      <c r="G112" s="76">
        <f t="shared" si="49"/>
        <v>18</v>
      </c>
      <c r="H112" s="76">
        <f t="shared" si="49"/>
        <v>18</v>
      </c>
      <c r="I112" s="76">
        <f t="shared" si="49"/>
        <v>23</v>
      </c>
      <c r="J112" s="76">
        <f t="shared" si="49"/>
        <v>23</v>
      </c>
      <c r="K112" s="76">
        <f t="shared" si="49"/>
        <v>9</v>
      </c>
      <c r="L112" s="76">
        <f t="shared" si="49"/>
        <v>28</v>
      </c>
      <c r="M112" s="76">
        <f t="shared" si="49"/>
        <v>28</v>
      </c>
      <c r="N112" s="76">
        <f t="shared" si="49"/>
        <v>32</v>
      </c>
      <c r="O112" s="76">
        <f t="shared" si="49"/>
        <v>37</v>
      </c>
      <c r="P112" s="76">
        <f t="shared" si="49"/>
        <v>37</v>
      </c>
      <c r="Q112" s="76">
        <f t="shared" si="49"/>
        <v>41</v>
      </c>
      <c r="R112" s="76">
        <f t="shared" si="49"/>
        <v>41</v>
      </c>
      <c r="S112" s="76">
        <f t="shared" si="49"/>
        <v>41</v>
      </c>
      <c r="T112" s="76">
        <f t="shared" si="49"/>
        <v>28</v>
      </c>
      <c r="U112" s="76">
        <f t="shared" si="49"/>
        <v>23</v>
      </c>
      <c r="V112" s="76">
        <f t="shared" si="49"/>
        <v>18</v>
      </c>
      <c r="W112" s="76">
        <f t="shared" si="49"/>
        <v>9</v>
      </c>
      <c r="X112" s="76">
        <f t="shared" si="49"/>
        <v>28</v>
      </c>
      <c r="Y112" s="76">
        <f t="shared" si="49"/>
        <v>51</v>
      </c>
      <c r="Z112" s="76">
        <f t="shared" si="49"/>
        <v>51</v>
      </c>
      <c r="AA112" s="76">
        <f t="shared" si="49"/>
        <v>46</v>
      </c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</row>
    <row r="113" ht="12.75" customHeight="1">
      <c r="A113" s="103"/>
      <c r="B113" s="76"/>
      <c r="C113" s="76" t="s">
        <v>83</v>
      </c>
      <c r="D113" s="76">
        <f t="shared" ref="D113:AA113" si="50">ROUND(SUM($D101:$AA101)*D$109,0)</f>
        <v>0</v>
      </c>
      <c r="E113" s="76">
        <f t="shared" si="50"/>
        <v>0</v>
      </c>
      <c r="F113" s="76">
        <f t="shared" si="50"/>
        <v>0</v>
      </c>
      <c r="G113" s="76">
        <f t="shared" si="50"/>
        <v>28</v>
      </c>
      <c r="H113" s="76">
        <f t="shared" si="50"/>
        <v>28</v>
      </c>
      <c r="I113" s="76">
        <f t="shared" si="50"/>
        <v>35</v>
      </c>
      <c r="J113" s="76">
        <f t="shared" si="50"/>
        <v>35</v>
      </c>
      <c r="K113" s="76">
        <f t="shared" si="50"/>
        <v>14</v>
      </c>
      <c r="L113" s="76">
        <f t="shared" si="50"/>
        <v>42</v>
      </c>
      <c r="M113" s="76">
        <f t="shared" si="50"/>
        <v>42</v>
      </c>
      <c r="N113" s="76">
        <f t="shared" si="50"/>
        <v>49</v>
      </c>
      <c r="O113" s="76">
        <f t="shared" si="50"/>
        <v>56</v>
      </c>
      <c r="P113" s="76">
        <f t="shared" si="50"/>
        <v>56</v>
      </c>
      <c r="Q113" s="76">
        <f t="shared" si="50"/>
        <v>63</v>
      </c>
      <c r="R113" s="76">
        <f t="shared" si="50"/>
        <v>63</v>
      </c>
      <c r="S113" s="76">
        <f t="shared" si="50"/>
        <v>63</v>
      </c>
      <c r="T113" s="76">
        <f t="shared" si="50"/>
        <v>42</v>
      </c>
      <c r="U113" s="76">
        <f t="shared" si="50"/>
        <v>35</v>
      </c>
      <c r="V113" s="76">
        <f t="shared" si="50"/>
        <v>28</v>
      </c>
      <c r="W113" s="76">
        <f t="shared" si="50"/>
        <v>14</v>
      </c>
      <c r="X113" s="76">
        <f t="shared" si="50"/>
        <v>42</v>
      </c>
      <c r="Y113" s="76">
        <f t="shared" si="50"/>
        <v>77</v>
      </c>
      <c r="Z113" s="76">
        <f t="shared" si="50"/>
        <v>77</v>
      </c>
      <c r="AA113" s="76">
        <f t="shared" si="50"/>
        <v>70</v>
      </c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</row>
    <row r="114" ht="12.75" customHeight="1">
      <c r="A114" s="103"/>
      <c r="B114" s="76"/>
      <c r="C114" s="76" t="s">
        <v>87</v>
      </c>
      <c r="D114" s="76">
        <f t="shared" ref="D114:AA114" si="51">ROUND(SUM($D102:$AA102)*D$109,0)</f>
        <v>0</v>
      </c>
      <c r="E114" s="76">
        <f t="shared" si="51"/>
        <v>0</v>
      </c>
      <c r="F114" s="76">
        <f t="shared" si="51"/>
        <v>0</v>
      </c>
      <c r="G114" s="76">
        <f t="shared" si="51"/>
        <v>22</v>
      </c>
      <c r="H114" s="76">
        <f t="shared" si="51"/>
        <v>22</v>
      </c>
      <c r="I114" s="76">
        <f t="shared" si="51"/>
        <v>27</v>
      </c>
      <c r="J114" s="76">
        <f t="shared" si="51"/>
        <v>27</v>
      </c>
      <c r="K114" s="76">
        <f t="shared" si="51"/>
        <v>11</v>
      </c>
      <c r="L114" s="76">
        <f t="shared" si="51"/>
        <v>32</v>
      </c>
      <c r="M114" s="76">
        <f t="shared" si="51"/>
        <v>32</v>
      </c>
      <c r="N114" s="76">
        <f t="shared" si="51"/>
        <v>38</v>
      </c>
      <c r="O114" s="76">
        <f t="shared" si="51"/>
        <v>43</v>
      </c>
      <c r="P114" s="76">
        <f t="shared" si="51"/>
        <v>43</v>
      </c>
      <c r="Q114" s="76">
        <f t="shared" si="51"/>
        <v>49</v>
      </c>
      <c r="R114" s="76">
        <f t="shared" si="51"/>
        <v>49</v>
      </c>
      <c r="S114" s="76">
        <f t="shared" si="51"/>
        <v>49</v>
      </c>
      <c r="T114" s="76">
        <f t="shared" si="51"/>
        <v>32</v>
      </c>
      <c r="U114" s="76">
        <f t="shared" si="51"/>
        <v>27</v>
      </c>
      <c r="V114" s="76">
        <f t="shared" si="51"/>
        <v>22</v>
      </c>
      <c r="W114" s="76">
        <f t="shared" si="51"/>
        <v>11</v>
      </c>
      <c r="X114" s="76">
        <f t="shared" si="51"/>
        <v>32</v>
      </c>
      <c r="Y114" s="76">
        <f t="shared" si="51"/>
        <v>59</v>
      </c>
      <c r="Z114" s="76">
        <f t="shared" si="51"/>
        <v>59</v>
      </c>
      <c r="AA114" s="76">
        <f t="shared" si="51"/>
        <v>54</v>
      </c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</row>
    <row r="115" ht="12.75" customHeight="1">
      <c r="A115" s="103"/>
      <c r="B115" s="76"/>
      <c r="C115" s="76" t="s">
        <v>464</v>
      </c>
      <c r="D115" s="76">
        <f t="shared" ref="D115:AA115" si="52">ROUND(SUM($D103:$AA103)*D$109,0)</f>
        <v>0</v>
      </c>
      <c r="E115" s="76">
        <f t="shared" si="52"/>
        <v>0</v>
      </c>
      <c r="F115" s="76">
        <f t="shared" si="52"/>
        <v>0</v>
      </c>
      <c r="G115" s="76">
        <f t="shared" si="52"/>
        <v>7</v>
      </c>
      <c r="H115" s="76">
        <f t="shared" si="52"/>
        <v>7</v>
      </c>
      <c r="I115" s="76">
        <f t="shared" si="52"/>
        <v>9</v>
      </c>
      <c r="J115" s="76">
        <f t="shared" si="52"/>
        <v>9</v>
      </c>
      <c r="K115" s="76">
        <f t="shared" si="52"/>
        <v>4</v>
      </c>
      <c r="L115" s="76">
        <f t="shared" si="52"/>
        <v>11</v>
      </c>
      <c r="M115" s="76">
        <f t="shared" si="52"/>
        <v>11</v>
      </c>
      <c r="N115" s="76">
        <f t="shared" si="52"/>
        <v>13</v>
      </c>
      <c r="O115" s="76">
        <f t="shared" si="52"/>
        <v>14</v>
      </c>
      <c r="P115" s="76">
        <f t="shared" si="52"/>
        <v>14</v>
      </c>
      <c r="Q115" s="76">
        <f t="shared" si="52"/>
        <v>16</v>
      </c>
      <c r="R115" s="76">
        <f t="shared" si="52"/>
        <v>16</v>
      </c>
      <c r="S115" s="76">
        <f t="shared" si="52"/>
        <v>16</v>
      </c>
      <c r="T115" s="76">
        <f t="shared" si="52"/>
        <v>11</v>
      </c>
      <c r="U115" s="76">
        <f t="shared" si="52"/>
        <v>9</v>
      </c>
      <c r="V115" s="76">
        <f t="shared" si="52"/>
        <v>7</v>
      </c>
      <c r="W115" s="76">
        <f t="shared" si="52"/>
        <v>4</v>
      </c>
      <c r="X115" s="76">
        <f t="shared" si="52"/>
        <v>11</v>
      </c>
      <c r="Y115" s="76">
        <f t="shared" si="52"/>
        <v>20</v>
      </c>
      <c r="Z115" s="76">
        <f t="shared" si="52"/>
        <v>20</v>
      </c>
      <c r="AA115" s="76">
        <f t="shared" si="52"/>
        <v>18</v>
      </c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</row>
    <row r="116" ht="12.75" customHeight="1">
      <c r="A116" s="103"/>
      <c r="B116" s="76"/>
      <c r="D116" s="93">
        <f t="shared" ref="D116:AA116" si="53">SUM(D110:D115)</f>
        <v>0</v>
      </c>
      <c r="E116" s="93">
        <f t="shared" si="53"/>
        <v>0</v>
      </c>
      <c r="F116" s="93">
        <f t="shared" si="53"/>
        <v>0</v>
      </c>
      <c r="G116" s="93">
        <f t="shared" si="53"/>
        <v>129</v>
      </c>
      <c r="H116" s="93">
        <f t="shared" si="53"/>
        <v>129</v>
      </c>
      <c r="I116" s="93">
        <f t="shared" si="53"/>
        <v>161</v>
      </c>
      <c r="J116" s="93">
        <f t="shared" si="53"/>
        <v>161</v>
      </c>
      <c r="K116" s="93">
        <f t="shared" si="53"/>
        <v>65</v>
      </c>
      <c r="L116" s="93">
        <f t="shared" si="53"/>
        <v>193</v>
      </c>
      <c r="M116" s="93">
        <f t="shared" si="53"/>
        <v>193</v>
      </c>
      <c r="N116" s="93">
        <f t="shared" si="53"/>
        <v>226</v>
      </c>
      <c r="O116" s="93">
        <f t="shared" si="53"/>
        <v>257</v>
      </c>
      <c r="P116" s="93">
        <f t="shared" si="53"/>
        <v>257</v>
      </c>
      <c r="Q116" s="93">
        <f t="shared" si="53"/>
        <v>290</v>
      </c>
      <c r="R116" s="93">
        <f t="shared" si="53"/>
        <v>290</v>
      </c>
      <c r="S116" s="93">
        <f t="shared" si="53"/>
        <v>290</v>
      </c>
      <c r="T116" s="93">
        <f t="shared" si="53"/>
        <v>193</v>
      </c>
      <c r="U116" s="93">
        <f t="shared" si="53"/>
        <v>161</v>
      </c>
      <c r="V116" s="93">
        <f t="shared" si="53"/>
        <v>129</v>
      </c>
      <c r="W116" s="93">
        <f t="shared" si="53"/>
        <v>65</v>
      </c>
      <c r="X116" s="93">
        <f t="shared" si="53"/>
        <v>193</v>
      </c>
      <c r="Y116" s="93">
        <f t="shared" si="53"/>
        <v>354</v>
      </c>
      <c r="Z116" s="93">
        <f t="shared" si="53"/>
        <v>354</v>
      </c>
      <c r="AA116" s="93">
        <f t="shared" si="53"/>
        <v>322</v>
      </c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</row>
    <row r="117" ht="12.75" customHeight="1">
      <c r="A117" s="103"/>
      <c r="B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</row>
    <row r="118" ht="12.75" customHeight="1">
      <c r="A118" s="103"/>
      <c r="B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</row>
    <row r="119" ht="12.75" customHeight="1">
      <c r="A119" s="103"/>
      <c r="B119" s="76"/>
      <c r="C119" s="80" t="s">
        <v>163</v>
      </c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</row>
    <row r="120" ht="12.75" customHeight="1">
      <c r="A120" s="103"/>
      <c r="B120" s="76"/>
      <c r="C120" s="76"/>
      <c r="D120" s="76">
        <v>2024.0</v>
      </c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>
        <v>2025.0</v>
      </c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</row>
    <row r="121" ht="12.75" customHeight="1">
      <c r="A121" s="103"/>
      <c r="B121" s="76"/>
      <c r="C121" s="82" t="s">
        <v>159</v>
      </c>
      <c r="D121" s="76">
        <v>1.0</v>
      </c>
      <c r="E121" s="76">
        <v>2.0</v>
      </c>
      <c r="F121" s="76">
        <v>3.0</v>
      </c>
      <c r="G121" s="76">
        <v>4.0</v>
      </c>
      <c r="H121" s="76">
        <v>5.0</v>
      </c>
      <c r="I121" s="76">
        <v>6.0</v>
      </c>
      <c r="J121" s="76">
        <v>7.0</v>
      </c>
      <c r="K121" s="76">
        <v>8.0</v>
      </c>
      <c r="L121" s="76">
        <v>9.0</v>
      </c>
      <c r="M121" s="76">
        <v>10.0</v>
      </c>
      <c r="N121" s="76">
        <v>11.0</v>
      </c>
      <c r="O121" s="76">
        <v>12.0</v>
      </c>
      <c r="P121" s="76">
        <v>1.0</v>
      </c>
      <c r="Q121" s="76">
        <v>2.0</v>
      </c>
      <c r="R121" s="76">
        <v>3.0</v>
      </c>
      <c r="S121" s="76">
        <v>4.0</v>
      </c>
      <c r="T121" s="76">
        <v>5.0</v>
      </c>
      <c r="U121" s="76">
        <v>6.0</v>
      </c>
      <c r="V121" s="76">
        <v>7.0</v>
      </c>
      <c r="W121" s="76">
        <v>8.0</v>
      </c>
      <c r="X121" s="76">
        <v>9.0</v>
      </c>
      <c r="Y121" s="76">
        <v>10.0</v>
      </c>
      <c r="Z121" s="76">
        <v>11.0</v>
      </c>
      <c r="AA121" s="76">
        <v>12.0</v>
      </c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</row>
    <row r="122" ht="12.75" customHeight="1">
      <c r="A122" s="103"/>
      <c r="B122" s="76"/>
      <c r="C122" s="82" t="s">
        <v>164</v>
      </c>
      <c r="D122" s="107">
        <f t="shared" ref="D122:AA122" si="54">D123/24</f>
        <v>0</v>
      </c>
      <c r="E122" s="107">
        <f t="shared" si="54"/>
        <v>0</v>
      </c>
      <c r="F122" s="107">
        <f t="shared" si="54"/>
        <v>0</v>
      </c>
      <c r="G122" s="107">
        <f t="shared" si="54"/>
        <v>63.29166667</v>
      </c>
      <c r="H122" s="107">
        <f t="shared" si="54"/>
        <v>63.29166667</v>
      </c>
      <c r="I122" s="107">
        <f t="shared" si="54"/>
        <v>78.7594697</v>
      </c>
      <c r="J122" s="107">
        <f t="shared" si="54"/>
        <v>78.7594697</v>
      </c>
      <c r="K122" s="107">
        <f t="shared" si="54"/>
        <v>31.64583333</v>
      </c>
      <c r="L122" s="107">
        <f t="shared" si="54"/>
        <v>94.22727273</v>
      </c>
      <c r="M122" s="107">
        <f t="shared" si="54"/>
        <v>94.22727273</v>
      </c>
      <c r="N122" s="107">
        <f t="shared" si="54"/>
        <v>110.405303</v>
      </c>
      <c r="O122" s="107">
        <f t="shared" si="54"/>
        <v>125.8731061</v>
      </c>
      <c r="P122" s="107">
        <f t="shared" si="54"/>
        <v>125.8731061</v>
      </c>
      <c r="Q122" s="107">
        <f t="shared" si="54"/>
        <v>142.0511364</v>
      </c>
      <c r="R122" s="107">
        <f t="shared" si="54"/>
        <v>142.0511364</v>
      </c>
      <c r="S122" s="107">
        <f t="shared" si="54"/>
        <v>142.0511364</v>
      </c>
      <c r="T122" s="107">
        <f t="shared" si="54"/>
        <v>94.22727273</v>
      </c>
      <c r="U122" s="107">
        <f t="shared" si="54"/>
        <v>78.7594697</v>
      </c>
      <c r="V122" s="107">
        <f t="shared" si="54"/>
        <v>63.29166667</v>
      </c>
      <c r="W122" s="107">
        <f t="shared" si="54"/>
        <v>31.64583333</v>
      </c>
      <c r="X122" s="107">
        <f t="shared" si="54"/>
        <v>94.22727273</v>
      </c>
      <c r="Y122" s="107">
        <f t="shared" si="54"/>
        <v>172.9867424</v>
      </c>
      <c r="Z122" s="107">
        <f t="shared" si="54"/>
        <v>172.9867424</v>
      </c>
      <c r="AA122" s="107">
        <f t="shared" si="54"/>
        <v>157.5189394</v>
      </c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</row>
    <row r="123" ht="12.75" customHeight="1">
      <c r="A123" s="103"/>
      <c r="B123" s="76"/>
      <c r="C123" s="82" t="s">
        <v>165</v>
      </c>
      <c r="D123" s="108">
        <f t="shared" ref="D123:AA123" si="55">SUM(D124:D129)</f>
        <v>0</v>
      </c>
      <c r="E123" s="108">
        <f t="shared" si="55"/>
        <v>0</v>
      </c>
      <c r="F123" s="108">
        <f t="shared" si="55"/>
        <v>0</v>
      </c>
      <c r="G123" s="108">
        <f t="shared" si="55"/>
        <v>1519</v>
      </c>
      <c r="H123" s="108">
        <f t="shared" si="55"/>
        <v>1519</v>
      </c>
      <c r="I123" s="108">
        <f t="shared" si="55"/>
        <v>1890.227273</v>
      </c>
      <c r="J123" s="108">
        <f t="shared" si="55"/>
        <v>1890.227273</v>
      </c>
      <c r="K123" s="108">
        <f t="shared" si="55"/>
        <v>759.5</v>
      </c>
      <c r="L123" s="108">
        <f t="shared" si="55"/>
        <v>2261.454545</v>
      </c>
      <c r="M123" s="108">
        <f t="shared" si="55"/>
        <v>2261.454545</v>
      </c>
      <c r="N123" s="108">
        <f t="shared" si="55"/>
        <v>2649.727273</v>
      </c>
      <c r="O123" s="108">
        <f t="shared" si="55"/>
        <v>3020.954545</v>
      </c>
      <c r="P123" s="109">
        <f t="shared" si="55"/>
        <v>3020.954545</v>
      </c>
      <c r="Q123" s="109">
        <f t="shared" si="55"/>
        <v>3409.227273</v>
      </c>
      <c r="R123" s="109">
        <f t="shared" si="55"/>
        <v>3409.227273</v>
      </c>
      <c r="S123" s="109">
        <f t="shared" si="55"/>
        <v>3409.227273</v>
      </c>
      <c r="T123" s="109">
        <f t="shared" si="55"/>
        <v>2261.454545</v>
      </c>
      <c r="U123" s="109">
        <f t="shared" si="55"/>
        <v>1890.227273</v>
      </c>
      <c r="V123" s="109">
        <f t="shared" si="55"/>
        <v>1519</v>
      </c>
      <c r="W123" s="109">
        <f t="shared" si="55"/>
        <v>759.5</v>
      </c>
      <c r="X123" s="109">
        <f t="shared" si="55"/>
        <v>2261.454545</v>
      </c>
      <c r="Y123" s="109">
        <f t="shared" si="55"/>
        <v>4151.681818</v>
      </c>
      <c r="Z123" s="109">
        <f t="shared" si="55"/>
        <v>4151.681818</v>
      </c>
      <c r="AA123" s="109">
        <f t="shared" si="55"/>
        <v>3780.454545</v>
      </c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</row>
    <row r="124" ht="12.75" customHeight="1">
      <c r="A124" s="103"/>
      <c r="B124" s="595">
        <f>UNIT_PRICE_CLIENT_A</f>
        <v>5</v>
      </c>
      <c r="C124" s="76" t="s">
        <v>148</v>
      </c>
      <c r="D124" s="76">
        <f t="shared" ref="D124:AA124" si="56">D110*$B124</f>
        <v>0</v>
      </c>
      <c r="E124" s="76">
        <f t="shared" si="56"/>
        <v>0</v>
      </c>
      <c r="F124" s="76">
        <f t="shared" si="56"/>
        <v>0</v>
      </c>
      <c r="G124" s="76">
        <f t="shared" si="56"/>
        <v>140</v>
      </c>
      <c r="H124" s="76">
        <f t="shared" si="56"/>
        <v>140</v>
      </c>
      <c r="I124" s="76">
        <f t="shared" si="56"/>
        <v>175</v>
      </c>
      <c r="J124" s="76">
        <f t="shared" si="56"/>
        <v>175</v>
      </c>
      <c r="K124" s="76">
        <f t="shared" si="56"/>
        <v>70</v>
      </c>
      <c r="L124" s="76">
        <f t="shared" si="56"/>
        <v>210</v>
      </c>
      <c r="M124" s="76">
        <f t="shared" si="56"/>
        <v>210</v>
      </c>
      <c r="N124" s="76">
        <f t="shared" si="56"/>
        <v>245</v>
      </c>
      <c r="O124" s="76">
        <f t="shared" si="56"/>
        <v>280</v>
      </c>
      <c r="P124" s="76">
        <f t="shared" si="56"/>
        <v>280</v>
      </c>
      <c r="Q124" s="76">
        <f t="shared" si="56"/>
        <v>315</v>
      </c>
      <c r="R124" s="76">
        <f t="shared" si="56"/>
        <v>315</v>
      </c>
      <c r="S124" s="76">
        <f t="shared" si="56"/>
        <v>315</v>
      </c>
      <c r="T124" s="76">
        <f t="shared" si="56"/>
        <v>210</v>
      </c>
      <c r="U124" s="76">
        <f t="shared" si="56"/>
        <v>175</v>
      </c>
      <c r="V124" s="76">
        <f t="shared" si="56"/>
        <v>140</v>
      </c>
      <c r="W124" s="76">
        <f t="shared" si="56"/>
        <v>70</v>
      </c>
      <c r="X124" s="76">
        <f t="shared" si="56"/>
        <v>210</v>
      </c>
      <c r="Y124" s="76">
        <f t="shared" si="56"/>
        <v>385</v>
      </c>
      <c r="Z124" s="76">
        <f t="shared" si="56"/>
        <v>385</v>
      </c>
      <c r="AA124" s="76">
        <f t="shared" si="56"/>
        <v>350</v>
      </c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</row>
    <row r="125" ht="12.75" customHeight="1">
      <c r="A125" s="103"/>
      <c r="B125" s="595">
        <f>UNIT_PRICE_CLIENT_B</f>
        <v>9.181818182</v>
      </c>
      <c r="C125" s="76" t="s">
        <v>76</v>
      </c>
      <c r="D125" s="76">
        <f t="shared" ref="D125:AA125" si="57">D111*$B125</f>
        <v>0</v>
      </c>
      <c r="E125" s="76">
        <f t="shared" si="57"/>
        <v>0</v>
      </c>
      <c r="F125" s="76">
        <f t="shared" si="57"/>
        <v>0</v>
      </c>
      <c r="G125" s="76">
        <f t="shared" si="57"/>
        <v>238.7272727</v>
      </c>
      <c r="H125" s="76">
        <f t="shared" si="57"/>
        <v>238.7272727</v>
      </c>
      <c r="I125" s="76">
        <f t="shared" si="57"/>
        <v>293.8181818</v>
      </c>
      <c r="J125" s="76">
        <f t="shared" si="57"/>
        <v>293.8181818</v>
      </c>
      <c r="K125" s="76">
        <f t="shared" si="57"/>
        <v>119.3636364</v>
      </c>
      <c r="L125" s="76">
        <f t="shared" si="57"/>
        <v>348.9090909</v>
      </c>
      <c r="M125" s="76">
        <f t="shared" si="57"/>
        <v>348.9090909</v>
      </c>
      <c r="N125" s="76">
        <f t="shared" si="57"/>
        <v>413.1818182</v>
      </c>
      <c r="O125" s="76">
        <f t="shared" si="57"/>
        <v>468.2727273</v>
      </c>
      <c r="P125" s="76">
        <f t="shared" si="57"/>
        <v>468.2727273</v>
      </c>
      <c r="Q125" s="76">
        <f t="shared" si="57"/>
        <v>532.5454545</v>
      </c>
      <c r="R125" s="76">
        <f t="shared" si="57"/>
        <v>532.5454545</v>
      </c>
      <c r="S125" s="76">
        <f t="shared" si="57"/>
        <v>532.5454545</v>
      </c>
      <c r="T125" s="76">
        <f t="shared" si="57"/>
        <v>348.9090909</v>
      </c>
      <c r="U125" s="76">
        <f t="shared" si="57"/>
        <v>293.8181818</v>
      </c>
      <c r="V125" s="76">
        <f t="shared" si="57"/>
        <v>238.7272727</v>
      </c>
      <c r="W125" s="76">
        <f t="shared" si="57"/>
        <v>119.3636364</v>
      </c>
      <c r="X125" s="76">
        <f t="shared" si="57"/>
        <v>348.9090909</v>
      </c>
      <c r="Y125" s="76">
        <f t="shared" si="57"/>
        <v>642.7272727</v>
      </c>
      <c r="Z125" s="76">
        <f t="shared" si="57"/>
        <v>642.7272727</v>
      </c>
      <c r="AA125" s="76">
        <f t="shared" si="57"/>
        <v>587.6363636</v>
      </c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</row>
    <row r="126" ht="12.75" customHeight="1">
      <c r="A126" s="103"/>
      <c r="B126" s="595">
        <f>UNIT_PRICE_CLIENT_C</f>
        <v>12.72727273</v>
      </c>
      <c r="C126" s="76" t="s">
        <v>80</v>
      </c>
      <c r="D126" s="76">
        <f t="shared" ref="D126:AA126" si="58">D112*$B126</f>
        <v>0</v>
      </c>
      <c r="E126" s="76">
        <f t="shared" si="58"/>
        <v>0</v>
      </c>
      <c r="F126" s="76">
        <f t="shared" si="58"/>
        <v>0</v>
      </c>
      <c r="G126" s="76">
        <f t="shared" si="58"/>
        <v>229.0909091</v>
      </c>
      <c r="H126" s="76">
        <f t="shared" si="58"/>
        <v>229.0909091</v>
      </c>
      <c r="I126" s="76">
        <f t="shared" si="58"/>
        <v>292.7272727</v>
      </c>
      <c r="J126" s="76">
        <f t="shared" si="58"/>
        <v>292.7272727</v>
      </c>
      <c r="K126" s="76">
        <f t="shared" si="58"/>
        <v>114.5454545</v>
      </c>
      <c r="L126" s="76">
        <f t="shared" si="58"/>
        <v>356.3636364</v>
      </c>
      <c r="M126" s="76">
        <f t="shared" si="58"/>
        <v>356.3636364</v>
      </c>
      <c r="N126" s="76">
        <f t="shared" si="58"/>
        <v>407.2727273</v>
      </c>
      <c r="O126" s="76">
        <f t="shared" si="58"/>
        <v>470.9090909</v>
      </c>
      <c r="P126" s="76">
        <f t="shared" si="58"/>
        <v>470.9090909</v>
      </c>
      <c r="Q126" s="76">
        <f t="shared" si="58"/>
        <v>521.8181818</v>
      </c>
      <c r="R126" s="76">
        <f t="shared" si="58"/>
        <v>521.8181818</v>
      </c>
      <c r="S126" s="76">
        <f t="shared" si="58"/>
        <v>521.8181818</v>
      </c>
      <c r="T126" s="76">
        <f t="shared" si="58"/>
        <v>356.3636364</v>
      </c>
      <c r="U126" s="76">
        <f t="shared" si="58"/>
        <v>292.7272727</v>
      </c>
      <c r="V126" s="76">
        <f t="shared" si="58"/>
        <v>229.0909091</v>
      </c>
      <c r="W126" s="76">
        <f t="shared" si="58"/>
        <v>114.5454545</v>
      </c>
      <c r="X126" s="76">
        <f t="shared" si="58"/>
        <v>356.3636364</v>
      </c>
      <c r="Y126" s="76">
        <f t="shared" si="58"/>
        <v>649.0909091</v>
      </c>
      <c r="Z126" s="76">
        <f t="shared" si="58"/>
        <v>649.0909091</v>
      </c>
      <c r="AA126" s="76">
        <f t="shared" si="58"/>
        <v>585.4545455</v>
      </c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</row>
    <row r="127" ht="12.75" customHeight="1">
      <c r="A127" s="103"/>
      <c r="B127" s="595">
        <f>UNIT_PRICE_CLIENT_D</f>
        <v>16.36363636</v>
      </c>
      <c r="C127" s="76" t="s">
        <v>83</v>
      </c>
      <c r="D127" s="76">
        <f t="shared" ref="D127:AA127" si="59">D113*$B127</f>
        <v>0</v>
      </c>
      <c r="E127" s="76">
        <f t="shared" si="59"/>
        <v>0</v>
      </c>
      <c r="F127" s="76">
        <f t="shared" si="59"/>
        <v>0</v>
      </c>
      <c r="G127" s="76">
        <f t="shared" si="59"/>
        <v>458.1818182</v>
      </c>
      <c r="H127" s="76">
        <f t="shared" si="59"/>
        <v>458.1818182</v>
      </c>
      <c r="I127" s="76">
        <f t="shared" si="59"/>
        <v>572.7272727</v>
      </c>
      <c r="J127" s="76">
        <f t="shared" si="59"/>
        <v>572.7272727</v>
      </c>
      <c r="K127" s="76">
        <f t="shared" si="59"/>
        <v>229.0909091</v>
      </c>
      <c r="L127" s="76">
        <f t="shared" si="59"/>
        <v>687.2727273</v>
      </c>
      <c r="M127" s="76">
        <f t="shared" si="59"/>
        <v>687.2727273</v>
      </c>
      <c r="N127" s="76">
        <f t="shared" si="59"/>
        <v>801.8181818</v>
      </c>
      <c r="O127" s="76">
        <f t="shared" si="59"/>
        <v>916.3636364</v>
      </c>
      <c r="P127" s="76">
        <f t="shared" si="59"/>
        <v>916.3636364</v>
      </c>
      <c r="Q127" s="76">
        <f t="shared" si="59"/>
        <v>1030.909091</v>
      </c>
      <c r="R127" s="76">
        <f t="shared" si="59"/>
        <v>1030.909091</v>
      </c>
      <c r="S127" s="76">
        <f t="shared" si="59"/>
        <v>1030.909091</v>
      </c>
      <c r="T127" s="76">
        <f t="shared" si="59"/>
        <v>687.2727273</v>
      </c>
      <c r="U127" s="76">
        <f t="shared" si="59"/>
        <v>572.7272727</v>
      </c>
      <c r="V127" s="76">
        <f t="shared" si="59"/>
        <v>458.1818182</v>
      </c>
      <c r="W127" s="76">
        <f t="shared" si="59"/>
        <v>229.0909091</v>
      </c>
      <c r="X127" s="76">
        <f t="shared" si="59"/>
        <v>687.2727273</v>
      </c>
      <c r="Y127" s="76">
        <f t="shared" si="59"/>
        <v>1260</v>
      </c>
      <c r="Z127" s="76">
        <f t="shared" si="59"/>
        <v>1260</v>
      </c>
      <c r="AA127" s="76">
        <f t="shared" si="59"/>
        <v>1145.454545</v>
      </c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</row>
    <row r="128" ht="12.75" customHeight="1">
      <c r="A128" s="103"/>
      <c r="B128" s="595">
        <f>UNIT_PRICE_CLIENT_E</f>
        <v>20.59090909</v>
      </c>
      <c r="C128" s="76" t="s">
        <v>87</v>
      </c>
      <c r="D128" s="76">
        <f t="shared" ref="D128:AA128" si="60">D114*$B128</f>
        <v>0</v>
      </c>
      <c r="E128" s="76">
        <f t="shared" si="60"/>
        <v>0</v>
      </c>
      <c r="F128" s="76">
        <f t="shared" si="60"/>
        <v>0</v>
      </c>
      <c r="G128" s="76">
        <f t="shared" si="60"/>
        <v>453</v>
      </c>
      <c r="H128" s="76">
        <f t="shared" si="60"/>
        <v>453</v>
      </c>
      <c r="I128" s="76">
        <f t="shared" si="60"/>
        <v>555.9545455</v>
      </c>
      <c r="J128" s="76">
        <f t="shared" si="60"/>
        <v>555.9545455</v>
      </c>
      <c r="K128" s="76">
        <f t="shared" si="60"/>
        <v>226.5</v>
      </c>
      <c r="L128" s="76">
        <f t="shared" si="60"/>
        <v>658.9090909</v>
      </c>
      <c r="M128" s="76">
        <f t="shared" si="60"/>
        <v>658.9090909</v>
      </c>
      <c r="N128" s="76">
        <f t="shared" si="60"/>
        <v>782.4545455</v>
      </c>
      <c r="O128" s="76">
        <f t="shared" si="60"/>
        <v>885.4090909</v>
      </c>
      <c r="P128" s="76">
        <f t="shared" si="60"/>
        <v>885.4090909</v>
      </c>
      <c r="Q128" s="76">
        <f t="shared" si="60"/>
        <v>1008.954545</v>
      </c>
      <c r="R128" s="76">
        <f t="shared" si="60"/>
        <v>1008.954545</v>
      </c>
      <c r="S128" s="76">
        <f t="shared" si="60"/>
        <v>1008.954545</v>
      </c>
      <c r="T128" s="76">
        <f t="shared" si="60"/>
        <v>658.9090909</v>
      </c>
      <c r="U128" s="76">
        <f t="shared" si="60"/>
        <v>555.9545455</v>
      </c>
      <c r="V128" s="76">
        <f t="shared" si="60"/>
        <v>453</v>
      </c>
      <c r="W128" s="76">
        <f t="shared" si="60"/>
        <v>226.5</v>
      </c>
      <c r="X128" s="76">
        <f t="shared" si="60"/>
        <v>658.9090909</v>
      </c>
      <c r="Y128" s="76">
        <f t="shared" si="60"/>
        <v>1214.863636</v>
      </c>
      <c r="Z128" s="76">
        <f t="shared" si="60"/>
        <v>1214.863636</v>
      </c>
      <c r="AA128" s="76">
        <f t="shared" si="60"/>
        <v>1111.909091</v>
      </c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</row>
    <row r="129" ht="12.75" customHeight="1">
      <c r="A129" s="103"/>
      <c r="B129" s="595">
        <f>UNIT_PRICE_CLIENT_F</f>
        <v>0</v>
      </c>
      <c r="C129" s="76" t="s">
        <v>464</v>
      </c>
      <c r="D129" s="76">
        <f t="shared" ref="D129:AA129" si="61">D115*$B129</f>
        <v>0</v>
      </c>
      <c r="E129" s="76">
        <f t="shared" si="61"/>
        <v>0</v>
      </c>
      <c r="F129" s="76">
        <f t="shared" si="61"/>
        <v>0</v>
      </c>
      <c r="G129" s="76">
        <f t="shared" si="61"/>
        <v>0</v>
      </c>
      <c r="H129" s="76">
        <f t="shared" si="61"/>
        <v>0</v>
      </c>
      <c r="I129" s="76">
        <f t="shared" si="61"/>
        <v>0</v>
      </c>
      <c r="J129" s="76">
        <f t="shared" si="61"/>
        <v>0</v>
      </c>
      <c r="K129" s="76">
        <f t="shared" si="61"/>
        <v>0</v>
      </c>
      <c r="L129" s="76">
        <f t="shared" si="61"/>
        <v>0</v>
      </c>
      <c r="M129" s="76">
        <f t="shared" si="61"/>
        <v>0</v>
      </c>
      <c r="N129" s="76">
        <f t="shared" si="61"/>
        <v>0</v>
      </c>
      <c r="O129" s="76">
        <f t="shared" si="61"/>
        <v>0</v>
      </c>
      <c r="P129" s="76">
        <f t="shared" si="61"/>
        <v>0</v>
      </c>
      <c r="Q129" s="76">
        <f t="shared" si="61"/>
        <v>0</v>
      </c>
      <c r="R129" s="76">
        <f t="shared" si="61"/>
        <v>0</v>
      </c>
      <c r="S129" s="76">
        <f t="shared" si="61"/>
        <v>0</v>
      </c>
      <c r="T129" s="76">
        <f t="shared" si="61"/>
        <v>0</v>
      </c>
      <c r="U129" s="76">
        <f t="shared" si="61"/>
        <v>0</v>
      </c>
      <c r="V129" s="76">
        <f t="shared" si="61"/>
        <v>0</v>
      </c>
      <c r="W129" s="76">
        <f t="shared" si="61"/>
        <v>0</v>
      </c>
      <c r="X129" s="76">
        <f t="shared" si="61"/>
        <v>0</v>
      </c>
      <c r="Y129" s="76">
        <f t="shared" si="61"/>
        <v>0</v>
      </c>
      <c r="Z129" s="76">
        <f t="shared" si="61"/>
        <v>0</v>
      </c>
      <c r="AA129" s="76">
        <f t="shared" si="61"/>
        <v>0</v>
      </c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</row>
    <row r="130" ht="12.75" customHeight="1">
      <c r="A130" s="103"/>
      <c r="B130" s="76"/>
      <c r="D130" s="112">
        <f>SUM(D123:O123)</f>
        <v>17771.54545</v>
      </c>
      <c r="P130" s="113">
        <f>SUM(P123:AA123)</f>
        <v>34024.09091</v>
      </c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</row>
    <row r="131" ht="12.75" customHeight="1">
      <c r="A131" s="103"/>
      <c r="B131" s="76"/>
      <c r="C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</row>
    <row r="132" ht="12.75" customHeight="1">
      <c r="A132" s="103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115">
        <f>(P130-D130)/D130</f>
        <v>0.9145262856</v>
      </c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</row>
    <row r="133" ht="12.75" customHeight="1">
      <c r="A133" s="103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</row>
    <row r="134" ht="12.75" customHeight="1">
      <c r="A134" s="103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</row>
    <row r="135" ht="12.75" customHeight="1">
      <c r="A135" s="103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</row>
    <row r="136" ht="12.75" customHeight="1">
      <c r="A136" s="103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</row>
    <row r="137" ht="12.75" customHeight="1">
      <c r="A137" s="103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</row>
    <row r="138" ht="12.75" customHeight="1">
      <c r="A138" s="76"/>
      <c r="B138" s="117" t="s">
        <v>177</v>
      </c>
      <c r="C138" s="117" t="s">
        <v>178</v>
      </c>
      <c r="D138" s="117">
        <v>2024.0</v>
      </c>
      <c r="E138" s="117">
        <v>2025.0</v>
      </c>
      <c r="F138" s="117">
        <v>2026.0</v>
      </c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</row>
    <row r="139" ht="12.75" customHeight="1">
      <c r="A139" s="596" t="s">
        <v>179</v>
      </c>
      <c r="B139" s="117"/>
      <c r="C139" s="117"/>
      <c r="D139" s="117"/>
      <c r="E139" s="117"/>
      <c r="F139" s="117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</row>
    <row r="140" ht="12.75" customHeight="1">
      <c r="A140" s="76"/>
      <c r="B140" s="117">
        <v>8.0</v>
      </c>
      <c r="C140" s="117" t="s">
        <v>180</v>
      </c>
      <c r="D140" s="117">
        <v>10.0</v>
      </c>
      <c r="E140" s="117">
        <v>25.0</v>
      </c>
      <c r="F140" s="117">
        <v>30.0</v>
      </c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</row>
    <row r="141" ht="12.75" customHeight="1">
      <c r="A141" s="76"/>
      <c r="B141" s="117">
        <v>20.0</v>
      </c>
      <c r="C141" s="117" t="s">
        <v>181</v>
      </c>
      <c r="D141" s="117">
        <v>0.0</v>
      </c>
      <c r="E141" s="117">
        <v>10.0</v>
      </c>
      <c r="F141" s="117">
        <v>30.0</v>
      </c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</row>
    <row r="142" ht="12.75" customHeight="1">
      <c r="A142" s="76"/>
      <c r="B142" s="117">
        <v>15.0</v>
      </c>
      <c r="C142" s="117" t="s">
        <v>182</v>
      </c>
      <c r="D142" s="117">
        <v>0.0</v>
      </c>
      <c r="E142" s="117">
        <v>0.0</v>
      </c>
      <c r="F142" s="117">
        <v>10.0</v>
      </c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</row>
    <row r="143" ht="12.75" customHeight="1">
      <c r="A143" s="76"/>
      <c r="B143" s="117">
        <v>10.0</v>
      </c>
      <c r="C143" s="117" t="s">
        <v>183</v>
      </c>
      <c r="D143" s="117">
        <v>10.0</v>
      </c>
      <c r="E143" s="117">
        <v>25.0</v>
      </c>
      <c r="F143" s="117">
        <v>30.0</v>
      </c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</row>
    <row r="144" ht="12.75" customHeight="1">
      <c r="B144" s="119">
        <v>30.0</v>
      </c>
      <c r="C144" s="119" t="s">
        <v>184</v>
      </c>
      <c r="D144" s="117">
        <v>0.0</v>
      </c>
      <c r="E144" s="117">
        <v>0.0</v>
      </c>
      <c r="F144" s="117">
        <v>5.0</v>
      </c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</row>
    <row r="145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</row>
    <row r="146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</row>
    <row r="147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</row>
    <row r="148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</row>
    <row r="149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</row>
    <row r="150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</row>
    <row r="151" ht="12.75" customHeight="1">
      <c r="A151" s="600"/>
      <c r="B151" s="600"/>
      <c r="C151" s="600"/>
      <c r="D151" s="600"/>
      <c r="E151" s="600"/>
      <c r="F151" s="600"/>
      <c r="G151" s="600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</row>
    <row r="152" ht="12.75" customHeight="1">
      <c r="A152" s="601" t="s">
        <v>467</v>
      </c>
      <c r="B152" s="602" t="s">
        <v>468</v>
      </c>
      <c r="C152" s="602"/>
      <c r="D152" s="602">
        <v>2024.0</v>
      </c>
      <c r="E152" s="602">
        <v>2025.0</v>
      </c>
      <c r="F152" s="602">
        <v>2026.0</v>
      </c>
      <c r="G152" s="600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</row>
    <row r="153" ht="12.75" customHeight="1">
      <c r="A153" s="600"/>
      <c r="B153" s="602">
        <v>450.0</v>
      </c>
      <c r="C153" s="602" t="s">
        <v>469</v>
      </c>
      <c r="D153" s="602">
        <v>1.0</v>
      </c>
      <c r="E153" s="602">
        <v>2.0</v>
      </c>
      <c r="F153" s="602">
        <v>2.0</v>
      </c>
      <c r="G153" s="600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</row>
    <row r="154" ht="12.75" customHeight="1">
      <c r="A154" s="600"/>
      <c r="B154" s="602">
        <v>1000.0</v>
      </c>
      <c r="C154" s="602" t="s">
        <v>470</v>
      </c>
      <c r="D154" s="602"/>
      <c r="E154" s="602">
        <v>1.0</v>
      </c>
      <c r="F154" s="602">
        <v>2.0</v>
      </c>
      <c r="G154" s="600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</row>
    <row r="155" ht="12.75" customHeight="1">
      <c r="A155" s="600"/>
      <c r="B155" s="600"/>
      <c r="C155" s="600"/>
      <c r="D155" s="600"/>
      <c r="E155" s="600"/>
      <c r="F155" s="600"/>
      <c r="G155" s="600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</row>
    <row r="156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</row>
    <row r="159" ht="12.75" customHeight="1">
      <c r="A159" s="76"/>
      <c r="B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</row>
    <row r="160" ht="12.75" customHeight="1">
      <c r="A160" s="76"/>
      <c r="B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</row>
    <row r="711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</row>
    <row r="71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</row>
    <row r="713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</row>
    <row r="714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</row>
    <row r="715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</row>
    <row r="716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</row>
    <row r="717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</row>
    <row r="718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</row>
    <row r="719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</row>
    <row r="720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</row>
    <row r="721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</row>
    <row r="72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</row>
    <row r="723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</row>
    <row r="724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</row>
    <row r="725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</row>
    <row r="726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</row>
    <row r="727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</row>
    <row r="728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</row>
    <row r="729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</row>
    <row r="730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</row>
    <row r="731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</row>
    <row r="733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</row>
    <row r="734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</row>
    <row r="735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</row>
    <row r="736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</row>
    <row r="737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</row>
    <row r="738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</row>
    <row r="739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</row>
    <row r="740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</row>
    <row r="741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</row>
    <row r="74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</row>
    <row r="743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</row>
    <row r="744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</row>
    <row r="745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</row>
    <row r="746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</row>
    <row r="747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</row>
    <row r="748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</row>
    <row r="749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</row>
    <row r="750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</row>
    <row r="751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</row>
    <row r="75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</row>
    <row r="753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</row>
    <row r="754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</row>
    <row r="755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</row>
    <row r="756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</row>
    <row r="757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</row>
    <row r="758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</row>
    <row r="759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</row>
    <row r="760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</row>
    <row r="761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</row>
    <row r="76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</row>
    <row r="763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</row>
    <row r="764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</row>
    <row r="765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</row>
    <row r="766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</row>
    <row r="767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</row>
    <row r="768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</row>
    <row r="769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</row>
    <row r="770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</row>
    <row r="771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</row>
    <row r="77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</row>
    <row r="773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</row>
    <row r="774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</row>
    <row r="775" ht="12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</row>
    <row r="776" ht="12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</row>
    <row r="777" ht="12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</row>
    <row r="778" ht="12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</row>
    <row r="779" ht="12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</row>
    <row r="780" ht="12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</row>
    <row r="781" ht="12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</row>
    <row r="782" ht="12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</row>
    <row r="783" ht="12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</row>
    <row r="784" ht="12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</row>
    <row r="785" ht="12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</row>
    <row r="786" ht="12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</row>
    <row r="787" ht="12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</row>
    <row r="788" ht="12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</row>
    <row r="789" ht="12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</row>
    <row r="790" ht="12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</row>
    <row r="791" ht="12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</row>
    <row r="792" ht="12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</row>
    <row r="793" ht="12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</row>
    <row r="794" ht="12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</row>
    <row r="795" ht="12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</row>
    <row r="796" ht="12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</row>
    <row r="797" ht="12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</row>
    <row r="798" ht="12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</row>
    <row r="799" ht="12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</row>
    <row r="800" ht="12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</row>
    <row r="801" ht="12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</row>
    <row r="802" ht="12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</row>
    <row r="803" ht="12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</row>
    <row r="804" ht="12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</row>
    <row r="805" ht="12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</row>
    <row r="806" ht="12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</row>
    <row r="807" ht="12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</row>
    <row r="808" ht="12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</row>
    <row r="809" ht="12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</row>
    <row r="810" ht="12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</row>
    <row r="811" ht="12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</row>
    <row r="812" ht="12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</row>
    <row r="813" ht="12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</row>
    <row r="814" ht="12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</row>
    <row r="815" ht="12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</row>
    <row r="816" ht="12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</row>
    <row r="817" ht="12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</row>
    <row r="818" ht="12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</row>
    <row r="819" ht="12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</row>
    <row r="820" ht="12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</row>
    <row r="821" ht="12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</row>
    <row r="822" ht="12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</row>
    <row r="823" ht="12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</row>
    <row r="824" ht="12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</row>
    <row r="825" ht="12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</row>
    <row r="826" ht="12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</row>
    <row r="827" ht="12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</row>
    <row r="828" ht="12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</row>
    <row r="829" ht="12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</row>
    <row r="830" ht="12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</row>
    <row r="831" ht="12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</row>
    <row r="832" ht="12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</row>
    <row r="833" ht="12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</row>
    <row r="834" ht="12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</row>
    <row r="835" ht="12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</row>
    <row r="836" ht="12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</row>
    <row r="837" ht="12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</row>
    <row r="838" ht="12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</row>
    <row r="839" ht="12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</row>
    <row r="840" ht="12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</row>
    <row r="841" ht="12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</row>
    <row r="842" ht="12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</row>
    <row r="843" ht="12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</row>
    <row r="844" ht="12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</row>
    <row r="845" ht="12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</row>
    <row r="846" ht="12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</row>
    <row r="847" ht="12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</row>
    <row r="848" ht="12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</row>
    <row r="849" ht="12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</row>
    <row r="850" ht="12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</row>
    <row r="851" ht="12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</row>
    <row r="852" ht="12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</row>
    <row r="853" ht="12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</row>
    <row r="854" ht="12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</row>
    <row r="855" ht="12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</row>
    <row r="856" ht="12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</row>
    <row r="857" ht="12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</row>
  </sheetData>
  <autoFilter ref="$C$36:$AA$46"/>
  <mergeCells count="6">
    <mergeCell ref="D60:O61"/>
    <mergeCell ref="P60:AA61"/>
    <mergeCell ref="O62:P63"/>
    <mergeCell ref="D130:O131"/>
    <mergeCell ref="P130:AA131"/>
    <mergeCell ref="O132:P13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6.75"/>
    <col customWidth="1" min="4" max="13" width="7.5"/>
    <col customWidth="1" min="14" max="14" width="13.38"/>
    <col customWidth="1" min="15" max="15" width="14.75"/>
    <col customWidth="1" min="16" max="19" width="7.5"/>
    <col customWidth="1" min="20" max="20" width="8.38"/>
    <col customWidth="1" min="21" max="27" width="7.5"/>
    <col customWidth="1" min="28" max="51" width="11.38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</row>
    <row r="2" ht="47.25" customHeight="1">
      <c r="A2" s="78" t="s">
        <v>463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</row>
    <row r="3" ht="12.75" customHeight="1">
      <c r="A3" s="79"/>
      <c r="B3" s="76"/>
      <c r="C3" s="80" t="s">
        <v>140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</row>
    <row r="4" ht="12.75" customHeight="1">
      <c r="A4" s="79"/>
      <c r="B4" s="76"/>
      <c r="C4" s="82" t="s">
        <v>141</v>
      </c>
      <c r="D4" s="76" t="s">
        <v>471</v>
      </c>
      <c r="E4" s="76" t="s">
        <v>472</v>
      </c>
      <c r="F4" s="76" t="s">
        <v>473</v>
      </c>
      <c r="G4" s="76" t="s">
        <v>474</v>
      </c>
      <c r="H4" s="76" t="s">
        <v>475</v>
      </c>
      <c r="I4" s="76" t="s">
        <v>476</v>
      </c>
      <c r="J4" s="76" t="s">
        <v>477</v>
      </c>
      <c r="K4" s="76"/>
      <c r="L4" s="76"/>
      <c r="M4" s="76"/>
      <c r="N4" s="604" t="s">
        <v>478</v>
      </c>
      <c r="O4" s="604" t="s">
        <v>480</v>
      </c>
      <c r="P4" s="605"/>
      <c r="Q4" s="76"/>
      <c r="R4" s="76"/>
      <c r="S4" s="76"/>
      <c r="T4" s="76"/>
      <c r="U4" s="77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</row>
    <row r="5" ht="12.75" customHeight="1">
      <c r="A5" s="79"/>
      <c r="B5" s="76"/>
      <c r="C5" s="76" t="s">
        <v>148</v>
      </c>
      <c r="D5" s="98">
        <v>0.35</v>
      </c>
      <c r="E5" s="98">
        <v>0.15</v>
      </c>
      <c r="F5" s="98">
        <v>0.05</v>
      </c>
      <c r="G5" s="98"/>
      <c r="H5" s="98"/>
      <c r="I5" s="98">
        <v>0.35</v>
      </c>
      <c r="J5" s="98">
        <v>0.45</v>
      </c>
      <c r="K5" s="76"/>
      <c r="L5" s="76"/>
      <c r="M5" s="76"/>
      <c r="N5" s="606" t="s">
        <v>122</v>
      </c>
      <c r="O5" s="606" t="s">
        <v>481</v>
      </c>
      <c r="P5" s="76"/>
      <c r="Q5" s="76"/>
      <c r="R5" s="76"/>
      <c r="S5" s="76"/>
      <c r="T5" s="85"/>
      <c r="U5" s="607"/>
      <c r="V5" s="85"/>
      <c r="W5" s="85"/>
      <c r="X5" s="85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</row>
    <row r="6" ht="12.75" customHeight="1">
      <c r="A6" s="79"/>
      <c r="B6" s="76"/>
      <c r="C6" s="76" t="s">
        <v>76</v>
      </c>
      <c r="D6" s="98">
        <v>0.45</v>
      </c>
      <c r="E6" s="98">
        <v>0.35</v>
      </c>
      <c r="F6" s="98">
        <v>0.1</v>
      </c>
      <c r="G6" s="98"/>
      <c r="H6" s="98"/>
      <c r="I6" s="98">
        <v>0.3</v>
      </c>
      <c r="J6" s="98">
        <v>0.55</v>
      </c>
      <c r="K6" s="76"/>
      <c r="L6" s="76"/>
      <c r="M6" s="76"/>
      <c r="N6" s="606" t="s">
        <v>482</v>
      </c>
      <c r="O6" s="606" t="s">
        <v>483</v>
      </c>
      <c r="P6" s="76"/>
      <c r="Q6" s="76"/>
      <c r="R6" s="76"/>
      <c r="S6" s="76"/>
      <c r="T6" s="90"/>
      <c r="U6" s="90"/>
      <c r="V6" s="90"/>
      <c r="W6" s="90"/>
      <c r="X6" s="85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</row>
    <row r="7" ht="12.75" customHeight="1">
      <c r="A7" s="79"/>
      <c r="B7" s="76"/>
      <c r="C7" s="76" t="s">
        <v>80</v>
      </c>
      <c r="D7" s="98">
        <v>0.1</v>
      </c>
      <c r="E7" s="98">
        <v>0.3</v>
      </c>
      <c r="F7" s="98">
        <v>0.3</v>
      </c>
      <c r="G7" s="98">
        <v>0.3</v>
      </c>
      <c r="H7" s="98">
        <v>0.3</v>
      </c>
      <c r="I7" s="98">
        <v>0.15</v>
      </c>
      <c r="J7" s="98">
        <v>0.05</v>
      </c>
      <c r="K7" s="76"/>
      <c r="L7" s="76"/>
      <c r="M7" s="76"/>
      <c r="N7" s="608"/>
      <c r="O7" s="608"/>
      <c r="P7" s="76"/>
      <c r="Q7" s="76"/>
      <c r="R7" s="76"/>
      <c r="S7" s="76"/>
      <c r="T7" s="609"/>
      <c r="U7" s="610"/>
      <c r="W7" s="90"/>
      <c r="X7" s="85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</row>
    <row r="8" ht="12.75" customHeight="1">
      <c r="A8" s="79"/>
      <c r="B8" s="76"/>
      <c r="C8" s="76" t="s">
        <v>83</v>
      </c>
      <c r="D8" s="98">
        <v>0.05</v>
      </c>
      <c r="E8" s="98">
        <v>0.1</v>
      </c>
      <c r="F8" s="98">
        <v>0.2</v>
      </c>
      <c r="G8" s="98">
        <v>0.35</v>
      </c>
      <c r="H8" s="98">
        <v>0.35</v>
      </c>
      <c r="I8" s="98">
        <v>0.1</v>
      </c>
      <c r="J8" s="98"/>
      <c r="K8" s="76"/>
      <c r="L8" s="76"/>
      <c r="M8" s="76"/>
      <c r="N8" s="608"/>
      <c r="O8" s="608"/>
      <c r="P8" s="76"/>
      <c r="Q8" s="76"/>
      <c r="R8" s="76"/>
      <c r="S8" s="76"/>
      <c r="T8" s="85"/>
      <c r="U8" s="85"/>
      <c r="V8" s="90"/>
      <c r="W8" s="90"/>
      <c r="X8" s="85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</row>
    <row r="9" ht="12.75" customHeight="1">
      <c r="A9" s="79"/>
      <c r="B9" s="76"/>
      <c r="C9" s="76" t="s">
        <v>87</v>
      </c>
      <c r="D9" s="98">
        <v>0.05</v>
      </c>
      <c r="E9" s="98">
        <v>0.05</v>
      </c>
      <c r="F9" s="98">
        <v>0.2</v>
      </c>
      <c r="G9" s="98">
        <v>0.15</v>
      </c>
      <c r="H9" s="98">
        <v>0.15</v>
      </c>
      <c r="I9" s="98">
        <v>0.05</v>
      </c>
      <c r="J9" s="98"/>
      <c r="K9" s="76"/>
      <c r="L9" s="76"/>
      <c r="M9" s="76"/>
      <c r="N9" s="608"/>
      <c r="O9" s="608"/>
      <c r="P9" s="76"/>
      <c r="Q9" s="76"/>
      <c r="R9" s="76"/>
      <c r="S9" s="76"/>
      <c r="T9" s="85"/>
      <c r="U9" s="85"/>
      <c r="V9" s="90"/>
      <c r="W9" s="90"/>
      <c r="X9" s="85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</row>
    <row r="10" ht="12.75" customHeight="1">
      <c r="A10" s="79"/>
      <c r="B10" s="76"/>
      <c r="C10" s="76" t="s">
        <v>464</v>
      </c>
      <c r="D10" s="98"/>
      <c r="E10" s="98">
        <v>0.05</v>
      </c>
      <c r="F10" s="98">
        <v>0.15</v>
      </c>
      <c r="G10" s="98">
        <v>0.2</v>
      </c>
      <c r="H10" s="98">
        <v>0.2</v>
      </c>
      <c r="I10" s="98">
        <v>0.05</v>
      </c>
      <c r="J10" s="98"/>
      <c r="K10" s="76"/>
      <c r="L10" s="76"/>
      <c r="M10" s="76"/>
      <c r="N10" s="608"/>
      <c r="O10" s="608"/>
      <c r="P10" s="76"/>
      <c r="Q10" s="76"/>
      <c r="R10" s="76"/>
      <c r="S10" s="76"/>
      <c r="T10" s="85"/>
      <c r="U10" s="85"/>
      <c r="V10" s="90"/>
      <c r="W10" s="90"/>
      <c r="X10" s="85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</row>
    <row r="11" ht="12.75" customHeight="1">
      <c r="A11" s="79"/>
      <c r="B11" s="76"/>
      <c r="C11" s="76"/>
      <c r="D11" s="89">
        <f t="shared" ref="D11:J11" si="1">SUM(D5:D10)</f>
        <v>1</v>
      </c>
      <c r="E11" s="89">
        <f t="shared" si="1"/>
        <v>1</v>
      </c>
      <c r="F11" s="89">
        <f t="shared" si="1"/>
        <v>1</v>
      </c>
      <c r="G11" s="89">
        <f t="shared" si="1"/>
        <v>1</v>
      </c>
      <c r="H11" s="89">
        <f t="shared" si="1"/>
        <v>1</v>
      </c>
      <c r="I11" s="89">
        <f t="shared" si="1"/>
        <v>1</v>
      </c>
      <c r="J11" s="89">
        <f t="shared" si="1"/>
        <v>1.05</v>
      </c>
      <c r="K11" s="76"/>
      <c r="L11" s="76"/>
      <c r="M11" s="76"/>
      <c r="N11" s="76"/>
      <c r="O11" s="76"/>
      <c r="P11" s="76"/>
      <c r="Q11" s="76"/>
      <c r="R11" s="76"/>
      <c r="S11" s="76"/>
      <c r="T11" s="85"/>
      <c r="U11" s="85"/>
      <c r="V11" s="90"/>
      <c r="W11" s="90"/>
      <c r="X11" s="85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</row>
    <row r="12" ht="12.75" customHeight="1">
      <c r="A12" s="79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85"/>
      <c r="U12" s="85"/>
      <c r="V12" s="90"/>
      <c r="W12" s="90"/>
      <c r="X12" s="85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</row>
    <row r="13" ht="12.75" customHeight="1">
      <c r="A13" s="79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85"/>
      <c r="U13" s="85"/>
      <c r="V13" s="90"/>
      <c r="W13" s="90"/>
      <c r="X13" s="85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</row>
    <row r="14" ht="12.75" customHeight="1">
      <c r="A14" s="79"/>
      <c r="B14" s="76"/>
      <c r="C14" s="80" t="s">
        <v>140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90"/>
      <c r="U14" s="90"/>
      <c r="V14" s="90"/>
      <c r="W14" s="90"/>
      <c r="X14" s="85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</row>
    <row r="15" ht="12.75" customHeight="1">
      <c r="A15" s="79"/>
      <c r="B15" s="76"/>
      <c r="D15" s="76" t="s">
        <v>471</v>
      </c>
      <c r="E15" s="76" t="s">
        <v>472</v>
      </c>
      <c r="F15" s="76" t="s">
        <v>473</v>
      </c>
      <c r="G15" s="76" t="s">
        <v>474</v>
      </c>
      <c r="H15" s="76" t="s">
        <v>475</v>
      </c>
      <c r="I15" s="76" t="s">
        <v>476</v>
      </c>
      <c r="J15" s="76" t="s">
        <v>477</v>
      </c>
      <c r="K15" s="76"/>
      <c r="L15" s="76"/>
      <c r="M15" s="76"/>
      <c r="N15" s="76"/>
      <c r="O15" s="76"/>
      <c r="P15" s="76"/>
      <c r="Q15" s="76"/>
      <c r="R15" s="76"/>
      <c r="S15" s="76"/>
      <c r="T15" s="90"/>
      <c r="U15" s="90"/>
      <c r="V15" s="90"/>
      <c r="W15" s="90"/>
      <c r="X15" s="85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</row>
    <row r="16" ht="12.75" customHeight="1">
      <c r="A16" s="79"/>
      <c r="B16" s="76"/>
      <c r="C16" s="82" t="s">
        <v>149</v>
      </c>
      <c r="D16" s="159">
        <v>15.0</v>
      </c>
      <c r="E16" s="159">
        <v>28.0</v>
      </c>
      <c r="F16" s="159">
        <v>30.0</v>
      </c>
      <c r="G16" s="159">
        <v>30.0</v>
      </c>
      <c r="H16" s="159">
        <v>35.0</v>
      </c>
      <c r="I16" s="159">
        <v>28.0</v>
      </c>
      <c r="J16" s="159">
        <v>25.0</v>
      </c>
      <c r="K16" s="76"/>
      <c r="L16" s="76"/>
      <c r="M16" s="76"/>
      <c r="N16" s="76"/>
      <c r="O16" s="76"/>
      <c r="P16" s="76"/>
      <c r="Q16" s="76"/>
      <c r="R16" s="76"/>
      <c r="S16" s="76"/>
      <c r="T16" s="90"/>
      <c r="U16" s="90"/>
      <c r="V16" s="90"/>
      <c r="W16" s="90"/>
      <c r="X16" s="85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</row>
    <row r="17" ht="12.75" customHeight="1">
      <c r="A17" s="79"/>
      <c r="B17" s="76"/>
      <c r="C17" s="76" t="s">
        <v>72</v>
      </c>
      <c r="D17" s="91">
        <f t="shared" ref="D17:J17" si="2">ROUND( D$16*D5,0)</f>
        <v>5</v>
      </c>
      <c r="E17" s="91">
        <f t="shared" si="2"/>
        <v>4</v>
      </c>
      <c r="F17" s="91">
        <f t="shared" si="2"/>
        <v>2</v>
      </c>
      <c r="G17" s="91">
        <f t="shared" si="2"/>
        <v>0</v>
      </c>
      <c r="H17" s="91">
        <f t="shared" si="2"/>
        <v>0</v>
      </c>
      <c r="I17" s="91">
        <f t="shared" si="2"/>
        <v>10</v>
      </c>
      <c r="J17" s="91">
        <f t="shared" si="2"/>
        <v>11</v>
      </c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</row>
    <row r="18" ht="12.75" customHeight="1">
      <c r="A18" s="79"/>
      <c r="B18" s="76"/>
      <c r="C18" s="76" t="s">
        <v>76</v>
      </c>
      <c r="D18" s="91">
        <f t="shared" ref="D18:J18" si="3">ROUND( D$16*D6,0)</f>
        <v>7</v>
      </c>
      <c r="E18" s="91">
        <f t="shared" si="3"/>
        <v>10</v>
      </c>
      <c r="F18" s="91">
        <f t="shared" si="3"/>
        <v>3</v>
      </c>
      <c r="G18" s="91">
        <f t="shared" si="3"/>
        <v>0</v>
      </c>
      <c r="H18" s="91">
        <f t="shared" si="3"/>
        <v>0</v>
      </c>
      <c r="I18" s="91">
        <f t="shared" si="3"/>
        <v>8</v>
      </c>
      <c r="J18" s="91">
        <f t="shared" si="3"/>
        <v>14</v>
      </c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</row>
    <row r="19" ht="12.75" customHeight="1">
      <c r="A19" s="79"/>
      <c r="B19" s="76"/>
      <c r="C19" s="76" t="s">
        <v>80</v>
      </c>
      <c r="D19" s="91">
        <f t="shared" ref="D19:J19" si="4">ROUND( D$16*D7,0)</f>
        <v>2</v>
      </c>
      <c r="E19" s="91">
        <f t="shared" si="4"/>
        <v>8</v>
      </c>
      <c r="F19" s="91">
        <f t="shared" si="4"/>
        <v>9</v>
      </c>
      <c r="G19" s="91">
        <f t="shared" si="4"/>
        <v>9</v>
      </c>
      <c r="H19" s="91">
        <f t="shared" si="4"/>
        <v>11</v>
      </c>
      <c r="I19" s="91">
        <f t="shared" si="4"/>
        <v>4</v>
      </c>
      <c r="J19" s="91">
        <f t="shared" si="4"/>
        <v>1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</row>
    <row r="20" ht="12.75" customHeight="1">
      <c r="A20" s="79"/>
      <c r="B20" s="76"/>
      <c r="C20" s="76" t="s">
        <v>83</v>
      </c>
      <c r="D20" s="91">
        <f t="shared" ref="D20:J20" si="5">ROUND( D$16*D8,0)</f>
        <v>1</v>
      </c>
      <c r="E20" s="91">
        <f t="shared" si="5"/>
        <v>3</v>
      </c>
      <c r="F20" s="91">
        <f t="shared" si="5"/>
        <v>6</v>
      </c>
      <c r="G20" s="91">
        <f t="shared" si="5"/>
        <v>11</v>
      </c>
      <c r="H20" s="91">
        <f t="shared" si="5"/>
        <v>12</v>
      </c>
      <c r="I20" s="91">
        <f t="shared" si="5"/>
        <v>3</v>
      </c>
      <c r="J20" s="91">
        <f t="shared" si="5"/>
        <v>0</v>
      </c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</row>
    <row r="21" ht="12.75" customHeight="1">
      <c r="A21" s="79"/>
      <c r="B21" s="76"/>
      <c r="C21" s="76" t="s">
        <v>87</v>
      </c>
      <c r="D21" s="91">
        <f t="shared" ref="D21:J21" si="6">ROUND( D$16*D9,0)</f>
        <v>1</v>
      </c>
      <c r="E21" s="91">
        <f t="shared" si="6"/>
        <v>1</v>
      </c>
      <c r="F21" s="91">
        <f t="shared" si="6"/>
        <v>6</v>
      </c>
      <c r="G21" s="91">
        <f t="shared" si="6"/>
        <v>5</v>
      </c>
      <c r="H21" s="91">
        <f t="shared" si="6"/>
        <v>5</v>
      </c>
      <c r="I21" s="91">
        <f t="shared" si="6"/>
        <v>1</v>
      </c>
      <c r="J21" s="91">
        <f t="shared" si="6"/>
        <v>0</v>
      </c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</row>
    <row r="22" ht="12.75" customHeight="1">
      <c r="A22" s="79"/>
      <c r="B22" s="76"/>
      <c r="C22" s="76" t="s">
        <v>464</v>
      </c>
      <c r="D22" s="91">
        <f t="shared" ref="D22:J22" si="7">ROUND( D$16*D10,0)</f>
        <v>0</v>
      </c>
      <c r="E22" s="91">
        <f t="shared" si="7"/>
        <v>1</v>
      </c>
      <c r="F22" s="91">
        <f t="shared" si="7"/>
        <v>5</v>
      </c>
      <c r="G22" s="91">
        <f t="shared" si="7"/>
        <v>6</v>
      </c>
      <c r="H22" s="91">
        <f t="shared" si="7"/>
        <v>7</v>
      </c>
      <c r="I22" s="91">
        <f t="shared" si="7"/>
        <v>1</v>
      </c>
      <c r="J22" s="91">
        <f t="shared" si="7"/>
        <v>0</v>
      </c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</row>
    <row r="23" ht="12.75" customHeight="1">
      <c r="A23" s="79"/>
      <c r="B23" s="76"/>
      <c r="C23" s="76"/>
      <c r="D23" s="93">
        <f t="shared" ref="D23:J23" si="8">SUM(D17:D22)</f>
        <v>16</v>
      </c>
      <c r="E23" s="93">
        <f t="shared" si="8"/>
        <v>27</v>
      </c>
      <c r="F23" s="93">
        <f t="shared" si="8"/>
        <v>31</v>
      </c>
      <c r="G23" s="93">
        <f t="shared" si="8"/>
        <v>31</v>
      </c>
      <c r="H23" s="93">
        <f t="shared" si="8"/>
        <v>35</v>
      </c>
      <c r="I23" s="93">
        <f t="shared" si="8"/>
        <v>27</v>
      </c>
      <c r="J23" s="93">
        <f t="shared" si="8"/>
        <v>26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</row>
    <row r="24" ht="12.75" customHeight="1">
      <c r="A24" s="79"/>
      <c r="B24" s="76"/>
      <c r="C24" s="8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</row>
    <row r="25" ht="12.75" customHeight="1">
      <c r="A25" s="79"/>
      <c r="B25" s="76"/>
      <c r="C25" s="80" t="s">
        <v>150</v>
      </c>
      <c r="D25" s="95" t="s">
        <v>151</v>
      </c>
      <c r="E25" s="95" t="s">
        <v>152</v>
      </c>
      <c r="F25" s="95" t="s">
        <v>153</v>
      </c>
      <c r="G25" s="95" t="s">
        <v>154</v>
      </c>
      <c r="H25" s="95" t="s">
        <v>155</v>
      </c>
      <c r="I25" s="95" t="s">
        <v>156</v>
      </c>
      <c r="J25" s="95" t="s">
        <v>151</v>
      </c>
      <c r="K25" s="95" t="s">
        <v>152</v>
      </c>
      <c r="L25" s="95" t="s">
        <v>153</v>
      </c>
      <c r="M25" s="95" t="s">
        <v>154</v>
      </c>
      <c r="N25" s="95" t="s">
        <v>155</v>
      </c>
      <c r="O25" s="95" t="s">
        <v>156</v>
      </c>
      <c r="P25" s="95" t="s">
        <v>151</v>
      </c>
      <c r="Q25" s="95" t="s">
        <v>152</v>
      </c>
      <c r="R25" s="95" t="s">
        <v>153</v>
      </c>
      <c r="S25" s="95" t="s">
        <v>154</v>
      </c>
      <c r="T25" s="95" t="s">
        <v>155</v>
      </c>
      <c r="U25" s="95" t="s">
        <v>156</v>
      </c>
      <c r="V25" s="95" t="s">
        <v>151</v>
      </c>
      <c r="W25" s="95" t="s">
        <v>152</v>
      </c>
      <c r="X25" s="95" t="s">
        <v>153</v>
      </c>
      <c r="Y25" s="95" t="s">
        <v>154</v>
      </c>
      <c r="Z25" s="95" t="s">
        <v>155</v>
      </c>
      <c r="AA25" s="95" t="s">
        <v>156</v>
      </c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</row>
    <row r="26" ht="12.75" customHeight="1">
      <c r="A26" s="79"/>
      <c r="B26" s="76"/>
      <c r="C26" s="76"/>
      <c r="D26" s="76">
        <v>1.0</v>
      </c>
      <c r="E26" s="76">
        <v>2.0</v>
      </c>
      <c r="F26" s="76">
        <v>3.0</v>
      </c>
      <c r="G26" s="76">
        <v>4.0</v>
      </c>
      <c r="H26" s="76">
        <v>5.0</v>
      </c>
      <c r="I26" s="76">
        <v>6.0</v>
      </c>
      <c r="J26" s="76">
        <v>7.0</v>
      </c>
      <c r="K26" s="76">
        <v>8.0</v>
      </c>
      <c r="L26" s="76">
        <v>9.0</v>
      </c>
      <c r="M26" s="76">
        <v>10.0</v>
      </c>
      <c r="N26" s="76">
        <v>11.0</v>
      </c>
      <c r="O26" s="76">
        <v>12.0</v>
      </c>
      <c r="P26" s="76">
        <v>13.0</v>
      </c>
      <c r="Q26" s="76">
        <v>14.0</v>
      </c>
      <c r="R26" s="76">
        <v>15.0</v>
      </c>
      <c r="S26" s="76">
        <v>16.0</v>
      </c>
      <c r="T26" s="76">
        <v>17.0</v>
      </c>
      <c r="U26" s="76">
        <v>18.0</v>
      </c>
      <c r="V26" s="76">
        <v>19.0</v>
      </c>
      <c r="W26" s="76">
        <v>20.0</v>
      </c>
      <c r="X26" s="76">
        <v>21.0</v>
      </c>
      <c r="Y26" s="76">
        <v>22.0</v>
      </c>
      <c r="Z26" s="76">
        <v>23.0</v>
      </c>
      <c r="AA26" s="76">
        <v>24.0</v>
      </c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</row>
    <row r="27" ht="12.75" customHeight="1">
      <c r="A27" s="79"/>
      <c r="C27" s="82" t="s">
        <v>157</v>
      </c>
      <c r="D27" s="98">
        <v>0.5</v>
      </c>
      <c r="E27" s="98">
        <v>0.6</v>
      </c>
      <c r="F27" s="98">
        <v>0.6</v>
      </c>
      <c r="G27" s="98">
        <v>0.7</v>
      </c>
      <c r="H27" s="98">
        <v>0.9</v>
      </c>
      <c r="I27" s="98">
        <v>0.9</v>
      </c>
      <c r="J27" s="98">
        <v>0.5</v>
      </c>
      <c r="K27" s="98">
        <v>0.6</v>
      </c>
      <c r="L27" s="98">
        <v>0.6</v>
      </c>
      <c r="M27" s="98">
        <v>0.7</v>
      </c>
      <c r="N27" s="98">
        <v>0.9</v>
      </c>
      <c r="O27" s="98">
        <v>0.9</v>
      </c>
      <c r="P27" s="98">
        <v>0.5</v>
      </c>
      <c r="Q27" s="98">
        <v>0.6</v>
      </c>
      <c r="R27" s="98">
        <v>0.6</v>
      </c>
      <c r="S27" s="98">
        <v>0.7</v>
      </c>
      <c r="T27" s="98">
        <v>0.9</v>
      </c>
      <c r="U27" s="98">
        <v>0.9</v>
      </c>
      <c r="V27" s="98">
        <v>0.5</v>
      </c>
      <c r="W27" s="98">
        <v>0.6</v>
      </c>
      <c r="X27" s="98">
        <v>0.6</v>
      </c>
      <c r="Y27" s="98">
        <v>0.7</v>
      </c>
      <c r="Z27" s="98">
        <v>0.9</v>
      </c>
      <c r="AA27" s="98">
        <v>0.9</v>
      </c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</row>
    <row r="28" ht="12.75" customHeight="1">
      <c r="A28" s="79"/>
      <c r="B28" s="76"/>
      <c r="C28" s="76" t="s">
        <v>148</v>
      </c>
      <c r="D28" s="76">
        <f t="shared" ref="D28:D33" si="10">ROUND(SUM($D17:$M17)*D$27,0)</f>
        <v>16</v>
      </c>
      <c r="E28" s="76">
        <f t="shared" ref="E28:AA28" si="9">ROUND(SUM($D17:$M17)*E27,0)</f>
        <v>19</v>
      </c>
      <c r="F28" s="76">
        <f t="shared" si="9"/>
        <v>19</v>
      </c>
      <c r="G28" s="76">
        <f t="shared" si="9"/>
        <v>22</v>
      </c>
      <c r="H28" s="76">
        <f t="shared" si="9"/>
        <v>29</v>
      </c>
      <c r="I28" s="76">
        <f t="shared" si="9"/>
        <v>29</v>
      </c>
      <c r="J28" s="76">
        <f t="shared" si="9"/>
        <v>16</v>
      </c>
      <c r="K28" s="76">
        <f t="shared" si="9"/>
        <v>19</v>
      </c>
      <c r="L28" s="76">
        <f t="shared" si="9"/>
        <v>19</v>
      </c>
      <c r="M28" s="76">
        <f t="shared" si="9"/>
        <v>22</v>
      </c>
      <c r="N28" s="76">
        <f t="shared" si="9"/>
        <v>29</v>
      </c>
      <c r="O28" s="76">
        <f t="shared" si="9"/>
        <v>29</v>
      </c>
      <c r="P28" s="76">
        <f t="shared" si="9"/>
        <v>16</v>
      </c>
      <c r="Q28" s="76">
        <f t="shared" si="9"/>
        <v>19</v>
      </c>
      <c r="R28" s="76">
        <f t="shared" si="9"/>
        <v>19</v>
      </c>
      <c r="S28" s="76">
        <f t="shared" si="9"/>
        <v>22</v>
      </c>
      <c r="T28" s="76">
        <f t="shared" si="9"/>
        <v>29</v>
      </c>
      <c r="U28" s="76">
        <f t="shared" si="9"/>
        <v>29</v>
      </c>
      <c r="V28" s="76">
        <f t="shared" si="9"/>
        <v>16</v>
      </c>
      <c r="W28" s="76">
        <f t="shared" si="9"/>
        <v>19</v>
      </c>
      <c r="X28" s="76">
        <f t="shared" si="9"/>
        <v>19</v>
      </c>
      <c r="Y28" s="76">
        <f t="shared" si="9"/>
        <v>22</v>
      </c>
      <c r="Z28" s="76">
        <f t="shared" si="9"/>
        <v>29</v>
      </c>
      <c r="AA28" s="76">
        <f t="shared" si="9"/>
        <v>29</v>
      </c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</row>
    <row r="29" ht="12.75" customHeight="1">
      <c r="A29" s="79"/>
      <c r="B29" s="76"/>
      <c r="C29" s="76" t="s">
        <v>76</v>
      </c>
      <c r="D29" s="76">
        <f t="shared" si="10"/>
        <v>21</v>
      </c>
      <c r="E29" s="76">
        <f t="shared" ref="E29:AA29" si="11">ROUND(SUM($D18:$M18)*E$27,0)</f>
        <v>25</v>
      </c>
      <c r="F29" s="76">
        <f t="shared" si="11"/>
        <v>25</v>
      </c>
      <c r="G29" s="76">
        <f t="shared" si="11"/>
        <v>29</v>
      </c>
      <c r="H29" s="76">
        <f t="shared" si="11"/>
        <v>38</v>
      </c>
      <c r="I29" s="76">
        <f t="shared" si="11"/>
        <v>38</v>
      </c>
      <c r="J29" s="76">
        <f t="shared" si="11"/>
        <v>21</v>
      </c>
      <c r="K29" s="76">
        <f t="shared" si="11"/>
        <v>25</v>
      </c>
      <c r="L29" s="76">
        <f t="shared" si="11"/>
        <v>25</v>
      </c>
      <c r="M29" s="76">
        <f t="shared" si="11"/>
        <v>29</v>
      </c>
      <c r="N29" s="76">
        <f t="shared" si="11"/>
        <v>38</v>
      </c>
      <c r="O29" s="76">
        <f t="shared" si="11"/>
        <v>38</v>
      </c>
      <c r="P29" s="76">
        <f t="shared" si="11"/>
        <v>21</v>
      </c>
      <c r="Q29" s="76">
        <f t="shared" si="11"/>
        <v>25</v>
      </c>
      <c r="R29" s="76">
        <f t="shared" si="11"/>
        <v>25</v>
      </c>
      <c r="S29" s="76">
        <f t="shared" si="11"/>
        <v>29</v>
      </c>
      <c r="T29" s="76">
        <f t="shared" si="11"/>
        <v>38</v>
      </c>
      <c r="U29" s="76">
        <f t="shared" si="11"/>
        <v>38</v>
      </c>
      <c r="V29" s="76">
        <f t="shared" si="11"/>
        <v>21</v>
      </c>
      <c r="W29" s="76">
        <f t="shared" si="11"/>
        <v>25</v>
      </c>
      <c r="X29" s="76">
        <f t="shared" si="11"/>
        <v>25</v>
      </c>
      <c r="Y29" s="76">
        <f t="shared" si="11"/>
        <v>29</v>
      </c>
      <c r="Z29" s="76">
        <f t="shared" si="11"/>
        <v>38</v>
      </c>
      <c r="AA29" s="76">
        <f t="shared" si="11"/>
        <v>38</v>
      </c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</row>
    <row r="30" ht="12.75" customHeight="1">
      <c r="A30" s="79"/>
      <c r="B30" s="76"/>
      <c r="C30" s="76" t="s">
        <v>80</v>
      </c>
      <c r="D30" s="76">
        <f t="shared" si="10"/>
        <v>22</v>
      </c>
      <c r="E30" s="76">
        <f t="shared" ref="E30:AA30" si="12">ROUND(SUM($D19:$M19)*E$27,0)</f>
        <v>26</v>
      </c>
      <c r="F30" s="76">
        <f t="shared" si="12"/>
        <v>26</v>
      </c>
      <c r="G30" s="76">
        <f t="shared" si="12"/>
        <v>31</v>
      </c>
      <c r="H30" s="76">
        <f t="shared" si="12"/>
        <v>40</v>
      </c>
      <c r="I30" s="76">
        <f t="shared" si="12"/>
        <v>40</v>
      </c>
      <c r="J30" s="76">
        <f t="shared" si="12"/>
        <v>22</v>
      </c>
      <c r="K30" s="76">
        <f t="shared" si="12"/>
        <v>26</v>
      </c>
      <c r="L30" s="76">
        <f t="shared" si="12"/>
        <v>26</v>
      </c>
      <c r="M30" s="76">
        <f t="shared" si="12"/>
        <v>31</v>
      </c>
      <c r="N30" s="76">
        <f t="shared" si="12"/>
        <v>40</v>
      </c>
      <c r="O30" s="76">
        <f t="shared" si="12"/>
        <v>40</v>
      </c>
      <c r="P30" s="76">
        <f t="shared" si="12"/>
        <v>22</v>
      </c>
      <c r="Q30" s="76">
        <f t="shared" si="12"/>
        <v>26</v>
      </c>
      <c r="R30" s="76">
        <f t="shared" si="12"/>
        <v>26</v>
      </c>
      <c r="S30" s="76">
        <f t="shared" si="12"/>
        <v>31</v>
      </c>
      <c r="T30" s="76">
        <f t="shared" si="12"/>
        <v>40</v>
      </c>
      <c r="U30" s="76">
        <f t="shared" si="12"/>
        <v>40</v>
      </c>
      <c r="V30" s="76">
        <f t="shared" si="12"/>
        <v>22</v>
      </c>
      <c r="W30" s="76">
        <f t="shared" si="12"/>
        <v>26</v>
      </c>
      <c r="X30" s="76">
        <f t="shared" si="12"/>
        <v>26</v>
      </c>
      <c r="Y30" s="76">
        <f t="shared" si="12"/>
        <v>31</v>
      </c>
      <c r="Z30" s="76">
        <f t="shared" si="12"/>
        <v>40</v>
      </c>
      <c r="AA30" s="76">
        <f t="shared" si="12"/>
        <v>40</v>
      </c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</row>
    <row r="31" ht="12.75" customHeight="1">
      <c r="A31" s="79"/>
      <c r="B31" s="76"/>
      <c r="C31" s="76" t="s">
        <v>83</v>
      </c>
      <c r="D31" s="76">
        <f t="shared" si="10"/>
        <v>18</v>
      </c>
      <c r="E31" s="76">
        <f t="shared" ref="E31:AA31" si="13">ROUND(SUM($D20:$M20)*E$27,0)</f>
        <v>22</v>
      </c>
      <c r="F31" s="76">
        <f t="shared" si="13"/>
        <v>22</v>
      </c>
      <c r="G31" s="76">
        <f t="shared" si="13"/>
        <v>25</v>
      </c>
      <c r="H31" s="76">
        <f t="shared" si="13"/>
        <v>32</v>
      </c>
      <c r="I31" s="76">
        <f t="shared" si="13"/>
        <v>32</v>
      </c>
      <c r="J31" s="76">
        <f t="shared" si="13"/>
        <v>18</v>
      </c>
      <c r="K31" s="76">
        <f t="shared" si="13"/>
        <v>22</v>
      </c>
      <c r="L31" s="76">
        <f t="shared" si="13"/>
        <v>22</v>
      </c>
      <c r="M31" s="76">
        <f t="shared" si="13"/>
        <v>25</v>
      </c>
      <c r="N31" s="76">
        <f t="shared" si="13"/>
        <v>32</v>
      </c>
      <c r="O31" s="76">
        <f t="shared" si="13"/>
        <v>32</v>
      </c>
      <c r="P31" s="76">
        <f t="shared" si="13"/>
        <v>18</v>
      </c>
      <c r="Q31" s="76">
        <f t="shared" si="13"/>
        <v>22</v>
      </c>
      <c r="R31" s="76">
        <f t="shared" si="13"/>
        <v>22</v>
      </c>
      <c r="S31" s="76">
        <f t="shared" si="13"/>
        <v>25</v>
      </c>
      <c r="T31" s="76">
        <f t="shared" si="13"/>
        <v>32</v>
      </c>
      <c r="U31" s="76">
        <f t="shared" si="13"/>
        <v>32</v>
      </c>
      <c r="V31" s="76">
        <f t="shared" si="13"/>
        <v>18</v>
      </c>
      <c r="W31" s="76">
        <f t="shared" si="13"/>
        <v>22</v>
      </c>
      <c r="X31" s="76">
        <f t="shared" si="13"/>
        <v>22</v>
      </c>
      <c r="Y31" s="76">
        <f t="shared" si="13"/>
        <v>25</v>
      </c>
      <c r="Z31" s="76">
        <f t="shared" si="13"/>
        <v>32</v>
      </c>
      <c r="AA31" s="76">
        <f t="shared" si="13"/>
        <v>32</v>
      </c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</row>
    <row r="32" ht="12.75" customHeight="1">
      <c r="A32" s="79"/>
      <c r="B32" s="76"/>
      <c r="C32" s="76" t="s">
        <v>87</v>
      </c>
      <c r="D32" s="76">
        <f t="shared" si="10"/>
        <v>10</v>
      </c>
      <c r="E32" s="76">
        <f t="shared" ref="E32:AA32" si="14">ROUND(SUM($D21:$M21)*E$27,0)</f>
        <v>11</v>
      </c>
      <c r="F32" s="76">
        <f t="shared" si="14"/>
        <v>11</v>
      </c>
      <c r="G32" s="76">
        <f t="shared" si="14"/>
        <v>13</v>
      </c>
      <c r="H32" s="76">
        <f t="shared" si="14"/>
        <v>17</v>
      </c>
      <c r="I32" s="76">
        <f t="shared" si="14"/>
        <v>17</v>
      </c>
      <c r="J32" s="76">
        <f t="shared" si="14"/>
        <v>10</v>
      </c>
      <c r="K32" s="76">
        <f t="shared" si="14"/>
        <v>11</v>
      </c>
      <c r="L32" s="76">
        <f t="shared" si="14"/>
        <v>11</v>
      </c>
      <c r="M32" s="76">
        <f t="shared" si="14"/>
        <v>13</v>
      </c>
      <c r="N32" s="76">
        <f t="shared" si="14"/>
        <v>17</v>
      </c>
      <c r="O32" s="76">
        <f t="shared" si="14"/>
        <v>17</v>
      </c>
      <c r="P32" s="76">
        <f t="shared" si="14"/>
        <v>10</v>
      </c>
      <c r="Q32" s="76">
        <f t="shared" si="14"/>
        <v>11</v>
      </c>
      <c r="R32" s="76">
        <f t="shared" si="14"/>
        <v>11</v>
      </c>
      <c r="S32" s="76">
        <f t="shared" si="14"/>
        <v>13</v>
      </c>
      <c r="T32" s="76">
        <f t="shared" si="14"/>
        <v>17</v>
      </c>
      <c r="U32" s="76">
        <f t="shared" si="14"/>
        <v>17</v>
      </c>
      <c r="V32" s="76">
        <f t="shared" si="14"/>
        <v>10</v>
      </c>
      <c r="W32" s="76">
        <f t="shared" si="14"/>
        <v>11</v>
      </c>
      <c r="X32" s="76">
        <f t="shared" si="14"/>
        <v>11</v>
      </c>
      <c r="Y32" s="76">
        <f t="shared" si="14"/>
        <v>13</v>
      </c>
      <c r="Z32" s="76">
        <f t="shared" si="14"/>
        <v>17</v>
      </c>
      <c r="AA32" s="76">
        <f t="shared" si="14"/>
        <v>17</v>
      </c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</row>
    <row r="33" ht="12.75" customHeight="1">
      <c r="A33" s="79"/>
      <c r="B33" s="76"/>
      <c r="C33" s="76" t="s">
        <v>464</v>
      </c>
      <c r="D33" s="76">
        <f t="shared" si="10"/>
        <v>10</v>
      </c>
      <c r="E33" s="76">
        <f t="shared" ref="E33:AA33" si="15">ROUND(SUM($D22:$M22)*E$27,0)</f>
        <v>12</v>
      </c>
      <c r="F33" s="76">
        <f t="shared" si="15"/>
        <v>12</v>
      </c>
      <c r="G33" s="76">
        <f t="shared" si="15"/>
        <v>14</v>
      </c>
      <c r="H33" s="76">
        <f t="shared" si="15"/>
        <v>18</v>
      </c>
      <c r="I33" s="76">
        <f t="shared" si="15"/>
        <v>18</v>
      </c>
      <c r="J33" s="76">
        <f t="shared" si="15"/>
        <v>10</v>
      </c>
      <c r="K33" s="76">
        <f t="shared" si="15"/>
        <v>12</v>
      </c>
      <c r="L33" s="76">
        <f t="shared" si="15"/>
        <v>12</v>
      </c>
      <c r="M33" s="76">
        <f t="shared" si="15"/>
        <v>14</v>
      </c>
      <c r="N33" s="76">
        <f t="shared" si="15"/>
        <v>18</v>
      </c>
      <c r="O33" s="76">
        <f t="shared" si="15"/>
        <v>18</v>
      </c>
      <c r="P33" s="76">
        <f t="shared" si="15"/>
        <v>10</v>
      </c>
      <c r="Q33" s="76">
        <f t="shared" si="15"/>
        <v>12</v>
      </c>
      <c r="R33" s="76">
        <f t="shared" si="15"/>
        <v>12</v>
      </c>
      <c r="S33" s="76">
        <f t="shared" si="15"/>
        <v>14</v>
      </c>
      <c r="T33" s="76">
        <f t="shared" si="15"/>
        <v>18</v>
      </c>
      <c r="U33" s="76">
        <f t="shared" si="15"/>
        <v>18</v>
      </c>
      <c r="V33" s="76">
        <f t="shared" si="15"/>
        <v>10</v>
      </c>
      <c r="W33" s="76">
        <f t="shared" si="15"/>
        <v>12</v>
      </c>
      <c r="X33" s="76">
        <f t="shared" si="15"/>
        <v>12</v>
      </c>
      <c r="Y33" s="76">
        <f t="shared" si="15"/>
        <v>14</v>
      </c>
      <c r="Z33" s="76">
        <f t="shared" si="15"/>
        <v>18</v>
      </c>
      <c r="AA33" s="76">
        <f t="shared" si="15"/>
        <v>18</v>
      </c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</row>
    <row r="34" ht="12.75" customHeight="1">
      <c r="A34" s="79"/>
      <c r="B34" s="76"/>
      <c r="C34" s="76"/>
      <c r="D34" s="93">
        <f t="shared" ref="D34:AA34" si="16">SUM(D28:D33)</f>
        <v>97</v>
      </c>
      <c r="E34" s="93">
        <f t="shared" si="16"/>
        <v>115</v>
      </c>
      <c r="F34" s="93">
        <f t="shared" si="16"/>
        <v>115</v>
      </c>
      <c r="G34" s="93">
        <f t="shared" si="16"/>
        <v>134</v>
      </c>
      <c r="H34" s="93">
        <f t="shared" si="16"/>
        <v>174</v>
      </c>
      <c r="I34" s="93">
        <f t="shared" si="16"/>
        <v>174</v>
      </c>
      <c r="J34" s="93">
        <f t="shared" si="16"/>
        <v>97</v>
      </c>
      <c r="K34" s="93">
        <f t="shared" si="16"/>
        <v>115</v>
      </c>
      <c r="L34" s="93">
        <f t="shared" si="16"/>
        <v>115</v>
      </c>
      <c r="M34" s="93">
        <f t="shared" si="16"/>
        <v>134</v>
      </c>
      <c r="N34" s="93">
        <f t="shared" si="16"/>
        <v>174</v>
      </c>
      <c r="O34" s="93">
        <f t="shared" si="16"/>
        <v>174</v>
      </c>
      <c r="P34" s="93">
        <f t="shared" si="16"/>
        <v>97</v>
      </c>
      <c r="Q34" s="93">
        <f t="shared" si="16"/>
        <v>115</v>
      </c>
      <c r="R34" s="93">
        <f t="shared" si="16"/>
        <v>115</v>
      </c>
      <c r="S34" s="93">
        <f t="shared" si="16"/>
        <v>134</v>
      </c>
      <c r="T34" s="93">
        <f t="shared" si="16"/>
        <v>174</v>
      </c>
      <c r="U34" s="93">
        <f t="shared" si="16"/>
        <v>174</v>
      </c>
      <c r="V34" s="93">
        <f t="shared" si="16"/>
        <v>97</v>
      </c>
      <c r="W34" s="93">
        <f t="shared" si="16"/>
        <v>115</v>
      </c>
      <c r="X34" s="93">
        <f t="shared" si="16"/>
        <v>115</v>
      </c>
      <c r="Y34" s="93">
        <f t="shared" si="16"/>
        <v>134</v>
      </c>
      <c r="Z34" s="93">
        <f t="shared" si="16"/>
        <v>174</v>
      </c>
      <c r="AA34" s="93">
        <f t="shared" si="16"/>
        <v>174</v>
      </c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</row>
    <row r="35" ht="12.75" customHeight="1">
      <c r="A35" s="79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</row>
    <row r="36" ht="12.75" customHeight="1">
      <c r="A36" s="79"/>
      <c r="B36" s="76"/>
      <c r="C36" s="80" t="s">
        <v>158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</row>
    <row r="37" ht="12.75" customHeight="1">
      <c r="A37" s="79"/>
      <c r="B37" s="76"/>
      <c r="C37" s="76"/>
      <c r="D37" s="76">
        <v>2024.0</v>
      </c>
      <c r="E37" s="76"/>
      <c r="F37" s="76"/>
      <c r="G37" s="76"/>
      <c r="H37" s="76"/>
      <c r="I37" s="76"/>
      <c r="J37" s="76"/>
      <c r="K37" s="95" t="s">
        <v>465</v>
      </c>
      <c r="L37" s="76"/>
      <c r="M37" s="76"/>
      <c r="N37" s="76"/>
      <c r="O37" s="76"/>
      <c r="P37" s="76">
        <v>2025.0</v>
      </c>
      <c r="Q37" s="76"/>
      <c r="R37" s="76"/>
      <c r="S37" s="76"/>
      <c r="T37" s="76"/>
      <c r="U37" s="76"/>
      <c r="V37" s="76"/>
      <c r="W37" s="95" t="s">
        <v>465</v>
      </c>
      <c r="X37" s="76"/>
      <c r="Y37" s="76"/>
      <c r="Z37" s="76"/>
      <c r="AA37" s="76"/>
      <c r="AB37" s="76">
        <v>2026.0</v>
      </c>
      <c r="AC37" s="76"/>
      <c r="AD37" s="76"/>
      <c r="AE37" s="76"/>
      <c r="AF37" s="76"/>
      <c r="AG37" s="76"/>
      <c r="AH37" s="76"/>
      <c r="AI37" s="95" t="s">
        <v>465</v>
      </c>
      <c r="AJ37" s="76"/>
      <c r="AK37" s="76"/>
      <c r="AL37" s="76"/>
      <c r="AM37" s="76"/>
      <c r="AN37" s="76">
        <v>2027.0</v>
      </c>
      <c r="AO37" s="76"/>
      <c r="AP37" s="76"/>
      <c r="AQ37" s="76"/>
      <c r="AR37" s="76"/>
      <c r="AS37" s="76"/>
      <c r="AT37" s="76"/>
      <c r="AU37" s="95" t="s">
        <v>465</v>
      </c>
      <c r="AV37" s="76"/>
      <c r="AW37" s="76"/>
      <c r="AX37" s="76"/>
      <c r="AY37" s="76"/>
    </row>
    <row r="38" ht="12.75" customHeight="1">
      <c r="A38" s="79"/>
      <c r="B38" s="76"/>
      <c r="C38" s="82" t="s">
        <v>159</v>
      </c>
      <c r="D38" s="76">
        <v>1.0</v>
      </c>
      <c r="E38" s="76">
        <v>2.0</v>
      </c>
      <c r="F38" s="76">
        <v>3.0</v>
      </c>
      <c r="G38" s="76">
        <v>4.0</v>
      </c>
      <c r="H38" s="76">
        <v>5.0</v>
      </c>
      <c r="I38" s="76">
        <v>6.0</v>
      </c>
      <c r="J38" s="76">
        <v>7.0</v>
      </c>
      <c r="K38" s="76">
        <v>8.0</v>
      </c>
      <c r="L38" s="76">
        <v>9.0</v>
      </c>
      <c r="M38" s="76">
        <v>10.0</v>
      </c>
      <c r="N38" s="76">
        <v>11.0</v>
      </c>
      <c r="O38" s="76">
        <v>12.0</v>
      </c>
      <c r="P38" s="76">
        <v>1.0</v>
      </c>
      <c r="Q38" s="76">
        <v>2.0</v>
      </c>
      <c r="R38" s="76">
        <v>3.0</v>
      </c>
      <c r="S38" s="76">
        <v>4.0</v>
      </c>
      <c r="T38" s="76">
        <v>5.0</v>
      </c>
      <c r="U38" s="76">
        <v>6.0</v>
      </c>
      <c r="V38" s="76">
        <v>7.0</v>
      </c>
      <c r="W38" s="76">
        <v>8.0</v>
      </c>
      <c r="X38" s="76">
        <v>9.0</v>
      </c>
      <c r="Y38" s="76">
        <v>10.0</v>
      </c>
      <c r="Z38" s="76">
        <v>11.0</v>
      </c>
      <c r="AA38" s="76">
        <v>12.0</v>
      </c>
      <c r="AB38" s="76">
        <v>1.0</v>
      </c>
      <c r="AC38" s="76">
        <v>2.0</v>
      </c>
      <c r="AD38" s="76">
        <v>3.0</v>
      </c>
      <c r="AE38" s="76">
        <v>4.0</v>
      </c>
      <c r="AF38" s="76">
        <v>5.0</v>
      </c>
      <c r="AG38" s="76">
        <v>6.0</v>
      </c>
      <c r="AH38" s="76">
        <v>7.0</v>
      </c>
      <c r="AI38" s="76">
        <v>8.0</v>
      </c>
      <c r="AJ38" s="76">
        <v>9.0</v>
      </c>
      <c r="AK38" s="76">
        <v>10.0</v>
      </c>
      <c r="AL38" s="76">
        <v>11.0</v>
      </c>
      <c r="AM38" s="76">
        <v>12.0</v>
      </c>
      <c r="AN38" s="76">
        <v>1.0</v>
      </c>
      <c r="AO38" s="76">
        <v>2.0</v>
      </c>
      <c r="AP38" s="76">
        <v>3.0</v>
      </c>
      <c r="AQ38" s="76">
        <v>4.0</v>
      </c>
      <c r="AR38" s="76">
        <v>5.0</v>
      </c>
      <c r="AS38" s="76">
        <v>6.0</v>
      </c>
      <c r="AT38" s="76">
        <v>7.0</v>
      </c>
      <c r="AU38" s="76">
        <v>8.0</v>
      </c>
      <c r="AV38" s="76">
        <v>9.0</v>
      </c>
      <c r="AW38" s="76">
        <v>10.0</v>
      </c>
      <c r="AX38" s="76">
        <v>11.0</v>
      </c>
      <c r="AY38" s="76">
        <v>12.0</v>
      </c>
    </row>
    <row r="39" ht="12.75" customHeight="1">
      <c r="A39" s="79"/>
      <c r="B39" s="76"/>
      <c r="C39" s="82" t="s">
        <v>160</v>
      </c>
      <c r="D39" s="98">
        <v>0.3</v>
      </c>
      <c r="E39" s="98">
        <v>0.4</v>
      </c>
      <c r="F39" s="98">
        <v>0.4</v>
      </c>
      <c r="G39" s="98">
        <v>0.4</v>
      </c>
      <c r="H39" s="98">
        <v>0.5</v>
      </c>
      <c r="I39" s="98">
        <v>0.7</v>
      </c>
      <c r="J39" s="98">
        <v>0.7</v>
      </c>
      <c r="K39" s="98">
        <v>0.2</v>
      </c>
      <c r="L39" s="98">
        <v>0.8</v>
      </c>
      <c r="M39" s="98">
        <v>0.7</v>
      </c>
      <c r="N39" s="98">
        <v>0.8</v>
      </c>
      <c r="O39" s="98">
        <v>0.6</v>
      </c>
      <c r="P39" s="98">
        <v>0.7</v>
      </c>
      <c r="Q39" s="98">
        <v>0.8</v>
      </c>
      <c r="R39" s="98">
        <v>0.8</v>
      </c>
      <c r="S39" s="98">
        <v>0.8</v>
      </c>
      <c r="T39" s="98">
        <v>0.8</v>
      </c>
      <c r="U39" s="98">
        <v>0.9</v>
      </c>
      <c r="V39" s="98">
        <v>0.9</v>
      </c>
      <c r="W39" s="98">
        <v>0.3</v>
      </c>
      <c r="X39" s="98">
        <v>0.9</v>
      </c>
      <c r="Y39" s="98">
        <v>0.8</v>
      </c>
      <c r="Z39" s="98">
        <v>0.8</v>
      </c>
      <c r="AA39" s="98">
        <v>0.6</v>
      </c>
      <c r="AB39" s="98">
        <v>0.8</v>
      </c>
      <c r="AC39" s="98">
        <v>0.9</v>
      </c>
      <c r="AD39" s="98">
        <v>0.8</v>
      </c>
      <c r="AE39" s="98">
        <v>0.8</v>
      </c>
      <c r="AF39" s="98">
        <v>1.0</v>
      </c>
      <c r="AG39" s="98">
        <v>1.2</v>
      </c>
      <c r="AH39" s="98">
        <v>1.0</v>
      </c>
      <c r="AI39" s="98">
        <v>1.0</v>
      </c>
      <c r="AJ39" s="98">
        <v>0.9</v>
      </c>
      <c r="AK39" s="98">
        <v>0.8</v>
      </c>
      <c r="AL39" s="98">
        <v>0.8</v>
      </c>
      <c r="AM39" s="98">
        <v>0.6</v>
      </c>
      <c r="AN39" s="98">
        <v>0.6</v>
      </c>
      <c r="AO39" s="98">
        <v>0.8</v>
      </c>
      <c r="AP39" s="98">
        <v>0.7</v>
      </c>
      <c r="AQ39" s="98">
        <v>0.7</v>
      </c>
      <c r="AR39" s="98">
        <v>0.8</v>
      </c>
      <c r="AS39" s="98">
        <v>0.9</v>
      </c>
      <c r="AT39" s="98">
        <v>0.9</v>
      </c>
      <c r="AU39" s="98">
        <v>0.3</v>
      </c>
      <c r="AV39" s="98">
        <v>0.9</v>
      </c>
      <c r="AW39" s="98">
        <v>0.8</v>
      </c>
      <c r="AX39" s="98">
        <v>0.8</v>
      </c>
      <c r="AY39" s="98">
        <v>0.6</v>
      </c>
    </row>
    <row r="40" ht="12.75" customHeight="1">
      <c r="A40" s="79"/>
      <c r="B40" s="76"/>
      <c r="C40" s="76" t="s">
        <v>148</v>
      </c>
      <c r="D40" s="76">
        <f t="shared" ref="D40:AY40" si="17">ROUND(SUM($D28:$AA28)*D$39,0)</f>
        <v>161</v>
      </c>
      <c r="E40" s="76">
        <f t="shared" si="17"/>
        <v>214</v>
      </c>
      <c r="F40" s="76">
        <f t="shared" si="17"/>
        <v>214</v>
      </c>
      <c r="G40" s="76">
        <f t="shared" si="17"/>
        <v>214</v>
      </c>
      <c r="H40" s="76">
        <f t="shared" si="17"/>
        <v>268</v>
      </c>
      <c r="I40" s="76">
        <f t="shared" si="17"/>
        <v>375</v>
      </c>
      <c r="J40" s="76">
        <f t="shared" si="17"/>
        <v>375</v>
      </c>
      <c r="K40" s="76">
        <f t="shared" si="17"/>
        <v>107</v>
      </c>
      <c r="L40" s="76">
        <f t="shared" si="17"/>
        <v>429</v>
      </c>
      <c r="M40" s="76">
        <f t="shared" si="17"/>
        <v>375</v>
      </c>
      <c r="N40" s="76">
        <f t="shared" si="17"/>
        <v>429</v>
      </c>
      <c r="O40" s="76">
        <f t="shared" si="17"/>
        <v>322</v>
      </c>
      <c r="P40" s="76">
        <f t="shared" si="17"/>
        <v>375</v>
      </c>
      <c r="Q40" s="76">
        <f t="shared" si="17"/>
        <v>429</v>
      </c>
      <c r="R40" s="76">
        <f t="shared" si="17"/>
        <v>429</v>
      </c>
      <c r="S40" s="76">
        <f t="shared" si="17"/>
        <v>429</v>
      </c>
      <c r="T40" s="76">
        <f t="shared" si="17"/>
        <v>429</v>
      </c>
      <c r="U40" s="76">
        <f t="shared" si="17"/>
        <v>482</v>
      </c>
      <c r="V40" s="76">
        <f t="shared" si="17"/>
        <v>482</v>
      </c>
      <c r="W40" s="76">
        <f t="shared" si="17"/>
        <v>161</v>
      </c>
      <c r="X40" s="76">
        <f t="shared" si="17"/>
        <v>482</v>
      </c>
      <c r="Y40" s="76">
        <f t="shared" si="17"/>
        <v>429</v>
      </c>
      <c r="Z40" s="76">
        <f t="shared" si="17"/>
        <v>429</v>
      </c>
      <c r="AA40" s="76">
        <f t="shared" si="17"/>
        <v>322</v>
      </c>
      <c r="AB40" s="76">
        <f t="shared" si="17"/>
        <v>429</v>
      </c>
      <c r="AC40" s="76">
        <f t="shared" si="17"/>
        <v>482</v>
      </c>
      <c r="AD40" s="76">
        <f t="shared" si="17"/>
        <v>429</v>
      </c>
      <c r="AE40" s="76">
        <f t="shared" si="17"/>
        <v>429</v>
      </c>
      <c r="AF40" s="76">
        <f t="shared" si="17"/>
        <v>536</v>
      </c>
      <c r="AG40" s="76">
        <f t="shared" si="17"/>
        <v>643</v>
      </c>
      <c r="AH40" s="76">
        <f t="shared" si="17"/>
        <v>536</v>
      </c>
      <c r="AI40" s="76">
        <f t="shared" si="17"/>
        <v>536</v>
      </c>
      <c r="AJ40" s="76">
        <f t="shared" si="17"/>
        <v>482</v>
      </c>
      <c r="AK40" s="76">
        <f t="shared" si="17"/>
        <v>429</v>
      </c>
      <c r="AL40" s="76">
        <f t="shared" si="17"/>
        <v>429</v>
      </c>
      <c r="AM40" s="76">
        <f t="shared" si="17"/>
        <v>322</v>
      </c>
      <c r="AN40" s="76">
        <f t="shared" si="17"/>
        <v>322</v>
      </c>
      <c r="AO40" s="76">
        <f t="shared" si="17"/>
        <v>429</v>
      </c>
      <c r="AP40" s="76">
        <f t="shared" si="17"/>
        <v>375</v>
      </c>
      <c r="AQ40" s="76">
        <f t="shared" si="17"/>
        <v>375</v>
      </c>
      <c r="AR40" s="76">
        <f t="shared" si="17"/>
        <v>429</v>
      </c>
      <c r="AS40" s="76">
        <f t="shared" si="17"/>
        <v>482</v>
      </c>
      <c r="AT40" s="76">
        <f t="shared" si="17"/>
        <v>482</v>
      </c>
      <c r="AU40" s="76">
        <f t="shared" si="17"/>
        <v>161</v>
      </c>
      <c r="AV40" s="76">
        <f t="shared" si="17"/>
        <v>482</v>
      </c>
      <c r="AW40" s="76">
        <f t="shared" si="17"/>
        <v>429</v>
      </c>
      <c r="AX40" s="76">
        <f t="shared" si="17"/>
        <v>429</v>
      </c>
      <c r="AY40" s="76">
        <f t="shared" si="17"/>
        <v>322</v>
      </c>
    </row>
    <row r="41" ht="12.75" customHeight="1">
      <c r="A41" s="79"/>
      <c r="B41" s="76"/>
      <c r="C41" s="76" t="s">
        <v>76</v>
      </c>
      <c r="D41" s="76">
        <f t="shared" ref="D41:AY41" si="18">ROUND(SUM($D29:$AA29)*D$39,0)</f>
        <v>211</v>
      </c>
      <c r="E41" s="76">
        <f t="shared" si="18"/>
        <v>282</v>
      </c>
      <c r="F41" s="76">
        <f t="shared" si="18"/>
        <v>282</v>
      </c>
      <c r="G41" s="76">
        <f t="shared" si="18"/>
        <v>282</v>
      </c>
      <c r="H41" s="76">
        <f t="shared" si="18"/>
        <v>352</v>
      </c>
      <c r="I41" s="76">
        <f t="shared" si="18"/>
        <v>493</v>
      </c>
      <c r="J41" s="76">
        <f t="shared" si="18"/>
        <v>493</v>
      </c>
      <c r="K41" s="76">
        <f t="shared" si="18"/>
        <v>141</v>
      </c>
      <c r="L41" s="76">
        <f t="shared" si="18"/>
        <v>563</v>
      </c>
      <c r="M41" s="76">
        <f t="shared" si="18"/>
        <v>493</v>
      </c>
      <c r="N41" s="76">
        <f t="shared" si="18"/>
        <v>563</v>
      </c>
      <c r="O41" s="76">
        <f t="shared" si="18"/>
        <v>422</v>
      </c>
      <c r="P41" s="76">
        <f t="shared" si="18"/>
        <v>493</v>
      </c>
      <c r="Q41" s="76">
        <f t="shared" si="18"/>
        <v>563</v>
      </c>
      <c r="R41" s="76">
        <f t="shared" si="18"/>
        <v>563</v>
      </c>
      <c r="S41" s="76">
        <f t="shared" si="18"/>
        <v>563</v>
      </c>
      <c r="T41" s="76">
        <f t="shared" si="18"/>
        <v>563</v>
      </c>
      <c r="U41" s="76">
        <f t="shared" si="18"/>
        <v>634</v>
      </c>
      <c r="V41" s="76">
        <f t="shared" si="18"/>
        <v>634</v>
      </c>
      <c r="W41" s="76">
        <f t="shared" si="18"/>
        <v>211</v>
      </c>
      <c r="X41" s="76">
        <f t="shared" si="18"/>
        <v>634</v>
      </c>
      <c r="Y41" s="76">
        <f t="shared" si="18"/>
        <v>563</v>
      </c>
      <c r="Z41" s="76">
        <f t="shared" si="18"/>
        <v>563</v>
      </c>
      <c r="AA41" s="76">
        <f t="shared" si="18"/>
        <v>422</v>
      </c>
      <c r="AB41" s="76">
        <f t="shared" si="18"/>
        <v>563</v>
      </c>
      <c r="AC41" s="76">
        <f t="shared" si="18"/>
        <v>634</v>
      </c>
      <c r="AD41" s="76">
        <f t="shared" si="18"/>
        <v>563</v>
      </c>
      <c r="AE41" s="76">
        <f t="shared" si="18"/>
        <v>563</v>
      </c>
      <c r="AF41" s="76">
        <f t="shared" si="18"/>
        <v>704</v>
      </c>
      <c r="AG41" s="76">
        <f t="shared" si="18"/>
        <v>845</v>
      </c>
      <c r="AH41" s="76">
        <f t="shared" si="18"/>
        <v>704</v>
      </c>
      <c r="AI41" s="76">
        <f t="shared" si="18"/>
        <v>704</v>
      </c>
      <c r="AJ41" s="76">
        <f t="shared" si="18"/>
        <v>634</v>
      </c>
      <c r="AK41" s="76">
        <f t="shared" si="18"/>
        <v>563</v>
      </c>
      <c r="AL41" s="76">
        <f t="shared" si="18"/>
        <v>563</v>
      </c>
      <c r="AM41" s="76">
        <f t="shared" si="18"/>
        <v>422</v>
      </c>
      <c r="AN41" s="76">
        <f t="shared" si="18"/>
        <v>422</v>
      </c>
      <c r="AO41" s="76">
        <f t="shared" si="18"/>
        <v>563</v>
      </c>
      <c r="AP41" s="76">
        <f t="shared" si="18"/>
        <v>493</v>
      </c>
      <c r="AQ41" s="76">
        <f t="shared" si="18"/>
        <v>493</v>
      </c>
      <c r="AR41" s="76">
        <f t="shared" si="18"/>
        <v>563</v>
      </c>
      <c r="AS41" s="76">
        <f t="shared" si="18"/>
        <v>634</v>
      </c>
      <c r="AT41" s="76">
        <f t="shared" si="18"/>
        <v>634</v>
      </c>
      <c r="AU41" s="76">
        <f t="shared" si="18"/>
        <v>211</v>
      </c>
      <c r="AV41" s="76">
        <f t="shared" si="18"/>
        <v>634</v>
      </c>
      <c r="AW41" s="76">
        <f t="shared" si="18"/>
        <v>563</v>
      </c>
      <c r="AX41" s="76">
        <f t="shared" si="18"/>
        <v>563</v>
      </c>
      <c r="AY41" s="76">
        <f t="shared" si="18"/>
        <v>422</v>
      </c>
    </row>
    <row r="42" ht="12.75" customHeight="1">
      <c r="A42" s="79"/>
      <c r="B42" s="76"/>
      <c r="C42" s="76" t="s">
        <v>80</v>
      </c>
      <c r="D42" s="76">
        <f t="shared" ref="D42:AY42" si="19">ROUND(SUM($D30:$AA30)*D$39,0)</f>
        <v>222</v>
      </c>
      <c r="E42" s="76">
        <f t="shared" si="19"/>
        <v>296</v>
      </c>
      <c r="F42" s="76">
        <f t="shared" si="19"/>
        <v>296</v>
      </c>
      <c r="G42" s="76">
        <f t="shared" si="19"/>
        <v>296</v>
      </c>
      <c r="H42" s="76">
        <f t="shared" si="19"/>
        <v>370</v>
      </c>
      <c r="I42" s="76">
        <f t="shared" si="19"/>
        <v>518</v>
      </c>
      <c r="J42" s="76">
        <f t="shared" si="19"/>
        <v>518</v>
      </c>
      <c r="K42" s="76">
        <f t="shared" si="19"/>
        <v>148</v>
      </c>
      <c r="L42" s="76">
        <f t="shared" si="19"/>
        <v>592</v>
      </c>
      <c r="M42" s="76">
        <f t="shared" si="19"/>
        <v>518</v>
      </c>
      <c r="N42" s="76">
        <f t="shared" si="19"/>
        <v>592</v>
      </c>
      <c r="O42" s="76">
        <f t="shared" si="19"/>
        <v>444</v>
      </c>
      <c r="P42" s="76">
        <f t="shared" si="19"/>
        <v>518</v>
      </c>
      <c r="Q42" s="76">
        <f t="shared" si="19"/>
        <v>592</v>
      </c>
      <c r="R42" s="76">
        <f t="shared" si="19"/>
        <v>592</v>
      </c>
      <c r="S42" s="76">
        <f t="shared" si="19"/>
        <v>592</v>
      </c>
      <c r="T42" s="76">
        <f t="shared" si="19"/>
        <v>592</v>
      </c>
      <c r="U42" s="76">
        <f t="shared" si="19"/>
        <v>666</v>
      </c>
      <c r="V42" s="76">
        <f t="shared" si="19"/>
        <v>666</v>
      </c>
      <c r="W42" s="76">
        <f t="shared" si="19"/>
        <v>222</v>
      </c>
      <c r="X42" s="76">
        <f t="shared" si="19"/>
        <v>666</v>
      </c>
      <c r="Y42" s="76">
        <f t="shared" si="19"/>
        <v>592</v>
      </c>
      <c r="Z42" s="76">
        <f t="shared" si="19"/>
        <v>592</v>
      </c>
      <c r="AA42" s="76">
        <f t="shared" si="19"/>
        <v>444</v>
      </c>
      <c r="AB42" s="76">
        <f t="shared" si="19"/>
        <v>592</v>
      </c>
      <c r="AC42" s="76">
        <f t="shared" si="19"/>
        <v>666</v>
      </c>
      <c r="AD42" s="76">
        <f t="shared" si="19"/>
        <v>592</v>
      </c>
      <c r="AE42" s="76">
        <f t="shared" si="19"/>
        <v>592</v>
      </c>
      <c r="AF42" s="76">
        <f t="shared" si="19"/>
        <v>740</v>
      </c>
      <c r="AG42" s="76">
        <f t="shared" si="19"/>
        <v>888</v>
      </c>
      <c r="AH42" s="76">
        <f t="shared" si="19"/>
        <v>740</v>
      </c>
      <c r="AI42" s="76">
        <f t="shared" si="19"/>
        <v>740</v>
      </c>
      <c r="AJ42" s="76">
        <f t="shared" si="19"/>
        <v>666</v>
      </c>
      <c r="AK42" s="76">
        <f t="shared" si="19"/>
        <v>592</v>
      </c>
      <c r="AL42" s="76">
        <f t="shared" si="19"/>
        <v>592</v>
      </c>
      <c r="AM42" s="76">
        <f t="shared" si="19"/>
        <v>444</v>
      </c>
      <c r="AN42" s="76">
        <f t="shared" si="19"/>
        <v>444</v>
      </c>
      <c r="AO42" s="76">
        <f t="shared" si="19"/>
        <v>592</v>
      </c>
      <c r="AP42" s="76">
        <f t="shared" si="19"/>
        <v>518</v>
      </c>
      <c r="AQ42" s="76">
        <f t="shared" si="19"/>
        <v>518</v>
      </c>
      <c r="AR42" s="76">
        <f t="shared" si="19"/>
        <v>592</v>
      </c>
      <c r="AS42" s="76">
        <f t="shared" si="19"/>
        <v>666</v>
      </c>
      <c r="AT42" s="76">
        <f t="shared" si="19"/>
        <v>666</v>
      </c>
      <c r="AU42" s="76">
        <f t="shared" si="19"/>
        <v>222</v>
      </c>
      <c r="AV42" s="76">
        <f t="shared" si="19"/>
        <v>666</v>
      </c>
      <c r="AW42" s="76">
        <f t="shared" si="19"/>
        <v>592</v>
      </c>
      <c r="AX42" s="76">
        <f t="shared" si="19"/>
        <v>592</v>
      </c>
      <c r="AY42" s="76">
        <f t="shared" si="19"/>
        <v>444</v>
      </c>
    </row>
    <row r="43" ht="12.75" customHeight="1">
      <c r="A43" s="79"/>
      <c r="B43" s="76"/>
      <c r="C43" s="76" t="s">
        <v>83</v>
      </c>
      <c r="D43" s="76">
        <f t="shared" ref="D43:AY43" si="20">ROUND(SUM($D31:$AA31)*D$39,0)</f>
        <v>181</v>
      </c>
      <c r="E43" s="76">
        <f t="shared" si="20"/>
        <v>242</v>
      </c>
      <c r="F43" s="76">
        <f t="shared" si="20"/>
        <v>242</v>
      </c>
      <c r="G43" s="76">
        <f t="shared" si="20"/>
        <v>242</v>
      </c>
      <c r="H43" s="76">
        <f t="shared" si="20"/>
        <v>302</v>
      </c>
      <c r="I43" s="76">
        <f t="shared" si="20"/>
        <v>423</v>
      </c>
      <c r="J43" s="76">
        <f t="shared" si="20"/>
        <v>423</v>
      </c>
      <c r="K43" s="76">
        <f t="shared" si="20"/>
        <v>121</v>
      </c>
      <c r="L43" s="76">
        <f t="shared" si="20"/>
        <v>483</v>
      </c>
      <c r="M43" s="76">
        <f t="shared" si="20"/>
        <v>423</v>
      </c>
      <c r="N43" s="76">
        <f t="shared" si="20"/>
        <v>483</v>
      </c>
      <c r="O43" s="76">
        <f t="shared" si="20"/>
        <v>362</v>
      </c>
      <c r="P43" s="76">
        <f t="shared" si="20"/>
        <v>423</v>
      </c>
      <c r="Q43" s="76">
        <f t="shared" si="20"/>
        <v>483</v>
      </c>
      <c r="R43" s="76">
        <f t="shared" si="20"/>
        <v>483</v>
      </c>
      <c r="S43" s="76">
        <f t="shared" si="20"/>
        <v>483</v>
      </c>
      <c r="T43" s="76">
        <f t="shared" si="20"/>
        <v>483</v>
      </c>
      <c r="U43" s="76">
        <f t="shared" si="20"/>
        <v>544</v>
      </c>
      <c r="V43" s="76">
        <f t="shared" si="20"/>
        <v>544</v>
      </c>
      <c r="W43" s="76">
        <f t="shared" si="20"/>
        <v>181</v>
      </c>
      <c r="X43" s="76">
        <f t="shared" si="20"/>
        <v>544</v>
      </c>
      <c r="Y43" s="76">
        <f t="shared" si="20"/>
        <v>483</v>
      </c>
      <c r="Z43" s="76">
        <f t="shared" si="20"/>
        <v>483</v>
      </c>
      <c r="AA43" s="76">
        <f t="shared" si="20"/>
        <v>362</v>
      </c>
      <c r="AB43" s="76">
        <f t="shared" si="20"/>
        <v>483</v>
      </c>
      <c r="AC43" s="76">
        <f t="shared" si="20"/>
        <v>544</v>
      </c>
      <c r="AD43" s="76">
        <f t="shared" si="20"/>
        <v>483</v>
      </c>
      <c r="AE43" s="76">
        <f t="shared" si="20"/>
        <v>483</v>
      </c>
      <c r="AF43" s="76">
        <f t="shared" si="20"/>
        <v>604</v>
      </c>
      <c r="AG43" s="76">
        <f t="shared" si="20"/>
        <v>725</v>
      </c>
      <c r="AH43" s="76">
        <f t="shared" si="20"/>
        <v>604</v>
      </c>
      <c r="AI43" s="76">
        <f t="shared" si="20"/>
        <v>604</v>
      </c>
      <c r="AJ43" s="76">
        <f t="shared" si="20"/>
        <v>544</v>
      </c>
      <c r="AK43" s="76">
        <f t="shared" si="20"/>
        <v>483</v>
      </c>
      <c r="AL43" s="76">
        <f t="shared" si="20"/>
        <v>483</v>
      </c>
      <c r="AM43" s="76">
        <f t="shared" si="20"/>
        <v>362</v>
      </c>
      <c r="AN43" s="76">
        <f t="shared" si="20"/>
        <v>362</v>
      </c>
      <c r="AO43" s="76">
        <f t="shared" si="20"/>
        <v>483</v>
      </c>
      <c r="AP43" s="76">
        <f t="shared" si="20"/>
        <v>423</v>
      </c>
      <c r="AQ43" s="76">
        <f t="shared" si="20"/>
        <v>423</v>
      </c>
      <c r="AR43" s="76">
        <f t="shared" si="20"/>
        <v>483</v>
      </c>
      <c r="AS43" s="76">
        <f t="shared" si="20"/>
        <v>544</v>
      </c>
      <c r="AT43" s="76">
        <f t="shared" si="20"/>
        <v>544</v>
      </c>
      <c r="AU43" s="76">
        <f t="shared" si="20"/>
        <v>181</v>
      </c>
      <c r="AV43" s="76">
        <f t="shared" si="20"/>
        <v>544</v>
      </c>
      <c r="AW43" s="76">
        <f t="shared" si="20"/>
        <v>483</v>
      </c>
      <c r="AX43" s="76">
        <f t="shared" si="20"/>
        <v>483</v>
      </c>
      <c r="AY43" s="76">
        <f t="shared" si="20"/>
        <v>362</v>
      </c>
    </row>
    <row r="44" ht="12.75" customHeight="1">
      <c r="A44" s="79"/>
      <c r="B44" s="76"/>
      <c r="C44" s="76" t="s">
        <v>87</v>
      </c>
      <c r="D44" s="76">
        <f t="shared" ref="D44:AY44" si="21">ROUND(SUM($D32:$AA32)*D$39,0)</f>
        <v>95</v>
      </c>
      <c r="E44" s="76">
        <f t="shared" si="21"/>
        <v>126</v>
      </c>
      <c r="F44" s="76">
        <f t="shared" si="21"/>
        <v>126</v>
      </c>
      <c r="G44" s="76">
        <f t="shared" si="21"/>
        <v>126</v>
      </c>
      <c r="H44" s="76">
        <f t="shared" si="21"/>
        <v>158</v>
      </c>
      <c r="I44" s="76">
        <f t="shared" si="21"/>
        <v>221</v>
      </c>
      <c r="J44" s="76">
        <f t="shared" si="21"/>
        <v>221</v>
      </c>
      <c r="K44" s="76">
        <f t="shared" si="21"/>
        <v>63</v>
      </c>
      <c r="L44" s="76">
        <f t="shared" si="21"/>
        <v>253</v>
      </c>
      <c r="M44" s="76">
        <f t="shared" si="21"/>
        <v>221</v>
      </c>
      <c r="N44" s="76">
        <f t="shared" si="21"/>
        <v>253</v>
      </c>
      <c r="O44" s="76">
        <f t="shared" si="21"/>
        <v>190</v>
      </c>
      <c r="P44" s="76">
        <f t="shared" si="21"/>
        <v>221</v>
      </c>
      <c r="Q44" s="76">
        <f t="shared" si="21"/>
        <v>253</v>
      </c>
      <c r="R44" s="76">
        <f t="shared" si="21"/>
        <v>253</v>
      </c>
      <c r="S44" s="76">
        <f t="shared" si="21"/>
        <v>253</v>
      </c>
      <c r="T44" s="76">
        <f t="shared" si="21"/>
        <v>253</v>
      </c>
      <c r="U44" s="76">
        <f t="shared" si="21"/>
        <v>284</v>
      </c>
      <c r="V44" s="76">
        <f t="shared" si="21"/>
        <v>284</v>
      </c>
      <c r="W44" s="76">
        <f t="shared" si="21"/>
        <v>95</v>
      </c>
      <c r="X44" s="76">
        <f t="shared" si="21"/>
        <v>284</v>
      </c>
      <c r="Y44" s="76">
        <f t="shared" si="21"/>
        <v>253</v>
      </c>
      <c r="Z44" s="76">
        <f t="shared" si="21"/>
        <v>253</v>
      </c>
      <c r="AA44" s="76">
        <f t="shared" si="21"/>
        <v>190</v>
      </c>
      <c r="AB44" s="76">
        <f t="shared" si="21"/>
        <v>253</v>
      </c>
      <c r="AC44" s="76">
        <f t="shared" si="21"/>
        <v>284</v>
      </c>
      <c r="AD44" s="76">
        <f t="shared" si="21"/>
        <v>253</v>
      </c>
      <c r="AE44" s="76">
        <f t="shared" si="21"/>
        <v>253</v>
      </c>
      <c r="AF44" s="76">
        <f t="shared" si="21"/>
        <v>316</v>
      </c>
      <c r="AG44" s="76">
        <f t="shared" si="21"/>
        <v>379</v>
      </c>
      <c r="AH44" s="76">
        <f t="shared" si="21"/>
        <v>316</v>
      </c>
      <c r="AI44" s="76">
        <f t="shared" si="21"/>
        <v>316</v>
      </c>
      <c r="AJ44" s="76">
        <f t="shared" si="21"/>
        <v>284</v>
      </c>
      <c r="AK44" s="76">
        <f t="shared" si="21"/>
        <v>253</v>
      </c>
      <c r="AL44" s="76">
        <f t="shared" si="21"/>
        <v>253</v>
      </c>
      <c r="AM44" s="76">
        <f t="shared" si="21"/>
        <v>190</v>
      </c>
      <c r="AN44" s="76">
        <f t="shared" si="21"/>
        <v>190</v>
      </c>
      <c r="AO44" s="76">
        <f t="shared" si="21"/>
        <v>253</v>
      </c>
      <c r="AP44" s="76">
        <f t="shared" si="21"/>
        <v>221</v>
      </c>
      <c r="AQ44" s="76">
        <f t="shared" si="21"/>
        <v>221</v>
      </c>
      <c r="AR44" s="76">
        <f t="shared" si="21"/>
        <v>253</v>
      </c>
      <c r="AS44" s="76">
        <f t="shared" si="21"/>
        <v>284</v>
      </c>
      <c r="AT44" s="76">
        <f t="shared" si="21"/>
        <v>284</v>
      </c>
      <c r="AU44" s="76">
        <f t="shared" si="21"/>
        <v>95</v>
      </c>
      <c r="AV44" s="76">
        <f t="shared" si="21"/>
        <v>284</v>
      </c>
      <c r="AW44" s="76">
        <f t="shared" si="21"/>
        <v>253</v>
      </c>
      <c r="AX44" s="76">
        <f t="shared" si="21"/>
        <v>253</v>
      </c>
      <c r="AY44" s="76">
        <f t="shared" si="21"/>
        <v>190</v>
      </c>
    </row>
    <row r="45" ht="12.75" customHeight="1">
      <c r="A45" s="79"/>
      <c r="B45" s="76"/>
      <c r="C45" s="76" t="s">
        <v>464</v>
      </c>
      <c r="D45" s="76">
        <f t="shared" ref="D45:AY45" si="22">ROUND(SUM($D33:$AA33)*D$39,0)</f>
        <v>101</v>
      </c>
      <c r="E45" s="76">
        <f t="shared" si="22"/>
        <v>134</v>
      </c>
      <c r="F45" s="76">
        <f t="shared" si="22"/>
        <v>134</v>
      </c>
      <c r="G45" s="76">
        <f t="shared" si="22"/>
        <v>134</v>
      </c>
      <c r="H45" s="76">
        <f t="shared" si="22"/>
        <v>168</v>
      </c>
      <c r="I45" s="76">
        <f t="shared" si="22"/>
        <v>235</v>
      </c>
      <c r="J45" s="76">
        <f t="shared" si="22"/>
        <v>235</v>
      </c>
      <c r="K45" s="76">
        <f t="shared" si="22"/>
        <v>67</v>
      </c>
      <c r="L45" s="76">
        <f t="shared" si="22"/>
        <v>269</v>
      </c>
      <c r="M45" s="76">
        <f t="shared" si="22"/>
        <v>235</v>
      </c>
      <c r="N45" s="76">
        <f t="shared" si="22"/>
        <v>269</v>
      </c>
      <c r="O45" s="76">
        <f t="shared" si="22"/>
        <v>202</v>
      </c>
      <c r="P45" s="76">
        <f t="shared" si="22"/>
        <v>235</v>
      </c>
      <c r="Q45" s="76">
        <f t="shared" si="22"/>
        <v>269</v>
      </c>
      <c r="R45" s="76">
        <f t="shared" si="22"/>
        <v>269</v>
      </c>
      <c r="S45" s="76">
        <f t="shared" si="22"/>
        <v>269</v>
      </c>
      <c r="T45" s="76">
        <f t="shared" si="22"/>
        <v>269</v>
      </c>
      <c r="U45" s="76">
        <f t="shared" si="22"/>
        <v>302</v>
      </c>
      <c r="V45" s="76">
        <f t="shared" si="22"/>
        <v>302</v>
      </c>
      <c r="W45" s="76">
        <f t="shared" si="22"/>
        <v>101</v>
      </c>
      <c r="X45" s="76">
        <f t="shared" si="22"/>
        <v>302</v>
      </c>
      <c r="Y45" s="76">
        <f t="shared" si="22"/>
        <v>269</v>
      </c>
      <c r="Z45" s="76">
        <f t="shared" si="22"/>
        <v>269</v>
      </c>
      <c r="AA45" s="76">
        <f t="shared" si="22"/>
        <v>202</v>
      </c>
      <c r="AB45" s="76">
        <f t="shared" si="22"/>
        <v>269</v>
      </c>
      <c r="AC45" s="76">
        <f t="shared" si="22"/>
        <v>302</v>
      </c>
      <c r="AD45" s="76">
        <f t="shared" si="22"/>
        <v>269</v>
      </c>
      <c r="AE45" s="76">
        <f t="shared" si="22"/>
        <v>269</v>
      </c>
      <c r="AF45" s="76">
        <f t="shared" si="22"/>
        <v>336</v>
      </c>
      <c r="AG45" s="76">
        <f t="shared" si="22"/>
        <v>403</v>
      </c>
      <c r="AH45" s="76">
        <f t="shared" si="22"/>
        <v>336</v>
      </c>
      <c r="AI45" s="76">
        <f t="shared" si="22"/>
        <v>336</v>
      </c>
      <c r="AJ45" s="76">
        <f t="shared" si="22"/>
        <v>302</v>
      </c>
      <c r="AK45" s="76">
        <f t="shared" si="22"/>
        <v>269</v>
      </c>
      <c r="AL45" s="76">
        <f t="shared" si="22"/>
        <v>269</v>
      </c>
      <c r="AM45" s="76">
        <f t="shared" si="22"/>
        <v>202</v>
      </c>
      <c r="AN45" s="76">
        <f t="shared" si="22"/>
        <v>202</v>
      </c>
      <c r="AO45" s="76">
        <f t="shared" si="22"/>
        <v>269</v>
      </c>
      <c r="AP45" s="76">
        <f t="shared" si="22"/>
        <v>235</v>
      </c>
      <c r="AQ45" s="76">
        <f t="shared" si="22"/>
        <v>235</v>
      </c>
      <c r="AR45" s="76">
        <f t="shared" si="22"/>
        <v>269</v>
      </c>
      <c r="AS45" s="76">
        <f t="shared" si="22"/>
        <v>302</v>
      </c>
      <c r="AT45" s="76">
        <f t="shared" si="22"/>
        <v>302</v>
      </c>
      <c r="AU45" s="76">
        <f t="shared" si="22"/>
        <v>101</v>
      </c>
      <c r="AV45" s="76">
        <f t="shared" si="22"/>
        <v>302</v>
      </c>
      <c r="AW45" s="76">
        <f t="shared" si="22"/>
        <v>269</v>
      </c>
      <c r="AX45" s="76">
        <f t="shared" si="22"/>
        <v>269</v>
      </c>
      <c r="AY45" s="76">
        <f t="shared" si="22"/>
        <v>202</v>
      </c>
    </row>
    <row r="46" ht="12.75" customHeight="1">
      <c r="A46" s="79"/>
      <c r="B46" s="76"/>
      <c r="D46" s="93">
        <f t="shared" ref="D46:AY46" si="23">SUM(D40:D45)</f>
        <v>971</v>
      </c>
      <c r="E46" s="93">
        <f t="shared" si="23"/>
        <v>1294</v>
      </c>
      <c r="F46" s="93">
        <f t="shared" si="23"/>
        <v>1294</v>
      </c>
      <c r="G46" s="93">
        <f t="shared" si="23"/>
        <v>1294</v>
      </c>
      <c r="H46" s="93">
        <f t="shared" si="23"/>
        <v>1618</v>
      </c>
      <c r="I46" s="93">
        <f t="shared" si="23"/>
        <v>2265</v>
      </c>
      <c r="J46" s="93">
        <f t="shared" si="23"/>
        <v>2265</v>
      </c>
      <c r="K46" s="93">
        <f t="shared" si="23"/>
        <v>647</v>
      </c>
      <c r="L46" s="93">
        <f t="shared" si="23"/>
        <v>2589</v>
      </c>
      <c r="M46" s="93">
        <f t="shared" si="23"/>
        <v>2265</v>
      </c>
      <c r="N46" s="93">
        <f t="shared" si="23"/>
        <v>2589</v>
      </c>
      <c r="O46" s="93">
        <f t="shared" si="23"/>
        <v>1942</v>
      </c>
      <c r="P46" s="93">
        <f t="shared" si="23"/>
        <v>2265</v>
      </c>
      <c r="Q46" s="93">
        <f t="shared" si="23"/>
        <v>2589</v>
      </c>
      <c r="R46" s="93">
        <f t="shared" si="23"/>
        <v>2589</v>
      </c>
      <c r="S46" s="93">
        <f t="shared" si="23"/>
        <v>2589</v>
      </c>
      <c r="T46" s="93">
        <f t="shared" si="23"/>
        <v>2589</v>
      </c>
      <c r="U46" s="93">
        <f t="shared" si="23"/>
        <v>2912</v>
      </c>
      <c r="V46" s="93">
        <f t="shared" si="23"/>
        <v>2912</v>
      </c>
      <c r="W46" s="93">
        <f t="shared" si="23"/>
        <v>971</v>
      </c>
      <c r="X46" s="93">
        <f t="shared" si="23"/>
        <v>2912</v>
      </c>
      <c r="Y46" s="93">
        <f t="shared" si="23"/>
        <v>2589</v>
      </c>
      <c r="Z46" s="93">
        <f t="shared" si="23"/>
        <v>2589</v>
      </c>
      <c r="AA46" s="93">
        <f t="shared" si="23"/>
        <v>1942</v>
      </c>
      <c r="AB46" s="93">
        <f t="shared" si="23"/>
        <v>2589</v>
      </c>
      <c r="AC46" s="93">
        <f t="shared" si="23"/>
        <v>2912</v>
      </c>
      <c r="AD46" s="93">
        <f t="shared" si="23"/>
        <v>2589</v>
      </c>
      <c r="AE46" s="93">
        <f t="shared" si="23"/>
        <v>2589</v>
      </c>
      <c r="AF46" s="93">
        <f t="shared" si="23"/>
        <v>3236</v>
      </c>
      <c r="AG46" s="93">
        <f t="shared" si="23"/>
        <v>3883</v>
      </c>
      <c r="AH46" s="93">
        <f t="shared" si="23"/>
        <v>3236</v>
      </c>
      <c r="AI46" s="93">
        <f t="shared" si="23"/>
        <v>3236</v>
      </c>
      <c r="AJ46" s="93">
        <f t="shared" si="23"/>
        <v>2912</v>
      </c>
      <c r="AK46" s="93">
        <f t="shared" si="23"/>
        <v>2589</v>
      </c>
      <c r="AL46" s="93">
        <f t="shared" si="23"/>
        <v>2589</v>
      </c>
      <c r="AM46" s="93">
        <f t="shared" si="23"/>
        <v>1942</v>
      </c>
      <c r="AN46" s="93">
        <f t="shared" si="23"/>
        <v>1942</v>
      </c>
      <c r="AO46" s="93">
        <f t="shared" si="23"/>
        <v>2589</v>
      </c>
      <c r="AP46" s="93">
        <f t="shared" si="23"/>
        <v>2265</v>
      </c>
      <c r="AQ46" s="93">
        <f t="shared" si="23"/>
        <v>2265</v>
      </c>
      <c r="AR46" s="93">
        <f t="shared" si="23"/>
        <v>2589</v>
      </c>
      <c r="AS46" s="93">
        <f t="shared" si="23"/>
        <v>2912</v>
      </c>
      <c r="AT46" s="93">
        <f t="shared" si="23"/>
        <v>2912</v>
      </c>
      <c r="AU46" s="93">
        <f t="shared" si="23"/>
        <v>971</v>
      </c>
      <c r="AV46" s="93">
        <f t="shared" si="23"/>
        <v>2912</v>
      </c>
      <c r="AW46" s="93">
        <f t="shared" si="23"/>
        <v>2589</v>
      </c>
      <c r="AX46" s="93">
        <f t="shared" si="23"/>
        <v>2589</v>
      </c>
      <c r="AY46" s="93">
        <f t="shared" si="23"/>
        <v>1942</v>
      </c>
    </row>
    <row r="47" ht="12.75" customHeight="1">
      <c r="A47" s="79"/>
      <c r="B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</row>
    <row r="48" ht="12.75" customHeight="1">
      <c r="A48" s="79"/>
      <c r="B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</row>
    <row r="49" ht="12.75" customHeight="1">
      <c r="A49" s="79"/>
      <c r="B49" s="76"/>
      <c r="C49" s="80" t="s">
        <v>163</v>
      </c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</row>
    <row r="50" ht="12.75" customHeight="1">
      <c r="A50" s="79"/>
      <c r="B50" s="76"/>
      <c r="C50" s="76"/>
      <c r="D50" s="76">
        <v>2024.0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>
        <v>2025.0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>
        <v>2026.0</v>
      </c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</row>
    <row r="51" ht="12.75" customHeight="1">
      <c r="A51" s="79"/>
      <c r="B51" s="76"/>
      <c r="C51" s="82" t="s">
        <v>159</v>
      </c>
      <c r="D51" s="76">
        <v>1.0</v>
      </c>
      <c r="E51" s="76">
        <v>2.0</v>
      </c>
      <c r="F51" s="76">
        <v>3.0</v>
      </c>
      <c r="G51" s="76">
        <v>4.0</v>
      </c>
      <c r="H51" s="76">
        <v>5.0</v>
      </c>
      <c r="I51" s="76">
        <v>6.0</v>
      </c>
      <c r="J51" s="76">
        <v>7.0</v>
      </c>
      <c r="K51" s="76">
        <v>8.0</v>
      </c>
      <c r="L51" s="76">
        <v>9.0</v>
      </c>
      <c r="M51" s="76">
        <v>10.0</v>
      </c>
      <c r="N51" s="76">
        <v>11.0</v>
      </c>
      <c r="O51" s="76">
        <v>12.0</v>
      </c>
      <c r="P51" s="76">
        <v>1.0</v>
      </c>
      <c r="Q51" s="76">
        <v>2.0</v>
      </c>
      <c r="R51" s="76">
        <v>3.0</v>
      </c>
      <c r="S51" s="76">
        <v>4.0</v>
      </c>
      <c r="T51" s="76">
        <v>5.0</v>
      </c>
      <c r="U51" s="76">
        <v>6.0</v>
      </c>
      <c r="V51" s="76">
        <v>7.0</v>
      </c>
      <c r="W51" s="76">
        <v>8.0</v>
      </c>
      <c r="X51" s="76">
        <v>9.0</v>
      </c>
      <c r="Y51" s="76">
        <v>10.0</v>
      </c>
      <c r="Z51" s="76">
        <v>11.0</v>
      </c>
      <c r="AA51" s="76">
        <v>12.0</v>
      </c>
      <c r="AB51" s="76">
        <v>1.0</v>
      </c>
      <c r="AC51" s="76">
        <v>2.0</v>
      </c>
      <c r="AD51" s="76">
        <v>3.0</v>
      </c>
      <c r="AE51" s="76">
        <v>4.0</v>
      </c>
      <c r="AF51" s="76">
        <v>5.0</v>
      </c>
      <c r="AG51" s="76">
        <v>6.0</v>
      </c>
      <c r="AH51" s="76">
        <v>7.0</v>
      </c>
      <c r="AI51" s="76">
        <v>8.0</v>
      </c>
      <c r="AJ51" s="76">
        <v>9.0</v>
      </c>
      <c r="AK51" s="76">
        <v>10.0</v>
      </c>
      <c r="AL51" s="76">
        <v>11.0</v>
      </c>
      <c r="AM51" s="76">
        <v>12.0</v>
      </c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</row>
    <row r="52" ht="12.75" customHeight="1">
      <c r="A52" s="79"/>
      <c r="B52" s="76"/>
      <c r="C52" s="82" t="s">
        <v>164</v>
      </c>
      <c r="D52" s="107">
        <f t="shared" ref="D52:AM52" si="24">D53/24</f>
        <v>436.907197</v>
      </c>
      <c r="E52" s="107">
        <f t="shared" si="24"/>
        <v>582.5416667</v>
      </c>
      <c r="F52" s="107">
        <f t="shared" si="24"/>
        <v>582.5416667</v>
      </c>
      <c r="G52" s="107">
        <f t="shared" si="24"/>
        <v>582.5416667</v>
      </c>
      <c r="H52" s="107">
        <f t="shared" si="24"/>
        <v>728.1780303</v>
      </c>
      <c r="I52" s="107">
        <f t="shared" si="24"/>
        <v>1019.448864</v>
      </c>
      <c r="J52" s="107">
        <f t="shared" si="24"/>
        <v>1019.448864</v>
      </c>
      <c r="K52" s="107">
        <f t="shared" si="24"/>
        <v>291.2708333</v>
      </c>
      <c r="L52" s="107">
        <f t="shared" si="24"/>
        <v>1165.085227</v>
      </c>
      <c r="M52" s="107">
        <f t="shared" si="24"/>
        <v>1019.448864</v>
      </c>
      <c r="N52" s="107">
        <f t="shared" si="24"/>
        <v>1165.085227</v>
      </c>
      <c r="O52" s="107">
        <f t="shared" si="24"/>
        <v>873.8143939</v>
      </c>
      <c r="P52" s="107">
        <f t="shared" si="24"/>
        <v>1019.448864</v>
      </c>
      <c r="Q52" s="107">
        <f t="shared" si="24"/>
        <v>1165.085227</v>
      </c>
      <c r="R52" s="107">
        <f t="shared" si="24"/>
        <v>1165.085227</v>
      </c>
      <c r="S52" s="107">
        <f t="shared" si="24"/>
        <v>1165.085227</v>
      </c>
      <c r="T52" s="107">
        <f t="shared" si="24"/>
        <v>1165.085227</v>
      </c>
      <c r="U52" s="107">
        <f t="shared" si="24"/>
        <v>1310.719697</v>
      </c>
      <c r="V52" s="107">
        <f t="shared" si="24"/>
        <v>1310.719697</v>
      </c>
      <c r="W52" s="107">
        <f t="shared" si="24"/>
        <v>436.907197</v>
      </c>
      <c r="X52" s="107">
        <f t="shared" si="24"/>
        <v>1310.719697</v>
      </c>
      <c r="Y52" s="107">
        <f t="shared" si="24"/>
        <v>1165.085227</v>
      </c>
      <c r="Z52" s="107">
        <f t="shared" si="24"/>
        <v>1165.085227</v>
      </c>
      <c r="AA52" s="107">
        <f t="shared" si="24"/>
        <v>873.8143939</v>
      </c>
      <c r="AB52" s="107">
        <f t="shared" si="24"/>
        <v>1165.085227</v>
      </c>
      <c r="AC52" s="107">
        <f t="shared" si="24"/>
        <v>1310.719697</v>
      </c>
      <c r="AD52" s="107">
        <f t="shared" si="24"/>
        <v>1165.085227</v>
      </c>
      <c r="AE52" s="107">
        <f t="shared" si="24"/>
        <v>1165.085227</v>
      </c>
      <c r="AF52" s="107">
        <f t="shared" si="24"/>
        <v>1456.356061</v>
      </c>
      <c r="AG52" s="107">
        <f t="shared" si="24"/>
        <v>1747.626894</v>
      </c>
      <c r="AH52" s="107">
        <f t="shared" si="24"/>
        <v>1456.356061</v>
      </c>
      <c r="AI52" s="107">
        <f t="shared" si="24"/>
        <v>1456.356061</v>
      </c>
      <c r="AJ52" s="107">
        <f t="shared" si="24"/>
        <v>1310.719697</v>
      </c>
      <c r="AK52" s="107">
        <f t="shared" si="24"/>
        <v>1165.085227</v>
      </c>
      <c r="AL52" s="107">
        <f t="shared" si="24"/>
        <v>1165.085227</v>
      </c>
      <c r="AM52" s="107">
        <f t="shared" si="24"/>
        <v>873.8143939</v>
      </c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</row>
    <row r="53" ht="12.75" customHeight="1">
      <c r="A53" s="79"/>
      <c r="B53" s="76"/>
      <c r="C53" s="82" t="s">
        <v>165</v>
      </c>
      <c r="D53" s="108">
        <f t="shared" ref="D53:AM53" si="25">SUM(D54:D59)</f>
        <v>10485.77273</v>
      </c>
      <c r="E53" s="108">
        <f t="shared" si="25"/>
        <v>13981</v>
      </c>
      <c r="F53" s="108">
        <f t="shared" si="25"/>
        <v>13981</v>
      </c>
      <c r="G53" s="108">
        <f t="shared" si="25"/>
        <v>13981</v>
      </c>
      <c r="H53" s="108">
        <f t="shared" si="25"/>
        <v>17476.27273</v>
      </c>
      <c r="I53" s="108">
        <f t="shared" si="25"/>
        <v>24466.77273</v>
      </c>
      <c r="J53" s="108">
        <f t="shared" si="25"/>
        <v>24466.77273</v>
      </c>
      <c r="K53" s="108">
        <f t="shared" si="25"/>
        <v>6990.5</v>
      </c>
      <c r="L53" s="108">
        <f t="shared" si="25"/>
        <v>27962.04545</v>
      </c>
      <c r="M53" s="108">
        <f t="shared" si="25"/>
        <v>24466.77273</v>
      </c>
      <c r="N53" s="108">
        <f t="shared" si="25"/>
        <v>27962.04545</v>
      </c>
      <c r="O53" s="108">
        <f t="shared" si="25"/>
        <v>20971.54545</v>
      </c>
      <c r="P53" s="109">
        <f t="shared" si="25"/>
        <v>24466.77273</v>
      </c>
      <c r="Q53" s="109">
        <f t="shared" si="25"/>
        <v>27962.04545</v>
      </c>
      <c r="R53" s="109">
        <f t="shared" si="25"/>
        <v>27962.04545</v>
      </c>
      <c r="S53" s="109">
        <f t="shared" si="25"/>
        <v>27962.04545</v>
      </c>
      <c r="T53" s="109">
        <f t="shared" si="25"/>
        <v>27962.04545</v>
      </c>
      <c r="U53" s="109">
        <f t="shared" si="25"/>
        <v>31457.27273</v>
      </c>
      <c r="V53" s="109">
        <f t="shared" si="25"/>
        <v>31457.27273</v>
      </c>
      <c r="W53" s="109">
        <f t="shared" si="25"/>
        <v>10485.77273</v>
      </c>
      <c r="X53" s="109">
        <f t="shared" si="25"/>
        <v>31457.27273</v>
      </c>
      <c r="Y53" s="109">
        <f t="shared" si="25"/>
        <v>27962.04545</v>
      </c>
      <c r="Z53" s="109">
        <f t="shared" si="25"/>
        <v>27962.04545</v>
      </c>
      <c r="AA53" s="109">
        <f t="shared" si="25"/>
        <v>20971.54545</v>
      </c>
      <c r="AB53" s="109">
        <f t="shared" si="25"/>
        <v>27962.04545</v>
      </c>
      <c r="AC53" s="109">
        <f t="shared" si="25"/>
        <v>31457.27273</v>
      </c>
      <c r="AD53" s="109">
        <f t="shared" si="25"/>
        <v>27962.04545</v>
      </c>
      <c r="AE53" s="109">
        <f t="shared" si="25"/>
        <v>27962.04545</v>
      </c>
      <c r="AF53" s="109">
        <f t="shared" si="25"/>
        <v>34952.54545</v>
      </c>
      <c r="AG53" s="109">
        <f t="shared" si="25"/>
        <v>41943.04545</v>
      </c>
      <c r="AH53" s="109">
        <f t="shared" si="25"/>
        <v>34952.54545</v>
      </c>
      <c r="AI53" s="109">
        <f t="shared" si="25"/>
        <v>34952.54545</v>
      </c>
      <c r="AJ53" s="109">
        <f t="shared" si="25"/>
        <v>31457.27273</v>
      </c>
      <c r="AK53" s="109">
        <f t="shared" si="25"/>
        <v>27962.04545</v>
      </c>
      <c r="AL53" s="109">
        <f t="shared" si="25"/>
        <v>27962.04545</v>
      </c>
      <c r="AM53" s="109">
        <f t="shared" si="25"/>
        <v>20971.54545</v>
      </c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</row>
    <row r="54" ht="12.75" customHeight="1">
      <c r="A54" s="79"/>
      <c r="B54" s="595">
        <f>UNIT_PRICE_CLIENT_A</f>
        <v>5</v>
      </c>
      <c r="C54" s="76" t="s">
        <v>148</v>
      </c>
      <c r="D54" s="91">
        <f t="shared" ref="D54:AM54" si="26">D40*$B54</f>
        <v>805</v>
      </c>
      <c r="E54" s="91">
        <f t="shared" si="26"/>
        <v>1070</v>
      </c>
      <c r="F54" s="91">
        <f t="shared" si="26"/>
        <v>1070</v>
      </c>
      <c r="G54" s="91">
        <f t="shared" si="26"/>
        <v>1070</v>
      </c>
      <c r="H54" s="91">
        <f t="shared" si="26"/>
        <v>1340</v>
      </c>
      <c r="I54" s="91">
        <f t="shared" si="26"/>
        <v>1875</v>
      </c>
      <c r="J54" s="91">
        <f t="shared" si="26"/>
        <v>1875</v>
      </c>
      <c r="K54" s="91">
        <f t="shared" si="26"/>
        <v>535</v>
      </c>
      <c r="L54" s="91">
        <f t="shared" si="26"/>
        <v>2145</v>
      </c>
      <c r="M54" s="91">
        <f t="shared" si="26"/>
        <v>1875</v>
      </c>
      <c r="N54" s="91">
        <f t="shared" si="26"/>
        <v>2145</v>
      </c>
      <c r="O54" s="91">
        <f t="shared" si="26"/>
        <v>1610</v>
      </c>
      <c r="P54" s="91">
        <f t="shared" si="26"/>
        <v>1875</v>
      </c>
      <c r="Q54" s="91">
        <f t="shared" si="26"/>
        <v>2145</v>
      </c>
      <c r="R54" s="91">
        <f t="shared" si="26"/>
        <v>2145</v>
      </c>
      <c r="S54" s="91">
        <f t="shared" si="26"/>
        <v>2145</v>
      </c>
      <c r="T54" s="91">
        <f t="shared" si="26"/>
        <v>2145</v>
      </c>
      <c r="U54" s="91">
        <f t="shared" si="26"/>
        <v>2410</v>
      </c>
      <c r="V54" s="91">
        <f t="shared" si="26"/>
        <v>2410</v>
      </c>
      <c r="W54" s="91">
        <f t="shared" si="26"/>
        <v>805</v>
      </c>
      <c r="X54" s="91">
        <f t="shared" si="26"/>
        <v>2410</v>
      </c>
      <c r="Y54" s="91">
        <f t="shared" si="26"/>
        <v>2145</v>
      </c>
      <c r="Z54" s="91">
        <f t="shared" si="26"/>
        <v>2145</v>
      </c>
      <c r="AA54" s="91">
        <f t="shared" si="26"/>
        <v>1610</v>
      </c>
      <c r="AB54" s="91">
        <f t="shared" si="26"/>
        <v>2145</v>
      </c>
      <c r="AC54" s="91">
        <f t="shared" si="26"/>
        <v>2410</v>
      </c>
      <c r="AD54" s="91">
        <f t="shared" si="26"/>
        <v>2145</v>
      </c>
      <c r="AE54" s="91">
        <f t="shared" si="26"/>
        <v>2145</v>
      </c>
      <c r="AF54" s="91">
        <f t="shared" si="26"/>
        <v>2680</v>
      </c>
      <c r="AG54" s="91">
        <f t="shared" si="26"/>
        <v>3215</v>
      </c>
      <c r="AH54" s="91">
        <f t="shared" si="26"/>
        <v>2680</v>
      </c>
      <c r="AI54" s="91">
        <f t="shared" si="26"/>
        <v>2680</v>
      </c>
      <c r="AJ54" s="91">
        <f t="shared" si="26"/>
        <v>2410</v>
      </c>
      <c r="AK54" s="91">
        <f t="shared" si="26"/>
        <v>2145</v>
      </c>
      <c r="AL54" s="91">
        <f t="shared" si="26"/>
        <v>2145</v>
      </c>
      <c r="AM54" s="91">
        <f t="shared" si="26"/>
        <v>1610</v>
      </c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</row>
    <row r="55" ht="12.75" customHeight="1">
      <c r="A55" s="79"/>
      <c r="B55" s="595">
        <f>UNIT_PRICE_CLIENT_B</f>
        <v>9.181818182</v>
      </c>
      <c r="C55" s="76" t="s">
        <v>76</v>
      </c>
      <c r="D55" s="91">
        <f t="shared" ref="D55:AM55" si="27">D41*$B55</f>
        <v>1937.363636</v>
      </c>
      <c r="E55" s="91">
        <f t="shared" si="27"/>
        <v>2589.272727</v>
      </c>
      <c r="F55" s="91">
        <f t="shared" si="27"/>
        <v>2589.272727</v>
      </c>
      <c r="G55" s="91">
        <f t="shared" si="27"/>
        <v>2589.272727</v>
      </c>
      <c r="H55" s="91">
        <f t="shared" si="27"/>
        <v>3232</v>
      </c>
      <c r="I55" s="91">
        <f t="shared" si="27"/>
        <v>4526.636364</v>
      </c>
      <c r="J55" s="91">
        <f t="shared" si="27"/>
        <v>4526.636364</v>
      </c>
      <c r="K55" s="91">
        <f t="shared" si="27"/>
        <v>1294.636364</v>
      </c>
      <c r="L55" s="91">
        <f t="shared" si="27"/>
        <v>5169.363636</v>
      </c>
      <c r="M55" s="91">
        <f t="shared" si="27"/>
        <v>4526.636364</v>
      </c>
      <c r="N55" s="91">
        <f t="shared" si="27"/>
        <v>5169.363636</v>
      </c>
      <c r="O55" s="91">
        <f t="shared" si="27"/>
        <v>3874.727273</v>
      </c>
      <c r="P55" s="91">
        <f t="shared" si="27"/>
        <v>4526.636364</v>
      </c>
      <c r="Q55" s="91">
        <f t="shared" si="27"/>
        <v>5169.363636</v>
      </c>
      <c r="R55" s="91">
        <f t="shared" si="27"/>
        <v>5169.363636</v>
      </c>
      <c r="S55" s="91">
        <f t="shared" si="27"/>
        <v>5169.363636</v>
      </c>
      <c r="T55" s="91">
        <f t="shared" si="27"/>
        <v>5169.363636</v>
      </c>
      <c r="U55" s="91">
        <f t="shared" si="27"/>
        <v>5821.272727</v>
      </c>
      <c r="V55" s="91">
        <f t="shared" si="27"/>
        <v>5821.272727</v>
      </c>
      <c r="W55" s="91">
        <f t="shared" si="27"/>
        <v>1937.363636</v>
      </c>
      <c r="X55" s="91">
        <f t="shared" si="27"/>
        <v>5821.272727</v>
      </c>
      <c r="Y55" s="91">
        <f t="shared" si="27"/>
        <v>5169.363636</v>
      </c>
      <c r="Z55" s="91">
        <f t="shared" si="27"/>
        <v>5169.363636</v>
      </c>
      <c r="AA55" s="91">
        <f t="shared" si="27"/>
        <v>3874.727273</v>
      </c>
      <c r="AB55" s="91">
        <f t="shared" si="27"/>
        <v>5169.363636</v>
      </c>
      <c r="AC55" s="91">
        <f t="shared" si="27"/>
        <v>5821.272727</v>
      </c>
      <c r="AD55" s="91">
        <f t="shared" si="27"/>
        <v>5169.363636</v>
      </c>
      <c r="AE55" s="91">
        <f t="shared" si="27"/>
        <v>5169.363636</v>
      </c>
      <c r="AF55" s="91">
        <f t="shared" si="27"/>
        <v>6464</v>
      </c>
      <c r="AG55" s="91">
        <f t="shared" si="27"/>
        <v>7758.636364</v>
      </c>
      <c r="AH55" s="91">
        <f t="shared" si="27"/>
        <v>6464</v>
      </c>
      <c r="AI55" s="91">
        <f t="shared" si="27"/>
        <v>6464</v>
      </c>
      <c r="AJ55" s="91">
        <f t="shared" si="27"/>
        <v>5821.272727</v>
      </c>
      <c r="AK55" s="91">
        <f t="shared" si="27"/>
        <v>5169.363636</v>
      </c>
      <c r="AL55" s="91">
        <f t="shared" si="27"/>
        <v>5169.363636</v>
      </c>
      <c r="AM55" s="91">
        <f t="shared" si="27"/>
        <v>3874.727273</v>
      </c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</row>
    <row r="56" ht="12.75" customHeight="1">
      <c r="A56" s="79"/>
      <c r="B56" s="595">
        <f>UNIT_PRICE_CLIENT_C</f>
        <v>12.72727273</v>
      </c>
      <c r="C56" s="76" t="s">
        <v>80</v>
      </c>
      <c r="D56" s="91">
        <f t="shared" ref="D56:AM56" si="28">D42*$B56</f>
        <v>2825.454545</v>
      </c>
      <c r="E56" s="91">
        <f t="shared" si="28"/>
        <v>3767.272727</v>
      </c>
      <c r="F56" s="91">
        <f t="shared" si="28"/>
        <v>3767.272727</v>
      </c>
      <c r="G56" s="91">
        <f t="shared" si="28"/>
        <v>3767.272727</v>
      </c>
      <c r="H56" s="91">
        <f t="shared" si="28"/>
        <v>4709.090909</v>
      </c>
      <c r="I56" s="91">
        <f t="shared" si="28"/>
        <v>6592.727273</v>
      </c>
      <c r="J56" s="91">
        <f t="shared" si="28"/>
        <v>6592.727273</v>
      </c>
      <c r="K56" s="91">
        <f t="shared" si="28"/>
        <v>1883.636364</v>
      </c>
      <c r="L56" s="91">
        <f t="shared" si="28"/>
        <v>7534.545455</v>
      </c>
      <c r="M56" s="91">
        <f t="shared" si="28"/>
        <v>6592.727273</v>
      </c>
      <c r="N56" s="91">
        <f t="shared" si="28"/>
        <v>7534.545455</v>
      </c>
      <c r="O56" s="91">
        <f t="shared" si="28"/>
        <v>5650.909091</v>
      </c>
      <c r="P56" s="91">
        <f t="shared" si="28"/>
        <v>6592.727273</v>
      </c>
      <c r="Q56" s="91">
        <f t="shared" si="28"/>
        <v>7534.545455</v>
      </c>
      <c r="R56" s="91">
        <f t="shared" si="28"/>
        <v>7534.545455</v>
      </c>
      <c r="S56" s="91">
        <f t="shared" si="28"/>
        <v>7534.545455</v>
      </c>
      <c r="T56" s="91">
        <f t="shared" si="28"/>
        <v>7534.545455</v>
      </c>
      <c r="U56" s="91">
        <f t="shared" si="28"/>
        <v>8476.363636</v>
      </c>
      <c r="V56" s="91">
        <f t="shared" si="28"/>
        <v>8476.363636</v>
      </c>
      <c r="W56" s="91">
        <f t="shared" si="28"/>
        <v>2825.454545</v>
      </c>
      <c r="X56" s="91">
        <f t="shared" si="28"/>
        <v>8476.363636</v>
      </c>
      <c r="Y56" s="91">
        <f t="shared" si="28"/>
        <v>7534.545455</v>
      </c>
      <c r="Z56" s="91">
        <f t="shared" si="28"/>
        <v>7534.545455</v>
      </c>
      <c r="AA56" s="91">
        <f t="shared" si="28"/>
        <v>5650.909091</v>
      </c>
      <c r="AB56" s="91">
        <f t="shared" si="28"/>
        <v>7534.545455</v>
      </c>
      <c r="AC56" s="91">
        <f t="shared" si="28"/>
        <v>8476.363636</v>
      </c>
      <c r="AD56" s="91">
        <f t="shared" si="28"/>
        <v>7534.545455</v>
      </c>
      <c r="AE56" s="91">
        <f t="shared" si="28"/>
        <v>7534.545455</v>
      </c>
      <c r="AF56" s="91">
        <f t="shared" si="28"/>
        <v>9418.181818</v>
      </c>
      <c r="AG56" s="91">
        <f t="shared" si="28"/>
        <v>11301.81818</v>
      </c>
      <c r="AH56" s="91">
        <f t="shared" si="28"/>
        <v>9418.181818</v>
      </c>
      <c r="AI56" s="91">
        <f t="shared" si="28"/>
        <v>9418.181818</v>
      </c>
      <c r="AJ56" s="91">
        <f t="shared" si="28"/>
        <v>8476.363636</v>
      </c>
      <c r="AK56" s="91">
        <f t="shared" si="28"/>
        <v>7534.545455</v>
      </c>
      <c r="AL56" s="91">
        <f t="shared" si="28"/>
        <v>7534.545455</v>
      </c>
      <c r="AM56" s="91">
        <f t="shared" si="28"/>
        <v>5650.909091</v>
      </c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</row>
    <row r="57" ht="12.75" customHeight="1">
      <c r="A57" s="79"/>
      <c r="B57" s="595">
        <f>UNIT_PRICE_CLIENT_D</f>
        <v>16.36363636</v>
      </c>
      <c r="C57" s="76" t="s">
        <v>83</v>
      </c>
      <c r="D57" s="91">
        <f t="shared" ref="D57:AM57" si="29">D43*$B57</f>
        <v>2961.818182</v>
      </c>
      <c r="E57" s="91">
        <f t="shared" si="29"/>
        <v>3960</v>
      </c>
      <c r="F57" s="91">
        <f t="shared" si="29"/>
        <v>3960</v>
      </c>
      <c r="G57" s="91">
        <f t="shared" si="29"/>
        <v>3960</v>
      </c>
      <c r="H57" s="91">
        <f t="shared" si="29"/>
        <v>4941.818182</v>
      </c>
      <c r="I57" s="91">
        <f t="shared" si="29"/>
        <v>6921.818182</v>
      </c>
      <c r="J57" s="91">
        <f t="shared" si="29"/>
        <v>6921.818182</v>
      </c>
      <c r="K57" s="91">
        <f t="shared" si="29"/>
        <v>1980</v>
      </c>
      <c r="L57" s="91">
        <f t="shared" si="29"/>
        <v>7903.636364</v>
      </c>
      <c r="M57" s="91">
        <f t="shared" si="29"/>
        <v>6921.818182</v>
      </c>
      <c r="N57" s="91">
        <f t="shared" si="29"/>
        <v>7903.636364</v>
      </c>
      <c r="O57" s="91">
        <f t="shared" si="29"/>
        <v>5923.636364</v>
      </c>
      <c r="P57" s="91">
        <f t="shared" si="29"/>
        <v>6921.818182</v>
      </c>
      <c r="Q57" s="91">
        <f t="shared" si="29"/>
        <v>7903.636364</v>
      </c>
      <c r="R57" s="91">
        <f t="shared" si="29"/>
        <v>7903.636364</v>
      </c>
      <c r="S57" s="91">
        <f t="shared" si="29"/>
        <v>7903.636364</v>
      </c>
      <c r="T57" s="91">
        <f t="shared" si="29"/>
        <v>7903.636364</v>
      </c>
      <c r="U57" s="91">
        <f t="shared" si="29"/>
        <v>8901.818182</v>
      </c>
      <c r="V57" s="91">
        <f t="shared" si="29"/>
        <v>8901.818182</v>
      </c>
      <c r="W57" s="91">
        <f t="shared" si="29"/>
        <v>2961.818182</v>
      </c>
      <c r="X57" s="91">
        <f t="shared" si="29"/>
        <v>8901.818182</v>
      </c>
      <c r="Y57" s="91">
        <f t="shared" si="29"/>
        <v>7903.636364</v>
      </c>
      <c r="Z57" s="91">
        <f t="shared" si="29"/>
        <v>7903.636364</v>
      </c>
      <c r="AA57" s="91">
        <f t="shared" si="29"/>
        <v>5923.636364</v>
      </c>
      <c r="AB57" s="91">
        <f t="shared" si="29"/>
        <v>7903.636364</v>
      </c>
      <c r="AC57" s="91">
        <f t="shared" si="29"/>
        <v>8901.818182</v>
      </c>
      <c r="AD57" s="91">
        <f t="shared" si="29"/>
        <v>7903.636364</v>
      </c>
      <c r="AE57" s="91">
        <f t="shared" si="29"/>
        <v>7903.636364</v>
      </c>
      <c r="AF57" s="91">
        <f t="shared" si="29"/>
        <v>9883.636364</v>
      </c>
      <c r="AG57" s="91">
        <f t="shared" si="29"/>
        <v>11863.63636</v>
      </c>
      <c r="AH57" s="91">
        <f t="shared" si="29"/>
        <v>9883.636364</v>
      </c>
      <c r="AI57" s="91">
        <f t="shared" si="29"/>
        <v>9883.636364</v>
      </c>
      <c r="AJ57" s="91">
        <f t="shared" si="29"/>
        <v>8901.818182</v>
      </c>
      <c r="AK57" s="91">
        <f t="shared" si="29"/>
        <v>7903.636364</v>
      </c>
      <c r="AL57" s="91">
        <f t="shared" si="29"/>
        <v>7903.636364</v>
      </c>
      <c r="AM57" s="91">
        <f t="shared" si="29"/>
        <v>5923.636364</v>
      </c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</row>
    <row r="58" ht="12.75" customHeight="1">
      <c r="A58" s="79"/>
      <c r="B58" s="595">
        <f>UNIT_PRICE_CLIENT_E</f>
        <v>20.59090909</v>
      </c>
      <c r="C58" s="76" t="s">
        <v>87</v>
      </c>
      <c r="D58" s="91">
        <f t="shared" ref="D58:AM58" si="30">D44*$B58</f>
        <v>1956.136364</v>
      </c>
      <c r="E58" s="91">
        <f t="shared" si="30"/>
        <v>2594.454545</v>
      </c>
      <c r="F58" s="91">
        <f t="shared" si="30"/>
        <v>2594.454545</v>
      </c>
      <c r="G58" s="91">
        <f t="shared" si="30"/>
        <v>2594.454545</v>
      </c>
      <c r="H58" s="91">
        <f t="shared" si="30"/>
        <v>3253.363636</v>
      </c>
      <c r="I58" s="91">
        <f t="shared" si="30"/>
        <v>4550.590909</v>
      </c>
      <c r="J58" s="91">
        <f t="shared" si="30"/>
        <v>4550.590909</v>
      </c>
      <c r="K58" s="91">
        <f t="shared" si="30"/>
        <v>1297.227273</v>
      </c>
      <c r="L58" s="91">
        <f t="shared" si="30"/>
        <v>5209.5</v>
      </c>
      <c r="M58" s="91">
        <f t="shared" si="30"/>
        <v>4550.590909</v>
      </c>
      <c r="N58" s="91">
        <f t="shared" si="30"/>
        <v>5209.5</v>
      </c>
      <c r="O58" s="91">
        <f t="shared" si="30"/>
        <v>3912.272727</v>
      </c>
      <c r="P58" s="91">
        <f t="shared" si="30"/>
        <v>4550.590909</v>
      </c>
      <c r="Q58" s="91">
        <f t="shared" si="30"/>
        <v>5209.5</v>
      </c>
      <c r="R58" s="91">
        <f t="shared" si="30"/>
        <v>5209.5</v>
      </c>
      <c r="S58" s="91">
        <f t="shared" si="30"/>
        <v>5209.5</v>
      </c>
      <c r="T58" s="91">
        <f t="shared" si="30"/>
        <v>5209.5</v>
      </c>
      <c r="U58" s="91">
        <f t="shared" si="30"/>
        <v>5847.818182</v>
      </c>
      <c r="V58" s="91">
        <f t="shared" si="30"/>
        <v>5847.818182</v>
      </c>
      <c r="W58" s="91">
        <f t="shared" si="30"/>
        <v>1956.136364</v>
      </c>
      <c r="X58" s="91">
        <f t="shared" si="30"/>
        <v>5847.818182</v>
      </c>
      <c r="Y58" s="91">
        <f t="shared" si="30"/>
        <v>5209.5</v>
      </c>
      <c r="Z58" s="91">
        <f t="shared" si="30"/>
        <v>5209.5</v>
      </c>
      <c r="AA58" s="91">
        <f t="shared" si="30"/>
        <v>3912.272727</v>
      </c>
      <c r="AB58" s="91">
        <f t="shared" si="30"/>
        <v>5209.5</v>
      </c>
      <c r="AC58" s="91">
        <f t="shared" si="30"/>
        <v>5847.818182</v>
      </c>
      <c r="AD58" s="91">
        <f t="shared" si="30"/>
        <v>5209.5</v>
      </c>
      <c r="AE58" s="91">
        <f t="shared" si="30"/>
        <v>5209.5</v>
      </c>
      <c r="AF58" s="91">
        <f t="shared" si="30"/>
        <v>6506.727273</v>
      </c>
      <c r="AG58" s="91">
        <f t="shared" si="30"/>
        <v>7803.954545</v>
      </c>
      <c r="AH58" s="91">
        <f t="shared" si="30"/>
        <v>6506.727273</v>
      </c>
      <c r="AI58" s="91">
        <f t="shared" si="30"/>
        <v>6506.727273</v>
      </c>
      <c r="AJ58" s="91">
        <f t="shared" si="30"/>
        <v>5847.818182</v>
      </c>
      <c r="AK58" s="91">
        <f t="shared" si="30"/>
        <v>5209.5</v>
      </c>
      <c r="AL58" s="91">
        <f t="shared" si="30"/>
        <v>5209.5</v>
      </c>
      <c r="AM58" s="91">
        <f t="shared" si="30"/>
        <v>3912.272727</v>
      </c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</row>
    <row r="59" ht="12.75" customHeight="1">
      <c r="A59" s="79"/>
      <c r="B59" s="595">
        <f>UNIT_PRICE_CLIENT_F</f>
        <v>0</v>
      </c>
      <c r="C59" s="76" t="s">
        <v>464</v>
      </c>
      <c r="D59" s="91">
        <f t="shared" ref="D59:AM59" si="31">D45*$B59</f>
        <v>0</v>
      </c>
      <c r="E59" s="91">
        <f t="shared" si="31"/>
        <v>0</v>
      </c>
      <c r="F59" s="91">
        <f t="shared" si="31"/>
        <v>0</v>
      </c>
      <c r="G59" s="91">
        <f t="shared" si="31"/>
        <v>0</v>
      </c>
      <c r="H59" s="91">
        <f t="shared" si="31"/>
        <v>0</v>
      </c>
      <c r="I59" s="91">
        <f t="shared" si="31"/>
        <v>0</v>
      </c>
      <c r="J59" s="91">
        <f t="shared" si="31"/>
        <v>0</v>
      </c>
      <c r="K59" s="91">
        <f t="shared" si="31"/>
        <v>0</v>
      </c>
      <c r="L59" s="91">
        <f t="shared" si="31"/>
        <v>0</v>
      </c>
      <c r="M59" s="91">
        <f t="shared" si="31"/>
        <v>0</v>
      </c>
      <c r="N59" s="91">
        <f t="shared" si="31"/>
        <v>0</v>
      </c>
      <c r="O59" s="91">
        <f t="shared" si="31"/>
        <v>0</v>
      </c>
      <c r="P59" s="91">
        <f t="shared" si="31"/>
        <v>0</v>
      </c>
      <c r="Q59" s="91">
        <f t="shared" si="31"/>
        <v>0</v>
      </c>
      <c r="R59" s="91">
        <f t="shared" si="31"/>
        <v>0</v>
      </c>
      <c r="S59" s="91">
        <f t="shared" si="31"/>
        <v>0</v>
      </c>
      <c r="T59" s="91">
        <f t="shared" si="31"/>
        <v>0</v>
      </c>
      <c r="U59" s="91">
        <f t="shared" si="31"/>
        <v>0</v>
      </c>
      <c r="V59" s="91">
        <f t="shared" si="31"/>
        <v>0</v>
      </c>
      <c r="W59" s="91">
        <f t="shared" si="31"/>
        <v>0</v>
      </c>
      <c r="X59" s="91">
        <f t="shared" si="31"/>
        <v>0</v>
      </c>
      <c r="Y59" s="91">
        <f t="shared" si="31"/>
        <v>0</v>
      </c>
      <c r="Z59" s="91">
        <f t="shared" si="31"/>
        <v>0</v>
      </c>
      <c r="AA59" s="91">
        <f t="shared" si="31"/>
        <v>0</v>
      </c>
      <c r="AB59" s="91">
        <f t="shared" si="31"/>
        <v>0</v>
      </c>
      <c r="AC59" s="91">
        <f t="shared" si="31"/>
        <v>0</v>
      </c>
      <c r="AD59" s="91">
        <f t="shared" si="31"/>
        <v>0</v>
      </c>
      <c r="AE59" s="91">
        <f t="shared" si="31"/>
        <v>0</v>
      </c>
      <c r="AF59" s="91">
        <f t="shared" si="31"/>
        <v>0</v>
      </c>
      <c r="AG59" s="91">
        <f t="shared" si="31"/>
        <v>0</v>
      </c>
      <c r="AH59" s="91">
        <f t="shared" si="31"/>
        <v>0</v>
      </c>
      <c r="AI59" s="91">
        <f t="shared" si="31"/>
        <v>0</v>
      </c>
      <c r="AJ59" s="91">
        <f t="shared" si="31"/>
        <v>0</v>
      </c>
      <c r="AK59" s="91">
        <f t="shared" si="31"/>
        <v>0</v>
      </c>
      <c r="AL59" s="91">
        <f t="shared" si="31"/>
        <v>0</v>
      </c>
      <c r="AM59" s="91">
        <f t="shared" si="31"/>
        <v>0</v>
      </c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</row>
    <row r="60" ht="12.0" customHeight="1">
      <c r="A60" s="79"/>
      <c r="B60" s="111"/>
      <c r="C60" s="111"/>
      <c r="D60" s="112">
        <f>SUM(D53:O53)</f>
        <v>227191.5</v>
      </c>
      <c r="P60" s="113">
        <f>SUM(P53:AA53)</f>
        <v>318068.1818</v>
      </c>
      <c r="AB60" s="113">
        <f>SUM(AB53:AM53)</f>
        <v>370497</v>
      </c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</row>
    <row r="61" ht="12.75" customHeight="1">
      <c r="A61" s="79"/>
      <c r="B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</row>
    <row r="62" ht="12.75" customHeight="1">
      <c r="A62" s="79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115">
        <f>(P60-D60)/D60</f>
        <v>0.4000003601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</row>
    <row r="63" ht="12.75" customHeight="1">
      <c r="A63" s="79"/>
      <c r="B63" s="76"/>
      <c r="C63" s="76"/>
      <c r="D63" s="110"/>
      <c r="E63" s="76"/>
      <c r="F63" s="76"/>
      <c r="G63" s="76"/>
      <c r="H63" s="76"/>
      <c r="I63" s="76"/>
      <c r="J63" s="76"/>
      <c r="K63" s="76"/>
      <c r="L63" s="76"/>
      <c r="M63" s="76"/>
      <c r="N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</row>
    <row r="64" ht="12.75" customHeight="1">
      <c r="A64" s="79"/>
      <c r="B64" s="76"/>
      <c r="C64" s="76"/>
      <c r="D64" s="110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85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</row>
    <row r="65" ht="12.75" customHeight="1">
      <c r="A65" s="79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</row>
    <row r="66" ht="12.75" customHeight="1">
      <c r="A66" s="118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</row>
    <row r="67" ht="12.75" customHeight="1">
      <c r="A67" s="118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</row>
    <row r="68" ht="12.75" customHeight="1">
      <c r="A68" s="118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</row>
    <row r="69" ht="12.75" customHeight="1">
      <c r="A69" s="118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</row>
    <row r="70" ht="12.75" customHeight="1">
      <c r="A70" s="118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</row>
    <row r="71" ht="12.75" customHeight="1"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</row>
    <row r="72" ht="12.75" customHeight="1"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</row>
    <row r="73" ht="12.75" customHeight="1">
      <c r="A73" s="596" t="s">
        <v>466</v>
      </c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</row>
    <row r="74" ht="12.75" customHeight="1">
      <c r="B74" s="76"/>
      <c r="C74" s="80" t="s">
        <v>140</v>
      </c>
      <c r="E74" s="76"/>
      <c r="F74" s="76"/>
      <c r="G74" s="76"/>
      <c r="H74" s="76"/>
      <c r="I74" s="76"/>
      <c r="J74" s="76"/>
      <c r="K74" s="76"/>
      <c r="L74" s="76"/>
      <c r="M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</row>
    <row r="75" ht="12.75" customHeight="1">
      <c r="A75" s="597"/>
      <c r="B75" s="76"/>
      <c r="C75" s="82" t="s">
        <v>157</v>
      </c>
      <c r="D75" s="76">
        <v>8.0</v>
      </c>
      <c r="E75" s="76">
        <v>9.0</v>
      </c>
      <c r="F75" s="76">
        <v>10.0</v>
      </c>
      <c r="G75" s="76">
        <v>11.0</v>
      </c>
      <c r="H75" s="76">
        <v>12.0</v>
      </c>
      <c r="I75" s="76">
        <v>13.0</v>
      </c>
      <c r="J75" s="76">
        <v>14.0</v>
      </c>
      <c r="K75" s="76">
        <v>15.0</v>
      </c>
      <c r="L75" s="76">
        <v>16.0</v>
      </c>
      <c r="M75" s="76">
        <v>17.0</v>
      </c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</row>
    <row r="76" ht="12.75" customHeight="1">
      <c r="A76" s="597"/>
      <c r="B76" s="76"/>
      <c r="C76" s="76" t="s">
        <v>148</v>
      </c>
      <c r="D76" s="98">
        <v>0.35</v>
      </c>
      <c r="E76" s="98">
        <v>0.5</v>
      </c>
      <c r="F76" s="98">
        <v>0.5</v>
      </c>
      <c r="G76" s="98">
        <v>0.05</v>
      </c>
      <c r="H76" s="98">
        <v>0.02</v>
      </c>
      <c r="I76" s="98"/>
      <c r="J76" s="98">
        <v>0.2</v>
      </c>
      <c r="K76" s="98">
        <v>0.2</v>
      </c>
      <c r="L76" s="98">
        <v>0.4</v>
      </c>
      <c r="M76" s="98">
        <v>0.45</v>
      </c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</row>
    <row r="77" ht="12.75" customHeight="1">
      <c r="A77" s="597"/>
      <c r="B77" s="76"/>
      <c r="C77" s="76" t="s">
        <v>76</v>
      </c>
      <c r="D77" s="98">
        <v>0.35</v>
      </c>
      <c r="E77" s="98">
        <v>0.4</v>
      </c>
      <c r="F77" s="98">
        <v>0.3</v>
      </c>
      <c r="G77" s="98">
        <v>0.1</v>
      </c>
      <c r="H77" s="98">
        <v>0.05</v>
      </c>
      <c r="I77" s="98"/>
      <c r="J77" s="98">
        <v>0.25</v>
      </c>
      <c r="K77" s="98">
        <v>0.35</v>
      </c>
      <c r="L77" s="98">
        <v>0.55</v>
      </c>
      <c r="M77" s="98">
        <v>0.55</v>
      </c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</row>
    <row r="78" ht="12.75" customHeight="1">
      <c r="A78" s="597"/>
      <c r="B78" s="76"/>
      <c r="C78" s="76" t="s">
        <v>80</v>
      </c>
      <c r="D78" s="98">
        <v>0.3</v>
      </c>
      <c r="E78" s="98">
        <v>0.05</v>
      </c>
      <c r="F78" s="98">
        <v>0.1</v>
      </c>
      <c r="G78" s="98">
        <v>0.25</v>
      </c>
      <c r="H78" s="98">
        <v>0.16</v>
      </c>
      <c r="I78" s="98">
        <v>0.1</v>
      </c>
      <c r="J78" s="98">
        <v>0.1</v>
      </c>
      <c r="K78" s="98">
        <v>0.05</v>
      </c>
      <c r="L78" s="98">
        <v>0.05</v>
      </c>
      <c r="M78" s="98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</row>
    <row r="79" ht="12.75" customHeight="1">
      <c r="A79" s="597"/>
      <c r="B79" s="76"/>
      <c r="C79" s="76" t="s">
        <v>83</v>
      </c>
      <c r="D79" s="98"/>
      <c r="E79" s="98">
        <v>0.05</v>
      </c>
      <c r="F79" s="98">
        <v>0.1</v>
      </c>
      <c r="G79" s="98">
        <v>0.35</v>
      </c>
      <c r="H79" s="98">
        <v>0.5</v>
      </c>
      <c r="I79" s="98">
        <v>0.35</v>
      </c>
      <c r="J79" s="98">
        <v>0.15</v>
      </c>
      <c r="K79" s="98">
        <v>0.15</v>
      </c>
      <c r="L79" s="98"/>
      <c r="M79" s="98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</row>
    <row r="80" ht="12.75" customHeight="1">
      <c r="A80" s="597"/>
      <c r="B80" s="76"/>
      <c r="C80" s="76" t="s">
        <v>87</v>
      </c>
      <c r="D80" s="98"/>
      <c r="E80" s="98"/>
      <c r="F80" s="98"/>
      <c r="G80" s="98">
        <v>0.18</v>
      </c>
      <c r="H80" s="98">
        <v>0.2</v>
      </c>
      <c r="I80" s="98">
        <v>0.35</v>
      </c>
      <c r="J80" s="98">
        <v>0.2</v>
      </c>
      <c r="K80" s="98">
        <v>0.2</v>
      </c>
      <c r="L80" s="98"/>
      <c r="M80" s="98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</row>
    <row r="81" ht="12.75" customHeight="1">
      <c r="A81" s="597"/>
      <c r="B81" s="76"/>
      <c r="C81" s="76" t="s">
        <v>464</v>
      </c>
      <c r="D81" s="598"/>
      <c r="E81" s="599"/>
      <c r="F81" s="599"/>
      <c r="G81" s="599">
        <v>0.07</v>
      </c>
      <c r="H81" s="599">
        <v>0.07</v>
      </c>
      <c r="I81" s="599">
        <v>0.2</v>
      </c>
      <c r="J81" s="599">
        <v>0.1</v>
      </c>
      <c r="K81" s="599">
        <v>0.05</v>
      </c>
      <c r="L81" s="598"/>
      <c r="M81" s="598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</row>
    <row r="82" ht="12.75" customHeight="1">
      <c r="A82" s="597"/>
      <c r="B82" s="76"/>
      <c r="C82" s="76"/>
      <c r="D82" s="89">
        <f t="shared" ref="D82:M82" si="32">SUM(D76:D81)</f>
        <v>1</v>
      </c>
      <c r="E82" s="89">
        <f t="shared" si="32"/>
        <v>1</v>
      </c>
      <c r="F82" s="89">
        <f t="shared" si="32"/>
        <v>1</v>
      </c>
      <c r="G82" s="89">
        <f t="shared" si="32"/>
        <v>1</v>
      </c>
      <c r="H82" s="89">
        <f t="shared" si="32"/>
        <v>1</v>
      </c>
      <c r="I82" s="89">
        <f t="shared" si="32"/>
        <v>1</v>
      </c>
      <c r="J82" s="89">
        <f t="shared" si="32"/>
        <v>1</v>
      </c>
      <c r="K82" s="89">
        <f t="shared" si="32"/>
        <v>1</v>
      </c>
      <c r="L82" s="89">
        <f t="shared" si="32"/>
        <v>1</v>
      </c>
      <c r="M82" s="89">
        <f t="shared" si="32"/>
        <v>1</v>
      </c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</row>
    <row r="83" ht="12.75" customHeight="1">
      <c r="A83" s="597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</row>
    <row r="84" ht="12.75" customHeight="1">
      <c r="A84" s="597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</row>
    <row r="85" ht="12.75" customHeight="1">
      <c r="A85" s="103"/>
      <c r="B85" s="76"/>
      <c r="C85" s="80" t="s">
        <v>140</v>
      </c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</row>
    <row r="86" ht="12.75" customHeight="1">
      <c r="A86" s="103"/>
      <c r="B86" s="76"/>
      <c r="D86" s="76">
        <v>8.0</v>
      </c>
      <c r="E86" s="76">
        <v>9.0</v>
      </c>
      <c r="F86" s="76">
        <v>10.0</v>
      </c>
      <c r="G86" s="76">
        <v>11.0</v>
      </c>
      <c r="H86" s="76">
        <v>12.0</v>
      </c>
      <c r="I86" s="76">
        <v>13.0</v>
      </c>
      <c r="J86" s="76">
        <v>14.0</v>
      </c>
      <c r="K86" s="76">
        <v>15.0</v>
      </c>
      <c r="L86" s="76">
        <v>16.0</v>
      </c>
      <c r="M86" s="76">
        <v>17.0</v>
      </c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</row>
    <row r="87" ht="12.75" customHeight="1">
      <c r="A87" s="103"/>
      <c r="B87" s="76"/>
      <c r="C87" s="82" t="s">
        <v>149</v>
      </c>
      <c r="D87" s="159">
        <v>2.0</v>
      </c>
      <c r="E87" s="159">
        <v>3.0</v>
      </c>
      <c r="F87" s="159">
        <v>3.0</v>
      </c>
      <c r="G87" s="159">
        <v>3.0</v>
      </c>
      <c r="H87" s="159">
        <v>5.0</v>
      </c>
      <c r="I87" s="159">
        <v>5.0</v>
      </c>
      <c r="J87" s="159">
        <v>5.0</v>
      </c>
      <c r="K87" s="159">
        <v>5.0</v>
      </c>
      <c r="L87" s="159">
        <v>2.0</v>
      </c>
      <c r="M87" s="159">
        <v>0.0</v>
      </c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</row>
    <row r="88" ht="12.75" customHeight="1">
      <c r="A88" s="103"/>
      <c r="B88" s="76"/>
      <c r="C88" s="76" t="s">
        <v>72</v>
      </c>
      <c r="D88" s="91">
        <f t="shared" ref="D88:M88" si="33">ROUND( D$87*D76,0)</f>
        <v>1</v>
      </c>
      <c r="E88" s="91">
        <f t="shared" si="33"/>
        <v>2</v>
      </c>
      <c r="F88" s="91">
        <f t="shared" si="33"/>
        <v>2</v>
      </c>
      <c r="G88" s="91">
        <f t="shared" si="33"/>
        <v>0</v>
      </c>
      <c r="H88" s="91">
        <f t="shared" si="33"/>
        <v>0</v>
      </c>
      <c r="I88" s="91">
        <f t="shared" si="33"/>
        <v>0</v>
      </c>
      <c r="J88" s="91">
        <f t="shared" si="33"/>
        <v>1</v>
      </c>
      <c r="K88" s="91">
        <f t="shared" si="33"/>
        <v>1</v>
      </c>
      <c r="L88" s="91">
        <f t="shared" si="33"/>
        <v>1</v>
      </c>
      <c r="M88" s="91">
        <f t="shared" si="33"/>
        <v>0</v>
      </c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</row>
    <row r="89" ht="12.75" customHeight="1">
      <c r="A89" s="103"/>
      <c r="B89" s="76"/>
      <c r="C89" s="76" t="s">
        <v>76</v>
      </c>
      <c r="D89" s="91">
        <f t="shared" ref="D89:M89" si="34">ROUND( D$87*D77,0)</f>
        <v>1</v>
      </c>
      <c r="E89" s="91">
        <f t="shared" si="34"/>
        <v>1</v>
      </c>
      <c r="F89" s="91">
        <f t="shared" si="34"/>
        <v>1</v>
      </c>
      <c r="G89" s="91">
        <f t="shared" si="34"/>
        <v>0</v>
      </c>
      <c r="H89" s="91">
        <f t="shared" si="34"/>
        <v>0</v>
      </c>
      <c r="I89" s="91">
        <f t="shared" si="34"/>
        <v>0</v>
      </c>
      <c r="J89" s="91">
        <f t="shared" si="34"/>
        <v>1</v>
      </c>
      <c r="K89" s="91">
        <f t="shared" si="34"/>
        <v>2</v>
      </c>
      <c r="L89" s="91">
        <f t="shared" si="34"/>
        <v>1</v>
      </c>
      <c r="M89" s="91">
        <f t="shared" si="34"/>
        <v>0</v>
      </c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</row>
    <row r="90" ht="12.75" customHeight="1">
      <c r="A90" s="103"/>
      <c r="B90" s="76"/>
      <c r="C90" s="76" t="s">
        <v>80</v>
      </c>
      <c r="D90" s="91">
        <f t="shared" ref="D90:M90" si="35">ROUND( D$87*D78,0)</f>
        <v>1</v>
      </c>
      <c r="E90" s="91">
        <f t="shared" si="35"/>
        <v>0</v>
      </c>
      <c r="F90" s="91">
        <f t="shared" si="35"/>
        <v>0</v>
      </c>
      <c r="G90" s="91">
        <f t="shared" si="35"/>
        <v>1</v>
      </c>
      <c r="H90" s="91">
        <f t="shared" si="35"/>
        <v>1</v>
      </c>
      <c r="I90" s="91">
        <f t="shared" si="35"/>
        <v>1</v>
      </c>
      <c r="J90" s="91">
        <f t="shared" si="35"/>
        <v>1</v>
      </c>
      <c r="K90" s="91">
        <f t="shared" si="35"/>
        <v>0</v>
      </c>
      <c r="L90" s="91">
        <f t="shared" si="35"/>
        <v>0</v>
      </c>
      <c r="M90" s="91">
        <f t="shared" si="35"/>
        <v>0</v>
      </c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</row>
    <row r="91" ht="12.75" customHeight="1">
      <c r="A91" s="103"/>
      <c r="B91" s="76"/>
      <c r="C91" s="76" t="s">
        <v>83</v>
      </c>
      <c r="D91" s="91">
        <f t="shared" ref="D91:M91" si="36">ROUND( D$87*D79,0)</f>
        <v>0</v>
      </c>
      <c r="E91" s="91">
        <f t="shared" si="36"/>
        <v>0</v>
      </c>
      <c r="F91" s="91">
        <f t="shared" si="36"/>
        <v>0</v>
      </c>
      <c r="G91" s="91">
        <f t="shared" si="36"/>
        <v>1</v>
      </c>
      <c r="H91" s="91">
        <f t="shared" si="36"/>
        <v>3</v>
      </c>
      <c r="I91" s="91">
        <f t="shared" si="36"/>
        <v>2</v>
      </c>
      <c r="J91" s="91">
        <f t="shared" si="36"/>
        <v>1</v>
      </c>
      <c r="K91" s="91">
        <f t="shared" si="36"/>
        <v>1</v>
      </c>
      <c r="L91" s="91">
        <f t="shared" si="36"/>
        <v>0</v>
      </c>
      <c r="M91" s="91">
        <f t="shared" si="36"/>
        <v>0</v>
      </c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</row>
    <row r="92" ht="12.75" customHeight="1">
      <c r="A92" s="103"/>
      <c r="B92" s="76"/>
      <c r="C92" s="76" t="s">
        <v>87</v>
      </c>
      <c r="D92" s="91">
        <f t="shared" ref="D92:M92" si="37">ROUND( D$87*D80,0)</f>
        <v>0</v>
      </c>
      <c r="E92" s="91">
        <f t="shared" si="37"/>
        <v>0</v>
      </c>
      <c r="F92" s="91">
        <f t="shared" si="37"/>
        <v>0</v>
      </c>
      <c r="G92" s="91">
        <f t="shared" si="37"/>
        <v>1</v>
      </c>
      <c r="H92" s="91">
        <f t="shared" si="37"/>
        <v>1</v>
      </c>
      <c r="I92" s="91">
        <f t="shared" si="37"/>
        <v>2</v>
      </c>
      <c r="J92" s="91">
        <f t="shared" si="37"/>
        <v>1</v>
      </c>
      <c r="K92" s="91">
        <f t="shared" si="37"/>
        <v>1</v>
      </c>
      <c r="L92" s="91">
        <f t="shared" si="37"/>
        <v>0</v>
      </c>
      <c r="M92" s="91">
        <f t="shared" si="37"/>
        <v>0</v>
      </c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</row>
    <row r="93" ht="12.75" customHeight="1">
      <c r="A93" s="103"/>
      <c r="B93" s="76"/>
      <c r="C93" s="76" t="s">
        <v>464</v>
      </c>
      <c r="D93" s="91">
        <f t="shared" ref="D93:M93" si="38">ROUND( D$87*D81,0)</f>
        <v>0</v>
      </c>
      <c r="E93" s="91">
        <f t="shared" si="38"/>
        <v>0</v>
      </c>
      <c r="F93" s="91">
        <f t="shared" si="38"/>
        <v>0</v>
      </c>
      <c r="G93" s="91">
        <f t="shared" si="38"/>
        <v>0</v>
      </c>
      <c r="H93" s="91">
        <f t="shared" si="38"/>
        <v>0</v>
      </c>
      <c r="I93" s="91">
        <f t="shared" si="38"/>
        <v>1</v>
      </c>
      <c r="J93" s="91">
        <f t="shared" si="38"/>
        <v>1</v>
      </c>
      <c r="K93" s="91">
        <f t="shared" si="38"/>
        <v>0</v>
      </c>
      <c r="L93" s="91">
        <f t="shared" si="38"/>
        <v>0</v>
      </c>
      <c r="M93" s="91">
        <f t="shared" si="38"/>
        <v>0</v>
      </c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</row>
    <row r="94" ht="12.75" customHeight="1">
      <c r="A94" s="103"/>
      <c r="B94" s="76"/>
      <c r="C94" s="76"/>
      <c r="D94" s="93">
        <f t="shared" ref="D94:M94" si="39">SUM(D88:D93)</f>
        <v>3</v>
      </c>
      <c r="E94" s="93">
        <f t="shared" si="39"/>
        <v>3</v>
      </c>
      <c r="F94" s="93">
        <f t="shared" si="39"/>
        <v>3</v>
      </c>
      <c r="G94" s="93">
        <f t="shared" si="39"/>
        <v>3</v>
      </c>
      <c r="H94" s="93">
        <f t="shared" si="39"/>
        <v>5</v>
      </c>
      <c r="I94" s="93">
        <f t="shared" si="39"/>
        <v>6</v>
      </c>
      <c r="J94" s="93">
        <f t="shared" si="39"/>
        <v>6</v>
      </c>
      <c r="K94" s="93">
        <f t="shared" si="39"/>
        <v>5</v>
      </c>
      <c r="L94" s="93">
        <f t="shared" si="39"/>
        <v>2</v>
      </c>
      <c r="M94" s="93">
        <f t="shared" si="39"/>
        <v>0</v>
      </c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</row>
    <row r="95" ht="12.75" customHeight="1">
      <c r="A95" s="103"/>
      <c r="B95" s="76"/>
      <c r="C95" s="80" t="s">
        <v>150</v>
      </c>
      <c r="D95" s="95" t="s">
        <v>151</v>
      </c>
      <c r="E95" s="95" t="s">
        <v>152</v>
      </c>
      <c r="F95" s="95" t="s">
        <v>153</v>
      </c>
      <c r="G95" s="95" t="s">
        <v>154</v>
      </c>
      <c r="H95" s="95" t="s">
        <v>155</v>
      </c>
      <c r="I95" s="95" t="s">
        <v>156</v>
      </c>
      <c r="J95" s="95" t="s">
        <v>151</v>
      </c>
      <c r="K95" s="95" t="s">
        <v>152</v>
      </c>
      <c r="L95" s="95" t="s">
        <v>153</v>
      </c>
      <c r="M95" s="95" t="s">
        <v>154</v>
      </c>
      <c r="N95" s="95" t="s">
        <v>155</v>
      </c>
      <c r="O95" s="95" t="s">
        <v>156</v>
      </c>
      <c r="P95" s="95" t="s">
        <v>151</v>
      </c>
      <c r="Q95" s="95" t="s">
        <v>152</v>
      </c>
      <c r="R95" s="95" t="s">
        <v>153</v>
      </c>
      <c r="S95" s="95" t="s">
        <v>154</v>
      </c>
      <c r="T95" s="95" t="s">
        <v>155</v>
      </c>
      <c r="U95" s="95" t="s">
        <v>156</v>
      </c>
      <c r="V95" s="95" t="s">
        <v>151</v>
      </c>
      <c r="W95" s="95" t="s">
        <v>152</v>
      </c>
      <c r="X95" s="95" t="s">
        <v>153</v>
      </c>
      <c r="Y95" s="95" t="s">
        <v>154</v>
      </c>
      <c r="Z95" s="95" t="s">
        <v>155</v>
      </c>
      <c r="AA95" s="95" t="s">
        <v>156</v>
      </c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</row>
    <row r="96" ht="12.75" customHeight="1">
      <c r="A96" s="103"/>
      <c r="B96" s="76"/>
      <c r="C96" s="76"/>
      <c r="D96" s="76">
        <v>1.0</v>
      </c>
      <c r="E96" s="76">
        <v>2.0</v>
      </c>
      <c r="F96" s="76">
        <v>3.0</v>
      </c>
      <c r="G96" s="76">
        <v>4.0</v>
      </c>
      <c r="H96" s="76">
        <v>5.0</v>
      </c>
      <c r="I96" s="76">
        <v>6.0</v>
      </c>
      <c r="J96" s="76">
        <v>7.0</v>
      </c>
      <c r="K96" s="76">
        <v>8.0</v>
      </c>
      <c r="L96" s="76">
        <v>9.0</v>
      </c>
      <c r="M96" s="76">
        <v>10.0</v>
      </c>
      <c r="N96" s="76">
        <v>11.0</v>
      </c>
      <c r="O96" s="76">
        <v>12.0</v>
      </c>
      <c r="P96" s="76">
        <v>13.0</v>
      </c>
      <c r="Q96" s="76">
        <v>14.0</v>
      </c>
      <c r="R96" s="76">
        <v>15.0</v>
      </c>
      <c r="S96" s="76">
        <v>16.0</v>
      </c>
      <c r="T96" s="76">
        <v>17.0</v>
      </c>
      <c r="U96" s="76">
        <v>18.0</v>
      </c>
      <c r="V96" s="76">
        <v>19.0</v>
      </c>
      <c r="W96" s="76">
        <v>20.0</v>
      </c>
      <c r="X96" s="76">
        <v>21.0</v>
      </c>
      <c r="Y96" s="76">
        <v>22.0</v>
      </c>
      <c r="Z96" s="76">
        <v>23.0</v>
      </c>
      <c r="AA96" s="76">
        <v>24.0</v>
      </c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</row>
    <row r="97" ht="12.75" customHeight="1">
      <c r="A97" s="103"/>
      <c r="C97" s="82" t="s">
        <v>157</v>
      </c>
      <c r="D97" s="98">
        <v>0.8</v>
      </c>
      <c r="E97" s="98">
        <v>0.8</v>
      </c>
      <c r="F97" s="98">
        <v>0.7</v>
      </c>
      <c r="G97" s="98">
        <v>0.6</v>
      </c>
      <c r="H97" s="98">
        <v>0.7</v>
      </c>
      <c r="I97" s="98">
        <v>0.8</v>
      </c>
      <c r="J97" s="98">
        <v>0.8</v>
      </c>
      <c r="K97" s="98">
        <v>0.8</v>
      </c>
      <c r="L97" s="98">
        <v>0.7</v>
      </c>
      <c r="M97" s="98">
        <v>0.6</v>
      </c>
      <c r="N97" s="98">
        <v>0.7</v>
      </c>
      <c r="O97" s="98">
        <v>0.8</v>
      </c>
      <c r="P97" s="98">
        <v>0.8</v>
      </c>
      <c r="Q97" s="98">
        <v>0.8</v>
      </c>
      <c r="R97" s="98">
        <v>0.7</v>
      </c>
      <c r="S97" s="98">
        <v>0.6</v>
      </c>
      <c r="T97" s="98">
        <v>0.7</v>
      </c>
      <c r="U97" s="98">
        <v>0.8</v>
      </c>
      <c r="V97" s="98">
        <v>0.8</v>
      </c>
      <c r="W97" s="98">
        <v>0.8</v>
      </c>
      <c r="X97" s="98">
        <v>0.7</v>
      </c>
      <c r="Y97" s="98">
        <v>0.6</v>
      </c>
      <c r="Z97" s="98">
        <v>0.7</v>
      </c>
      <c r="AA97" s="98">
        <v>0.8</v>
      </c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</row>
    <row r="98" ht="12.75" customHeight="1">
      <c r="A98" s="103"/>
      <c r="B98" s="76"/>
      <c r="C98" s="76" t="s">
        <v>148</v>
      </c>
      <c r="D98" s="76">
        <f t="shared" ref="D98:AA98" si="40">ROUND(SUM($D88:$M88)*D$97,0)</f>
        <v>6</v>
      </c>
      <c r="E98" s="76">
        <f t="shared" si="40"/>
        <v>6</v>
      </c>
      <c r="F98" s="76">
        <f t="shared" si="40"/>
        <v>6</v>
      </c>
      <c r="G98" s="76">
        <f t="shared" si="40"/>
        <v>5</v>
      </c>
      <c r="H98" s="76">
        <f t="shared" si="40"/>
        <v>6</v>
      </c>
      <c r="I98" s="76">
        <f t="shared" si="40"/>
        <v>6</v>
      </c>
      <c r="J98" s="76">
        <f t="shared" si="40"/>
        <v>6</v>
      </c>
      <c r="K98" s="76">
        <f t="shared" si="40"/>
        <v>6</v>
      </c>
      <c r="L98" s="76">
        <f t="shared" si="40"/>
        <v>6</v>
      </c>
      <c r="M98" s="76">
        <f t="shared" si="40"/>
        <v>5</v>
      </c>
      <c r="N98" s="76">
        <f t="shared" si="40"/>
        <v>6</v>
      </c>
      <c r="O98" s="76">
        <f t="shared" si="40"/>
        <v>6</v>
      </c>
      <c r="P98" s="76">
        <f t="shared" si="40"/>
        <v>6</v>
      </c>
      <c r="Q98" s="76">
        <f t="shared" si="40"/>
        <v>6</v>
      </c>
      <c r="R98" s="76">
        <f t="shared" si="40"/>
        <v>6</v>
      </c>
      <c r="S98" s="76">
        <f t="shared" si="40"/>
        <v>5</v>
      </c>
      <c r="T98" s="76">
        <f t="shared" si="40"/>
        <v>6</v>
      </c>
      <c r="U98" s="76">
        <f t="shared" si="40"/>
        <v>6</v>
      </c>
      <c r="V98" s="76">
        <f t="shared" si="40"/>
        <v>6</v>
      </c>
      <c r="W98" s="76">
        <f t="shared" si="40"/>
        <v>6</v>
      </c>
      <c r="X98" s="76">
        <f t="shared" si="40"/>
        <v>6</v>
      </c>
      <c r="Y98" s="76">
        <f t="shared" si="40"/>
        <v>5</v>
      </c>
      <c r="Z98" s="76">
        <f t="shared" si="40"/>
        <v>6</v>
      </c>
      <c r="AA98" s="76">
        <f t="shared" si="40"/>
        <v>6</v>
      </c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</row>
    <row r="99" ht="12.75" customHeight="1">
      <c r="A99" s="103"/>
      <c r="B99" s="76"/>
      <c r="C99" s="76" t="s">
        <v>76</v>
      </c>
      <c r="D99" s="76">
        <f t="shared" ref="D99:AA99" si="41">ROUND(SUM($D89:$M89)*D$97,0)</f>
        <v>6</v>
      </c>
      <c r="E99" s="76">
        <f t="shared" si="41"/>
        <v>6</v>
      </c>
      <c r="F99" s="76">
        <f t="shared" si="41"/>
        <v>5</v>
      </c>
      <c r="G99" s="76">
        <f t="shared" si="41"/>
        <v>4</v>
      </c>
      <c r="H99" s="76">
        <f t="shared" si="41"/>
        <v>5</v>
      </c>
      <c r="I99" s="76">
        <f t="shared" si="41"/>
        <v>6</v>
      </c>
      <c r="J99" s="76">
        <f t="shared" si="41"/>
        <v>6</v>
      </c>
      <c r="K99" s="76">
        <f t="shared" si="41"/>
        <v>6</v>
      </c>
      <c r="L99" s="76">
        <f t="shared" si="41"/>
        <v>5</v>
      </c>
      <c r="M99" s="76">
        <f t="shared" si="41"/>
        <v>4</v>
      </c>
      <c r="N99" s="76">
        <f t="shared" si="41"/>
        <v>5</v>
      </c>
      <c r="O99" s="76">
        <f t="shared" si="41"/>
        <v>6</v>
      </c>
      <c r="P99" s="76">
        <f t="shared" si="41"/>
        <v>6</v>
      </c>
      <c r="Q99" s="76">
        <f t="shared" si="41"/>
        <v>6</v>
      </c>
      <c r="R99" s="76">
        <f t="shared" si="41"/>
        <v>5</v>
      </c>
      <c r="S99" s="76">
        <f t="shared" si="41"/>
        <v>4</v>
      </c>
      <c r="T99" s="76">
        <f t="shared" si="41"/>
        <v>5</v>
      </c>
      <c r="U99" s="76">
        <f t="shared" si="41"/>
        <v>6</v>
      </c>
      <c r="V99" s="76">
        <f t="shared" si="41"/>
        <v>6</v>
      </c>
      <c r="W99" s="76">
        <f t="shared" si="41"/>
        <v>6</v>
      </c>
      <c r="X99" s="76">
        <f t="shared" si="41"/>
        <v>5</v>
      </c>
      <c r="Y99" s="76">
        <f t="shared" si="41"/>
        <v>4</v>
      </c>
      <c r="Z99" s="76">
        <f t="shared" si="41"/>
        <v>5</v>
      </c>
      <c r="AA99" s="76">
        <f t="shared" si="41"/>
        <v>6</v>
      </c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</row>
    <row r="100" ht="12.75" customHeight="1">
      <c r="A100" s="103"/>
      <c r="B100" s="76"/>
      <c r="C100" s="76" t="s">
        <v>80</v>
      </c>
      <c r="D100" s="76">
        <f t="shared" ref="D100:AA100" si="42">ROUND(SUM($D90:$M90)*D$97,0)</f>
        <v>4</v>
      </c>
      <c r="E100" s="76">
        <f t="shared" si="42"/>
        <v>4</v>
      </c>
      <c r="F100" s="76">
        <f t="shared" si="42"/>
        <v>4</v>
      </c>
      <c r="G100" s="76">
        <f t="shared" si="42"/>
        <v>3</v>
      </c>
      <c r="H100" s="76">
        <f t="shared" si="42"/>
        <v>4</v>
      </c>
      <c r="I100" s="76">
        <f t="shared" si="42"/>
        <v>4</v>
      </c>
      <c r="J100" s="76">
        <f t="shared" si="42"/>
        <v>4</v>
      </c>
      <c r="K100" s="76">
        <f t="shared" si="42"/>
        <v>4</v>
      </c>
      <c r="L100" s="76">
        <f t="shared" si="42"/>
        <v>4</v>
      </c>
      <c r="M100" s="76">
        <f t="shared" si="42"/>
        <v>3</v>
      </c>
      <c r="N100" s="76">
        <f t="shared" si="42"/>
        <v>4</v>
      </c>
      <c r="O100" s="76">
        <f t="shared" si="42"/>
        <v>4</v>
      </c>
      <c r="P100" s="76">
        <f t="shared" si="42"/>
        <v>4</v>
      </c>
      <c r="Q100" s="76">
        <f t="shared" si="42"/>
        <v>4</v>
      </c>
      <c r="R100" s="76">
        <f t="shared" si="42"/>
        <v>4</v>
      </c>
      <c r="S100" s="76">
        <f t="shared" si="42"/>
        <v>3</v>
      </c>
      <c r="T100" s="76">
        <f t="shared" si="42"/>
        <v>4</v>
      </c>
      <c r="U100" s="76">
        <f t="shared" si="42"/>
        <v>4</v>
      </c>
      <c r="V100" s="76">
        <f t="shared" si="42"/>
        <v>4</v>
      </c>
      <c r="W100" s="76">
        <f t="shared" si="42"/>
        <v>4</v>
      </c>
      <c r="X100" s="76">
        <f t="shared" si="42"/>
        <v>4</v>
      </c>
      <c r="Y100" s="76">
        <f t="shared" si="42"/>
        <v>3</v>
      </c>
      <c r="Z100" s="76">
        <f t="shared" si="42"/>
        <v>4</v>
      </c>
      <c r="AA100" s="76">
        <f t="shared" si="42"/>
        <v>4</v>
      </c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</row>
    <row r="101" ht="12.75" customHeight="1">
      <c r="A101" s="103"/>
      <c r="B101" s="76"/>
      <c r="C101" s="76" t="s">
        <v>83</v>
      </c>
      <c r="D101" s="76">
        <f t="shared" ref="D101:AA101" si="43">ROUND(SUM($D91:$M91)*D$97,0)</f>
        <v>6</v>
      </c>
      <c r="E101" s="76">
        <f t="shared" si="43"/>
        <v>6</v>
      </c>
      <c r="F101" s="76">
        <f t="shared" si="43"/>
        <v>6</v>
      </c>
      <c r="G101" s="76">
        <f t="shared" si="43"/>
        <v>5</v>
      </c>
      <c r="H101" s="76">
        <f t="shared" si="43"/>
        <v>6</v>
      </c>
      <c r="I101" s="76">
        <f t="shared" si="43"/>
        <v>6</v>
      </c>
      <c r="J101" s="76">
        <f t="shared" si="43"/>
        <v>6</v>
      </c>
      <c r="K101" s="76">
        <f t="shared" si="43"/>
        <v>6</v>
      </c>
      <c r="L101" s="76">
        <f t="shared" si="43"/>
        <v>6</v>
      </c>
      <c r="M101" s="76">
        <f t="shared" si="43"/>
        <v>5</v>
      </c>
      <c r="N101" s="76">
        <f t="shared" si="43"/>
        <v>6</v>
      </c>
      <c r="O101" s="76">
        <f t="shared" si="43"/>
        <v>6</v>
      </c>
      <c r="P101" s="76">
        <f t="shared" si="43"/>
        <v>6</v>
      </c>
      <c r="Q101" s="76">
        <f t="shared" si="43"/>
        <v>6</v>
      </c>
      <c r="R101" s="76">
        <f t="shared" si="43"/>
        <v>6</v>
      </c>
      <c r="S101" s="76">
        <f t="shared" si="43"/>
        <v>5</v>
      </c>
      <c r="T101" s="76">
        <f t="shared" si="43"/>
        <v>6</v>
      </c>
      <c r="U101" s="76">
        <f t="shared" si="43"/>
        <v>6</v>
      </c>
      <c r="V101" s="76">
        <f t="shared" si="43"/>
        <v>6</v>
      </c>
      <c r="W101" s="76">
        <f t="shared" si="43"/>
        <v>6</v>
      </c>
      <c r="X101" s="76">
        <f t="shared" si="43"/>
        <v>6</v>
      </c>
      <c r="Y101" s="76">
        <f t="shared" si="43"/>
        <v>5</v>
      </c>
      <c r="Z101" s="76">
        <f t="shared" si="43"/>
        <v>6</v>
      </c>
      <c r="AA101" s="76">
        <f t="shared" si="43"/>
        <v>6</v>
      </c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</row>
    <row r="102" ht="12.75" customHeight="1">
      <c r="A102" s="103"/>
      <c r="B102" s="76"/>
      <c r="C102" s="76" t="s">
        <v>87</v>
      </c>
      <c r="D102" s="76">
        <f t="shared" ref="D102:AA102" si="44">ROUND(SUM($D92:$M92)*D$97,0)</f>
        <v>5</v>
      </c>
      <c r="E102" s="76">
        <f t="shared" si="44"/>
        <v>5</v>
      </c>
      <c r="F102" s="76">
        <f t="shared" si="44"/>
        <v>4</v>
      </c>
      <c r="G102" s="76">
        <f t="shared" si="44"/>
        <v>4</v>
      </c>
      <c r="H102" s="76">
        <f t="shared" si="44"/>
        <v>4</v>
      </c>
      <c r="I102" s="76">
        <f t="shared" si="44"/>
        <v>5</v>
      </c>
      <c r="J102" s="76">
        <f t="shared" si="44"/>
        <v>5</v>
      </c>
      <c r="K102" s="76">
        <f t="shared" si="44"/>
        <v>5</v>
      </c>
      <c r="L102" s="76">
        <f t="shared" si="44"/>
        <v>4</v>
      </c>
      <c r="M102" s="76">
        <f t="shared" si="44"/>
        <v>4</v>
      </c>
      <c r="N102" s="76">
        <f t="shared" si="44"/>
        <v>4</v>
      </c>
      <c r="O102" s="76">
        <f t="shared" si="44"/>
        <v>5</v>
      </c>
      <c r="P102" s="76">
        <f t="shared" si="44"/>
        <v>5</v>
      </c>
      <c r="Q102" s="76">
        <f t="shared" si="44"/>
        <v>5</v>
      </c>
      <c r="R102" s="76">
        <f t="shared" si="44"/>
        <v>4</v>
      </c>
      <c r="S102" s="76">
        <f t="shared" si="44"/>
        <v>4</v>
      </c>
      <c r="T102" s="76">
        <f t="shared" si="44"/>
        <v>4</v>
      </c>
      <c r="U102" s="76">
        <f t="shared" si="44"/>
        <v>5</v>
      </c>
      <c r="V102" s="76">
        <f t="shared" si="44"/>
        <v>5</v>
      </c>
      <c r="W102" s="76">
        <f t="shared" si="44"/>
        <v>5</v>
      </c>
      <c r="X102" s="76">
        <f t="shared" si="44"/>
        <v>4</v>
      </c>
      <c r="Y102" s="76">
        <f t="shared" si="44"/>
        <v>4</v>
      </c>
      <c r="Z102" s="76">
        <f t="shared" si="44"/>
        <v>4</v>
      </c>
      <c r="AA102" s="76">
        <f t="shared" si="44"/>
        <v>5</v>
      </c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</row>
    <row r="103" ht="12.75" customHeight="1">
      <c r="A103" s="103"/>
      <c r="B103" s="76"/>
      <c r="C103" s="76" t="s">
        <v>464</v>
      </c>
      <c r="D103" s="76">
        <f t="shared" ref="D103:AA103" si="45">ROUND(SUM($D93:$M93)*D$97,0)</f>
        <v>2</v>
      </c>
      <c r="E103" s="76">
        <f t="shared" si="45"/>
        <v>2</v>
      </c>
      <c r="F103" s="76">
        <f t="shared" si="45"/>
        <v>1</v>
      </c>
      <c r="G103" s="76">
        <f t="shared" si="45"/>
        <v>1</v>
      </c>
      <c r="H103" s="76">
        <f t="shared" si="45"/>
        <v>1</v>
      </c>
      <c r="I103" s="76">
        <f t="shared" si="45"/>
        <v>2</v>
      </c>
      <c r="J103" s="76">
        <f t="shared" si="45"/>
        <v>2</v>
      </c>
      <c r="K103" s="76">
        <f t="shared" si="45"/>
        <v>2</v>
      </c>
      <c r="L103" s="76">
        <f t="shared" si="45"/>
        <v>1</v>
      </c>
      <c r="M103" s="76">
        <f t="shared" si="45"/>
        <v>1</v>
      </c>
      <c r="N103" s="76">
        <f t="shared" si="45"/>
        <v>1</v>
      </c>
      <c r="O103" s="76">
        <f t="shared" si="45"/>
        <v>2</v>
      </c>
      <c r="P103" s="76">
        <f t="shared" si="45"/>
        <v>2</v>
      </c>
      <c r="Q103" s="76">
        <f t="shared" si="45"/>
        <v>2</v>
      </c>
      <c r="R103" s="76">
        <f t="shared" si="45"/>
        <v>1</v>
      </c>
      <c r="S103" s="76">
        <f t="shared" si="45"/>
        <v>1</v>
      </c>
      <c r="T103" s="76">
        <f t="shared" si="45"/>
        <v>1</v>
      </c>
      <c r="U103" s="76">
        <f t="shared" si="45"/>
        <v>2</v>
      </c>
      <c r="V103" s="76">
        <f t="shared" si="45"/>
        <v>2</v>
      </c>
      <c r="W103" s="76">
        <f t="shared" si="45"/>
        <v>2</v>
      </c>
      <c r="X103" s="76">
        <f t="shared" si="45"/>
        <v>1</v>
      </c>
      <c r="Y103" s="76">
        <f t="shared" si="45"/>
        <v>1</v>
      </c>
      <c r="Z103" s="76">
        <f t="shared" si="45"/>
        <v>1</v>
      </c>
      <c r="AA103" s="76">
        <f t="shared" si="45"/>
        <v>2</v>
      </c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</row>
    <row r="104" ht="12.75" customHeight="1">
      <c r="A104" s="103"/>
      <c r="B104" s="76"/>
      <c r="C104" s="76"/>
      <c r="D104" s="93">
        <f t="shared" ref="D104:AA104" si="46">SUM(D98:D103)</f>
        <v>29</v>
      </c>
      <c r="E104" s="93">
        <f t="shared" si="46"/>
        <v>29</v>
      </c>
      <c r="F104" s="93">
        <f t="shared" si="46"/>
        <v>26</v>
      </c>
      <c r="G104" s="93">
        <f t="shared" si="46"/>
        <v>22</v>
      </c>
      <c r="H104" s="93">
        <f t="shared" si="46"/>
        <v>26</v>
      </c>
      <c r="I104" s="93">
        <f t="shared" si="46"/>
        <v>29</v>
      </c>
      <c r="J104" s="93">
        <f t="shared" si="46"/>
        <v>29</v>
      </c>
      <c r="K104" s="93">
        <f t="shared" si="46"/>
        <v>29</v>
      </c>
      <c r="L104" s="93">
        <f t="shared" si="46"/>
        <v>26</v>
      </c>
      <c r="M104" s="93">
        <f t="shared" si="46"/>
        <v>22</v>
      </c>
      <c r="N104" s="93">
        <f t="shared" si="46"/>
        <v>26</v>
      </c>
      <c r="O104" s="93">
        <f t="shared" si="46"/>
        <v>29</v>
      </c>
      <c r="P104" s="93">
        <f t="shared" si="46"/>
        <v>29</v>
      </c>
      <c r="Q104" s="93">
        <f t="shared" si="46"/>
        <v>29</v>
      </c>
      <c r="R104" s="93">
        <f t="shared" si="46"/>
        <v>26</v>
      </c>
      <c r="S104" s="93">
        <f t="shared" si="46"/>
        <v>22</v>
      </c>
      <c r="T104" s="93">
        <f t="shared" si="46"/>
        <v>26</v>
      </c>
      <c r="U104" s="93">
        <f t="shared" si="46"/>
        <v>29</v>
      </c>
      <c r="V104" s="93">
        <f t="shared" si="46"/>
        <v>29</v>
      </c>
      <c r="W104" s="93">
        <f t="shared" si="46"/>
        <v>29</v>
      </c>
      <c r="X104" s="93">
        <f t="shared" si="46"/>
        <v>26</v>
      </c>
      <c r="Y104" s="93">
        <f t="shared" si="46"/>
        <v>22</v>
      </c>
      <c r="Z104" s="93">
        <f t="shared" si="46"/>
        <v>26</v>
      </c>
      <c r="AA104" s="93">
        <f t="shared" si="46"/>
        <v>29</v>
      </c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</row>
    <row r="105" ht="12.75" customHeight="1">
      <c r="A105" s="103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</row>
    <row r="106" ht="12.75" customHeight="1">
      <c r="A106" s="103"/>
      <c r="B106" s="76"/>
      <c r="C106" s="80" t="s">
        <v>158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</row>
    <row r="107" ht="12.75" customHeight="1">
      <c r="A107" s="103"/>
      <c r="B107" s="76"/>
      <c r="C107" s="76"/>
      <c r="D107" s="76">
        <v>2024.0</v>
      </c>
      <c r="E107" s="76"/>
      <c r="F107" s="76"/>
      <c r="G107" s="76"/>
      <c r="H107" s="76"/>
      <c r="I107" s="76"/>
      <c r="J107" s="76"/>
      <c r="K107" s="95" t="s">
        <v>465</v>
      </c>
      <c r="L107" s="76"/>
      <c r="M107" s="76"/>
      <c r="N107" s="76"/>
      <c r="O107" s="76"/>
      <c r="P107" s="76">
        <v>2025.0</v>
      </c>
      <c r="Q107" s="76"/>
      <c r="R107" s="76"/>
      <c r="S107" s="76"/>
      <c r="T107" s="76"/>
      <c r="U107" s="76"/>
      <c r="V107" s="76"/>
      <c r="W107" s="95" t="s">
        <v>465</v>
      </c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</row>
    <row r="108" ht="12.75" customHeight="1">
      <c r="A108" s="103"/>
      <c r="B108" s="76"/>
      <c r="C108" s="82" t="s">
        <v>159</v>
      </c>
      <c r="D108" s="76">
        <v>1.0</v>
      </c>
      <c r="E108" s="76">
        <v>2.0</v>
      </c>
      <c r="F108" s="76">
        <v>3.0</v>
      </c>
      <c r="G108" s="76">
        <v>4.0</v>
      </c>
      <c r="H108" s="76">
        <v>5.0</v>
      </c>
      <c r="I108" s="76">
        <v>6.0</v>
      </c>
      <c r="J108" s="76">
        <v>7.0</v>
      </c>
      <c r="K108" s="76">
        <v>8.0</v>
      </c>
      <c r="L108" s="76">
        <v>9.0</v>
      </c>
      <c r="M108" s="76">
        <v>10.0</v>
      </c>
      <c r="N108" s="76">
        <v>11.0</v>
      </c>
      <c r="O108" s="76">
        <v>12.0</v>
      </c>
      <c r="P108" s="76">
        <v>1.0</v>
      </c>
      <c r="Q108" s="76">
        <v>2.0</v>
      </c>
      <c r="R108" s="76">
        <v>3.0</v>
      </c>
      <c r="S108" s="76">
        <v>4.0</v>
      </c>
      <c r="T108" s="76">
        <v>5.0</v>
      </c>
      <c r="U108" s="76">
        <v>6.0</v>
      </c>
      <c r="V108" s="76">
        <v>7.0</v>
      </c>
      <c r="W108" s="76">
        <v>8.0</v>
      </c>
      <c r="X108" s="76">
        <v>9.0</v>
      </c>
      <c r="Y108" s="76">
        <v>10.0</v>
      </c>
      <c r="Z108" s="76">
        <v>11.0</v>
      </c>
      <c r="AA108" s="76">
        <v>12.0</v>
      </c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</row>
    <row r="109" ht="12.75" customHeight="1">
      <c r="A109" s="103"/>
      <c r="B109" s="76"/>
      <c r="C109" s="82" t="s">
        <v>160</v>
      </c>
      <c r="D109" s="98">
        <v>0.0</v>
      </c>
      <c r="E109" s="98">
        <v>0.0</v>
      </c>
      <c r="F109" s="98">
        <v>0.0</v>
      </c>
      <c r="G109" s="98">
        <v>0.2</v>
      </c>
      <c r="H109" s="98">
        <v>0.2</v>
      </c>
      <c r="I109" s="98">
        <v>0.25</v>
      </c>
      <c r="J109" s="98">
        <v>0.25</v>
      </c>
      <c r="K109" s="98">
        <v>0.1</v>
      </c>
      <c r="L109" s="98">
        <v>0.3</v>
      </c>
      <c r="M109" s="98">
        <v>0.3</v>
      </c>
      <c r="N109" s="98">
        <v>0.35</v>
      </c>
      <c r="O109" s="98">
        <v>0.4</v>
      </c>
      <c r="P109" s="98">
        <v>0.4</v>
      </c>
      <c r="Q109" s="98">
        <v>0.45</v>
      </c>
      <c r="R109" s="98">
        <v>0.45</v>
      </c>
      <c r="S109" s="98">
        <v>0.45</v>
      </c>
      <c r="T109" s="98">
        <v>0.3</v>
      </c>
      <c r="U109" s="98">
        <v>0.25</v>
      </c>
      <c r="V109" s="98">
        <v>0.2</v>
      </c>
      <c r="W109" s="98">
        <v>0.1</v>
      </c>
      <c r="X109" s="98">
        <v>0.3</v>
      </c>
      <c r="Y109" s="98">
        <v>0.55</v>
      </c>
      <c r="Z109" s="98">
        <v>0.55</v>
      </c>
      <c r="AA109" s="98">
        <v>0.5</v>
      </c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</row>
    <row r="110" ht="12.75" customHeight="1">
      <c r="A110" s="103"/>
      <c r="B110" s="76"/>
      <c r="C110" s="76" t="s">
        <v>148</v>
      </c>
      <c r="D110" s="76">
        <f t="shared" ref="D110:AA110" si="47">ROUND(SUM($D98:$AA98)*D$109,0)</f>
        <v>0</v>
      </c>
      <c r="E110" s="76">
        <f t="shared" si="47"/>
        <v>0</v>
      </c>
      <c r="F110" s="76">
        <f t="shared" si="47"/>
        <v>0</v>
      </c>
      <c r="G110" s="76">
        <f t="shared" si="47"/>
        <v>28</v>
      </c>
      <c r="H110" s="76">
        <f t="shared" si="47"/>
        <v>28</v>
      </c>
      <c r="I110" s="76">
        <f t="shared" si="47"/>
        <v>35</v>
      </c>
      <c r="J110" s="76">
        <f t="shared" si="47"/>
        <v>35</v>
      </c>
      <c r="K110" s="76">
        <f t="shared" si="47"/>
        <v>14</v>
      </c>
      <c r="L110" s="76">
        <f t="shared" si="47"/>
        <v>42</v>
      </c>
      <c r="M110" s="76">
        <f t="shared" si="47"/>
        <v>42</v>
      </c>
      <c r="N110" s="76">
        <f t="shared" si="47"/>
        <v>49</v>
      </c>
      <c r="O110" s="76">
        <f t="shared" si="47"/>
        <v>56</v>
      </c>
      <c r="P110" s="76">
        <f t="shared" si="47"/>
        <v>56</v>
      </c>
      <c r="Q110" s="76">
        <f t="shared" si="47"/>
        <v>63</v>
      </c>
      <c r="R110" s="76">
        <f t="shared" si="47"/>
        <v>63</v>
      </c>
      <c r="S110" s="76">
        <f t="shared" si="47"/>
        <v>63</v>
      </c>
      <c r="T110" s="76">
        <f t="shared" si="47"/>
        <v>42</v>
      </c>
      <c r="U110" s="76">
        <f t="shared" si="47"/>
        <v>35</v>
      </c>
      <c r="V110" s="76">
        <f t="shared" si="47"/>
        <v>28</v>
      </c>
      <c r="W110" s="76">
        <f t="shared" si="47"/>
        <v>14</v>
      </c>
      <c r="X110" s="76">
        <f t="shared" si="47"/>
        <v>42</v>
      </c>
      <c r="Y110" s="76">
        <f t="shared" si="47"/>
        <v>77</v>
      </c>
      <c r="Z110" s="76">
        <f t="shared" si="47"/>
        <v>77</v>
      </c>
      <c r="AA110" s="76">
        <f t="shared" si="47"/>
        <v>70</v>
      </c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</row>
    <row r="111" ht="12.75" customHeight="1">
      <c r="A111" s="103"/>
      <c r="B111" s="76"/>
      <c r="C111" s="76" t="s">
        <v>76</v>
      </c>
      <c r="D111" s="76">
        <f t="shared" ref="D111:AA111" si="48">ROUND(SUM($D99:$AA99)*D$109,0)</f>
        <v>0</v>
      </c>
      <c r="E111" s="76">
        <f t="shared" si="48"/>
        <v>0</v>
      </c>
      <c r="F111" s="76">
        <f t="shared" si="48"/>
        <v>0</v>
      </c>
      <c r="G111" s="76">
        <f t="shared" si="48"/>
        <v>26</v>
      </c>
      <c r="H111" s="76">
        <f t="shared" si="48"/>
        <v>26</v>
      </c>
      <c r="I111" s="76">
        <f t="shared" si="48"/>
        <v>32</v>
      </c>
      <c r="J111" s="76">
        <f t="shared" si="48"/>
        <v>32</v>
      </c>
      <c r="K111" s="76">
        <f t="shared" si="48"/>
        <v>13</v>
      </c>
      <c r="L111" s="76">
        <f t="shared" si="48"/>
        <v>38</v>
      </c>
      <c r="M111" s="76">
        <f t="shared" si="48"/>
        <v>38</v>
      </c>
      <c r="N111" s="76">
        <f t="shared" si="48"/>
        <v>45</v>
      </c>
      <c r="O111" s="76">
        <f t="shared" si="48"/>
        <v>51</v>
      </c>
      <c r="P111" s="76">
        <f t="shared" si="48"/>
        <v>51</v>
      </c>
      <c r="Q111" s="76">
        <f t="shared" si="48"/>
        <v>58</v>
      </c>
      <c r="R111" s="76">
        <f t="shared" si="48"/>
        <v>58</v>
      </c>
      <c r="S111" s="76">
        <f t="shared" si="48"/>
        <v>58</v>
      </c>
      <c r="T111" s="76">
        <f t="shared" si="48"/>
        <v>38</v>
      </c>
      <c r="U111" s="76">
        <f t="shared" si="48"/>
        <v>32</v>
      </c>
      <c r="V111" s="76">
        <f t="shared" si="48"/>
        <v>26</v>
      </c>
      <c r="W111" s="76">
        <f t="shared" si="48"/>
        <v>13</v>
      </c>
      <c r="X111" s="76">
        <f t="shared" si="48"/>
        <v>38</v>
      </c>
      <c r="Y111" s="76">
        <f t="shared" si="48"/>
        <v>70</v>
      </c>
      <c r="Z111" s="76">
        <f t="shared" si="48"/>
        <v>70</v>
      </c>
      <c r="AA111" s="76">
        <f t="shared" si="48"/>
        <v>64</v>
      </c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</row>
    <row r="112" ht="12.75" customHeight="1">
      <c r="A112" s="103"/>
      <c r="B112" s="76"/>
      <c r="C112" s="76" t="s">
        <v>80</v>
      </c>
      <c r="D112" s="76">
        <f t="shared" ref="D112:AA112" si="49">ROUND(SUM($D100:$AA100)*D$109,0)</f>
        <v>0</v>
      </c>
      <c r="E112" s="76">
        <f t="shared" si="49"/>
        <v>0</v>
      </c>
      <c r="F112" s="76">
        <f t="shared" si="49"/>
        <v>0</v>
      </c>
      <c r="G112" s="76">
        <f t="shared" si="49"/>
        <v>18</v>
      </c>
      <c r="H112" s="76">
        <f t="shared" si="49"/>
        <v>18</v>
      </c>
      <c r="I112" s="76">
        <f t="shared" si="49"/>
        <v>23</v>
      </c>
      <c r="J112" s="76">
        <f t="shared" si="49"/>
        <v>23</v>
      </c>
      <c r="K112" s="76">
        <f t="shared" si="49"/>
        <v>9</v>
      </c>
      <c r="L112" s="76">
        <f t="shared" si="49"/>
        <v>28</v>
      </c>
      <c r="M112" s="76">
        <f t="shared" si="49"/>
        <v>28</v>
      </c>
      <c r="N112" s="76">
        <f t="shared" si="49"/>
        <v>32</v>
      </c>
      <c r="O112" s="76">
        <f t="shared" si="49"/>
        <v>37</v>
      </c>
      <c r="P112" s="76">
        <f t="shared" si="49"/>
        <v>37</v>
      </c>
      <c r="Q112" s="76">
        <f t="shared" si="49"/>
        <v>41</v>
      </c>
      <c r="R112" s="76">
        <f t="shared" si="49"/>
        <v>41</v>
      </c>
      <c r="S112" s="76">
        <f t="shared" si="49"/>
        <v>41</v>
      </c>
      <c r="T112" s="76">
        <f t="shared" si="49"/>
        <v>28</v>
      </c>
      <c r="U112" s="76">
        <f t="shared" si="49"/>
        <v>23</v>
      </c>
      <c r="V112" s="76">
        <f t="shared" si="49"/>
        <v>18</v>
      </c>
      <c r="W112" s="76">
        <f t="shared" si="49"/>
        <v>9</v>
      </c>
      <c r="X112" s="76">
        <f t="shared" si="49"/>
        <v>28</v>
      </c>
      <c r="Y112" s="76">
        <f t="shared" si="49"/>
        <v>51</v>
      </c>
      <c r="Z112" s="76">
        <f t="shared" si="49"/>
        <v>51</v>
      </c>
      <c r="AA112" s="76">
        <f t="shared" si="49"/>
        <v>46</v>
      </c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</row>
    <row r="113" ht="12.75" customHeight="1">
      <c r="A113" s="103"/>
      <c r="B113" s="76"/>
      <c r="C113" s="76" t="s">
        <v>83</v>
      </c>
      <c r="D113" s="76">
        <f t="shared" ref="D113:AA113" si="50">ROUND(SUM($D101:$AA101)*D$109,0)</f>
        <v>0</v>
      </c>
      <c r="E113" s="76">
        <f t="shared" si="50"/>
        <v>0</v>
      </c>
      <c r="F113" s="76">
        <f t="shared" si="50"/>
        <v>0</v>
      </c>
      <c r="G113" s="76">
        <f t="shared" si="50"/>
        <v>28</v>
      </c>
      <c r="H113" s="76">
        <f t="shared" si="50"/>
        <v>28</v>
      </c>
      <c r="I113" s="76">
        <f t="shared" si="50"/>
        <v>35</v>
      </c>
      <c r="J113" s="76">
        <f t="shared" si="50"/>
        <v>35</v>
      </c>
      <c r="K113" s="76">
        <f t="shared" si="50"/>
        <v>14</v>
      </c>
      <c r="L113" s="76">
        <f t="shared" si="50"/>
        <v>42</v>
      </c>
      <c r="M113" s="76">
        <f t="shared" si="50"/>
        <v>42</v>
      </c>
      <c r="N113" s="76">
        <f t="shared" si="50"/>
        <v>49</v>
      </c>
      <c r="O113" s="76">
        <f t="shared" si="50"/>
        <v>56</v>
      </c>
      <c r="P113" s="76">
        <f t="shared" si="50"/>
        <v>56</v>
      </c>
      <c r="Q113" s="76">
        <f t="shared" si="50"/>
        <v>63</v>
      </c>
      <c r="R113" s="76">
        <f t="shared" si="50"/>
        <v>63</v>
      </c>
      <c r="S113" s="76">
        <f t="shared" si="50"/>
        <v>63</v>
      </c>
      <c r="T113" s="76">
        <f t="shared" si="50"/>
        <v>42</v>
      </c>
      <c r="U113" s="76">
        <f t="shared" si="50"/>
        <v>35</v>
      </c>
      <c r="V113" s="76">
        <f t="shared" si="50"/>
        <v>28</v>
      </c>
      <c r="W113" s="76">
        <f t="shared" si="50"/>
        <v>14</v>
      </c>
      <c r="X113" s="76">
        <f t="shared" si="50"/>
        <v>42</v>
      </c>
      <c r="Y113" s="76">
        <f t="shared" si="50"/>
        <v>77</v>
      </c>
      <c r="Z113" s="76">
        <f t="shared" si="50"/>
        <v>77</v>
      </c>
      <c r="AA113" s="76">
        <f t="shared" si="50"/>
        <v>70</v>
      </c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</row>
    <row r="114" ht="12.75" customHeight="1">
      <c r="A114" s="103"/>
      <c r="B114" s="76"/>
      <c r="C114" s="76" t="s">
        <v>87</v>
      </c>
      <c r="D114" s="76">
        <f t="shared" ref="D114:AA114" si="51">ROUND(SUM($D102:$AA102)*D$109,0)</f>
        <v>0</v>
      </c>
      <c r="E114" s="76">
        <f t="shared" si="51"/>
        <v>0</v>
      </c>
      <c r="F114" s="76">
        <f t="shared" si="51"/>
        <v>0</v>
      </c>
      <c r="G114" s="76">
        <f t="shared" si="51"/>
        <v>22</v>
      </c>
      <c r="H114" s="76">
        <f t="shared" si="51"/>
        <v>22</v>
      </c>
      <c r="I114" s="76">
        <f t="shared" si="51"/>
        <v>27</v>
      </c>
      <c r="J114" s="76">
        <f t="shared" si="51"/>
        <v>27</v>
      </c>
      <c r="K114" s="76">
        <f t="shared" si="51"/>
        <v>11</v>
      </c>
      <c r="L114" s="76">
        <f t="shared" si="51"/>
        <v>32</v>
      </c>
      <c r="M114" s="76">
        <f t="shared" si="51"/>
        <v>32</v>
      </c>
      <c r="N114" s="76">
        <f t="shared" si="51"/>
        <v>38</v>
      </c>
      <c r="O114" s="76">
        <f t="shared" si="51"/>
        <v>43</v>
      </c>
      <c r="P114" s="76">
        <f t="shared" si="51"/>
        <v>43</v>
      </c>
      <c r="Q114" s="76">
        <f t="shared" si="51"/>
        <v>49</v>
      </c>
      <c r="R114" s="76">
        <f t="shared" si="51"/>
        <v>49</v>
      </c>
      <c r="S114" s="76">
        <f t="shared" si="51"/>
        <v>49</v>
      </c>
      <c r="T114" s="76">
        <f t="shared" si="51"/>
        <v>32</v>
      </c>
      <c r="U114" s="76">
        <f t="shared" si="51"/>
        <v>27</v>
      </c>
      <c r="V114" s="76">
        <f t="shared" si="51"/>
        <v>22</v>
      </c>
      <c r="W114" s="76">
        <f t="shared" si="51"/>
        <v>11</v>
      </c>
      <c r="X114" s="76">
        <f t="shared" si="51"/>
        <v>32</v>
      </c>
      <c r="Y114" s="76">
        <f t="shared" si="51"/>
        <v>59</v>
      </c>
      <c r="Z114" s="76">
        <f t="shared" si="51"/>
        <v>59</v>
      </c>
      <c r="AA114" s="76">
        <f t="shared" si="51"/>
        <v>54</v>
      </c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</row>
    <row r="115" ht="12.75" customHeight="1">
      <c r="A115" s="103"/>
      <c r="B115" s="76"/>
      <c r="C115" s="76" t="s">
        <v>464</v>
      </c>
      <c r="D115" s="76">
        <f t="shared" ref="D115:AA115" si="52">ROUND(SUM($D103:$AA103)*D$109,0)</f>
        <v>0</v>
      </c>
      <c r="E115" s="76">
        <f t="shared" si="52"/>
        <v>0</v>
      </c>
      <c r="F115" s="76">
        <f t="shared" si="52"/>
        <v>0</v>
      </c>
      <c r="G115" s="76">
        <f t="shared" si="52"/>
        <v>7</v>
      </c>
      <c r="H115" s="76">
        <f t="shared" si="52"/>
        <v>7</v>
      </c>
      <c r="I115" s="76">
        <f t="shared" si="52"/>
        <v>9</v>
      </c>
      <c r="J115" s="76">
        <f t="shared" si="52"/>
        <v>9</v>
      </c>
      <c r="K115" s="76">
        <f t="shared" si="52"/>
        <v>4</v>
      </c>
      <c r="L115" s="76">
        <f t="shared" si="52"/>
        <v>11</v>
      </c>
      <c r="M115" s="76">
        <f t="shared" si="52"/>
        <v>11</v>
      </c>
      <c r="N115" s="76">
        <f t="shared" si="52"/>
        <v>13</v>
      </c>
      <c r="O115" s="76">
        <f t="shared" si="52"/>
        <v>14</v>
      </c>
      <c r="P115" s="76">
        <f t="shared" si="52"/>
        <v>14</v>
      </c>
      <c r="Q115" s="76">
        <f t="shared" si="52"/>
        <v>16</v>
      </c>
      <c r="R115" s="76">
        <f t="shared" si="52"/>
        <v>16</v>
      </c>
      <c r="S115" s="76">
        <f t="shared" si="52"/>
        <v>16</v>
      </c>
      <c r="T115" s="76">
        <f t="shared" si="52"/>
        <v>11</v>
      </c>
      <c r="U115" s="76">
        <f t="shared" si="52"/>
        <v>9</v>
      </c>
      <c r="V115" s="76">
        <f t="shared" si="52"/>
        <v>7</v>
      </c>
      <c r="W115" s="76">
        <f t="shared" si="52"/>
        <v>4</v>
      </c>
      <c r="X115" s="76">
        <f t="shared" si="52"/>
        <v>11</v>
      </c>
      <c r="Y115" s="76">
        <f t="shared" si="52"/>
        <v>20</v>
      </c>
      <c r="Z115" s="76">
        <f t="shared" si="52"/>
        <v>20</v>
      </c>
      <c r="AA115" s="76">
        <f t="shared" si="52"/>
        <v>18</v>
      </c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</row>
    <row r="116" ht="12.75" customHeight="1">
      <c r="A116" s="103"/>
      <c r="B116" s="76"/>
      <c r="D116" s="93">
        <f t="shared" ref="D116:AA116" si="53">SUM(D110:D115)</f>
        <v>0</v>
      </c>
      <c r="E116" s="93">
        <f t="shared" si="53"/>
        <v>0</v>
      </c>
      <c r="F116" s="93">
        <f t="shared" si="53"/>
        <v>0</v>
      </c>
      <c r="G116" s="93">
        <f t="shared" si="53"/>
        <v>129</v>
      </c>
      <c r="H116" s="93">
        <f t="shared" si="53"/>
        <v>129</v>
      </c>
      <c r="I116" s="93">
        <f t="shared" si="53"/>
        <v>161</v>
      </c>
      <c r="J116" s="93">
        <f t="shared" si="53"/>
        <v>161</v>
      </c>
      <c r="K116" s="93">
        <f t="shared" si="53"/>
        <v>65</v>
      </c>
      <c r="L116" s="93">
        <f t="shared" si="53"/>
        <v>193</v>
      </c>
      <c r="M116" s="93">
        <f t="shared" si="53"/>
        <v>193</v>
      </c>
      <c r="N116" s="93">
        <f t="shared" si="53"/>
        <v>226</v>
      </c>
      <c r="O116" s="93">
        <f t="shared" si="53"/>
        <v>257</v>
      </c>
      <c r="P116" s="93">
        <f t="shared" si="53"/>
        <v>257</v>
      </c>
      <c r="Q116" s="93">
        <f t="shared" si="53"/>
        <v>290</v>
      </c>
      <c r="R116" s="93">
        <f t="shared" si="53"/>
        <v>290</v>
      </c>
      <c r="S116" s="93">
        <f t="shared" si="53"/>
        <v>290</v>
      </c>
      <c r="T116" s="93">
        <f t="shared" si="53"/>
        <v>193</v>
      </c>
      <c r="U116" s="93">
        <f t="shared" si="53"/>
        <v>161</v>
      </c>
      <c r="V116" s="93">
        <f t="shared" si="53"/>
        <v>129</v>
      </c>
      <c r="W116" s="93">
        <f t="shared" si="53"/>
        <v>65</v>
      </c>
      <c r="X116" s="93">
        <f t="shared" si="53"/>
        <v>193</v>
      </c>
      <c r="Y116" s="93">
        <f t="shared" si="53"/>
        <v>354</v>
      </c>
      <c r="Z116" s="93">
        <f t="shared" si="53"/>
        <v>354</v>
      </c>
      <c r="AA116" s="93">
        <f t="shared" si="53"/>
        <v>322</v>
      </c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</row>
    <row r="117" ht="12.75" customHeight="1">
      <c r="A117" s="103"/>
      <c r="B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</row>
    <row r="118" ht="12.75" customHeight="1">
      <c r="A118" s="103"/>
      <c r="B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</row>
    <row r="119" ht="12.75" customHeight="1">
      <c r="A119" s="103"/>
      <c r="B119" s="76"/>
      <c r="C119" s="80" t="s">
        <v>163</v>
      </c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</row>
    <row r="120" ht="12.75" customHeight="1">
      <c r="A120" s="103"/>
      <c r="B120" s="76"/>
      <c r="C120" s="76"/>
      <c r="D120" s="76">
        <v>2024.0</v>
      </c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>
        <v>2025.0</v>
      </c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</row>
    <row r="121" ht="12.75" customHeight="1">
      <c r="A121" s="103"/>
      <c r="B121" s="76"/>
      <c r="C121" s="82" t="s">
        <v>159</v>
      </c>
      <c r="D121" s="76">
        <v>1.0</v>
      </c>
      <c r="E121" s="76">
        <v>2.0</v>
      </c>
      <c r="F121" s="76">
        <v>3.0</v>
      </c>
      <c r="G121" s="76">
        <v>4.0</v>
      </c>
      <c r="H121" s="76">
        <v>5.0</v>
      </c>
      <c r="I121" s="76">
        <v>6.0</v>
      </c>
      <c r="J121" s="76">
        <v>7.0</v>
      </c>
      <c r="K121" s="76">
        <v>8.0</v>
      </c>
      <c r="L121" s="76">
        <v>9.0</v>
      </c>
      <c r="M121" s="76">
        <v>10.0</v>
      </c>
      <c r="N121" s="76">
        <v>11.0</v>
      </c>
      <c r="O121" s="76">
        <v>12.0</v>
      </c>
      <c r="P121" s="76">
        <v>1.0</v>
      </c>
      <c r="Q121" s="76">
        <v>2.0</v>
      </c>
      <c r="R121" s="76">
        <v>3.0</v>
      </c>
      <c r="S121" s="76">
        <v>4.0</v>
      </c>
      <c r="T121" s="76">
        <v>5.0</v>
      </c>
      <c r="U121" s="76">
        <v>6.0</v>
      </c>
      <c r="V121" s="76">
        <v>7.0</v>
      </c>
      <c r="W121" s="76">
        <v>8.0</v>
      </c>
      <c r="X121" s="76">
        <v>9.0</v>
      </c>
      <c r="Y121" s="76">
        <v>10.0</v>
      </c>
      <c r="Z121" s="76">
        <v>11.0</v>
      </c>
      <c r="AA121" s="76">
        <v>12.0</v>
      </c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</row>
    <row r="122" ht="12.75" customHeight="1">
      <c r="A122" s="103"/>
      <c r="B122" s="76"/>
      <c r="C122" s="82" t="s">
        <v>164</v>
      </c>
      <c r="D122" s="107">
        <f t="shared" ref="D122:AA122" si="54">D123/24</f>
        <v>0</v>
      </c>
      <c r="E122" s="107">
        <f t="shared" si="54"/>
        <v>0</v>
      </c>
      <c r="F122" s="107">
        <f t="shared" si="54"/>
        <v>0</v>
      </c>
      <c r="G122" s="107">
        <f t="shared" si="54"/>
        <v>63.29166667</v>
      </c>
      <c r="H122" s="107">
        <f t="shared" si="54"/>
        <v>63.29166667</v>
      </c>
      <c r="I122" s="107">
        <f t="shared" si="54"/>
        <v>78.7594697</v>
      </c>
      <c r="J122" s="107">
        <f t="shared" si="54"/>
        <v>78.7594697</v>
      </c>
      <c r="K122" s="107">
        <f t="shared" si="54"/>
        <v>31.64583333</v>
      </c>
      <c r="L122" s="107">
        <f t="shared" si="54"/>
        <v>94.22727273</v>
      </c>
      <c r="M122" s="107">
        <f t="shared" si="54"/>
        <v>94.22727273</v>
      </c>
      <c r="N122" s="107">
        <f t="shared" si="54"/>
        <v>110.405303</v>
      </c>
      <c r="O122" s="107">
        <f t="shared" si="54"/>
        <v>125.8731061</v>
      </c>
      <c r="P122" s="107">
        <f t="shared" si="54"/>
        <v>125.8731061</v>
      </c>
      <c r="Q122" s="107">
        <f t="shared" si="54"/>
        <v>142.0511364</v>
      </c>
      <c r="R122" s="107">
        <f t="shared" si="54"/>
        <v>142.0511364</v>
      </c>
      <c r="S122" s="107">
        <f t="shared" si="54"/>
        <v>142.0511364</v>
      </c>
      <c r="T122" s="107">
        <f t="shared" si="54"/>
        <v>94.22727273</v>
      </c>
      <c r="U122" s="107">
        <f t="shared" si="54"/>
        <v>78.7594697</v>
      </c>
      <c r="V122" s="107">
        <f t="shared" si="54"/>
        <v>63.29166667</v>
      </c>
      <c r="W122" s="107">
        <f t="shared" si="54"/>
        <v>31.64583333</v>
      </c>
      <c r="X122" s="107">
        <f t="shared" si="54"/>
        <v>94.22727273</v>
      </c>
      <c r="Y122" s="107">
        <f t="shared" si="54"/>
        <v>172.9867424</v>
      </c>
      <c r="Z122" s="107">
        <f t="shared" si="54"/>
        <v>172.9867424</v>
      </c>
      <c r="AA122" s="107">
        <f t="shared" si="54"/>
        <v>157.5189394</v>
      </c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</row>
    <row r="123" ht="12.75" customHeight="1">
      <c r="A123" s="103"/>
      <c r="B123" s="76"/>
      <c r="C123" s="82" t="s">
        <v>165</v>
      </c>
      <c r="D123" s="108">
        <f t="shared" ref="D123:AA123" si="55">SUM(D124:D129)</f>
        <v>0</v>
      </c>
      <c r="E123" s="108">
        <f t="shared" si="55"/>
        <v>0</v>
      </c>
      <c r="F123" s="108">
        <f t="shared" si="55"/>
        <v>0</v>
      </c>
      <c r="G123" s="108">
        <f t="shared" si="55"/>
        <v>1519</v>
      </c>
      <c r="H123" s="108">
        <f t="shared" si="55"/>
        <v>1519</v>
      </c>
      <c r="I123" s="108">
        <f t="shared" si="55"/>
        <v>1890.227273</v>
      </c>
      <c r="J123" s="108">
        <f t="shared" si="55"/>
        <v>1890.227273</v>
      </c>
      <c r="K123" s="108">
        <f t="shared" si="55"/>
        <v>759.5</v>
      </c>
      <c r="L123" s="108">
        <f t="shared" si="55"/>
        <v>2261.454545</v>
      </c>
      <c r="M123" s="108">
        <f t="shared" si="55"/>
        <v>2261.454545</v>
      </c>
      <c r="N123" s="108">
        <f t="shared" si="55"/>
        <v>2649.727273</v>
      </c>
      <c r="O123" s="108">
        <f t="shared" si="55"/>
        <v>3020.954545</v>
      </c>
      <c r="P123" s="109">
        <f t="shared" si="55"/>
        <v>3020.954545</v>
      </c>
      <c r="Q123" s="109">
        <f t="shared" si="55"/>
        <v>3409.227273</v>
      </c>
      <c r="R123" s="109">
        <f t="shared" si="55"/>
        <v>3409.227273</v>
      </c>
      <c r="S123" s="109">
        <f t="shared" si="55"/>
        <v>3409.227273</v>
      </c>
      <c r="T123" s="109">
        <f t="shared" si="55"/>
        <v>2261.454545</v>
      </c>
      <c r="U123" s="109">
        <f t="shared" si="55"/>
        <v>1890.227273</v>
      </c>
      <c r="V123" s="109">
        <f t="shared" si="55"/>
        <v>1519</v>
      </c>
      <c r="W123" s="109">
        <f t="shared" si="55"/>
        <v>759.5</v>
      </c>
      <c r="X123" s="109">
        <f t="shared" si="55"/>
        <v>2261.454545</v>
      </c>
      <c r="Y123" s="109">
        <f t="shared" si="55"/>
        <v>4151.681818</v>
      </c>
      <c r="Z123" s="109">
        <f t="shared" si="55"/>
        <v>4151.681818</v>
      </c>
      <c r="AA123" s="109">
        <f t="shared" si="55"/>
        <v>3780.454545</v>
      </c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</row>
    <row r="124" ht="12.75" customHeight="1">
      <c r="A124" s="103"/>
      <c r="B124" s="595">
        <f>UNIT_PRICE_CLIENT_A</f>
        <v>5</v>
      </c>
      <c r="C124" s="76" t="s">
        <v>148</v>
      </c>
      <c r="D124" s="76">
        <f t="shared" ref="D124:AA124" si="56">D110*$B124</f>
        <v>0</v>
      </c>
      <c r="E124" s="76">
        <f t="shared" si="56"/>
        <v>0</v>
      </c>
      <c r="F124" s="76">
        <f t="shared" si="56"/>
        <v>0</v>
      </c>
      <c r="G124" s="76">
        <f t="shared" si="56"/>
        <v>140</v>
      </c>
      <c r="H124" s="76">
        <f t="shared" si="56"/>
        <v>140</v>
      </c>
      <c r="I124" s="76">
        <f t="shared" si="56"/>
        <v>175</v>
      </c>
      <c r="J124" s="76">
        <f t="shared" si="56"/>
        <v>175</v>
      </c>
      <c r="K124" s="76">
        <f t="shared" si="56"/>
        <v>70</v>
      </c>
      <c r="L124" s="76">
        <f t="shared" si="56"/>
        <v>210</v>
      </c>
      <c r="M124" s="76">
        <f t="shared" si="56"/>
        <v>210</v>
      </c>
      <c r="N124" s="76">
        <f t="shared" si="56"/>
        <v>245</v>
      </c>
      <c r="O124" s="76">
        <f t="shared" si="56"/>
        <v>280</v>
      </c>
      <c r="P124" s="76">
        <f t="shared" si="56"/>
        <v>280</v>
      </c>
      <c r="Q124" s="76">
        <f t="shared" si="56"/>
        <v>315</v>
      </c>
      <c r="R124" s="76">
        <f t="shared" si="56"/>
        <v>315</v>
      </c>
      <c r="S124" s="76">
        <f t="shared" si="56"/>
        <v>315</v>
      </c>
      <c r="T124" s="76">
        <f t="shared" si="56"/>
        <v>210</v>
      </c>
      <c r="U124" s="76">
        <f t="shared" si="56"/>
        <v>175</v>
      </c>
      <c r="V124" s="76">
        <f t="shared" si="56"/>
        <v>140</v>
      </c>
      <c r="W124" s="76">
        <f t="shared" si="56"/>
        <v>70</v>
      </c>
      <c r="X124" s="76">
        <f t="shared" si="56"/>
        <v>210</v>
      </c>
      <c r="Y124" s="76">
        <f t="shared" si="56"/>
        <v>385</v>
      </c>
      <c r="Z124" s="76">
        <f t="shared" si="56"/>
        <v>385</v>
      </c>
      <c r="AA124" s="76">
        <f t="shared" si="56"/>
        <v>350</v>
      </c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</row>
    <row r="125" ht="12.75" customHeight="1">
      <c r="A125" s="103"/>
      <c r="B125" s="595">
        <f>UNIT_PRICE_CLIENT_B</f>
        <v>9.181818182</v>
      </c>
      <c r="C125" s="76" t="s">
        <v>76</v>
      </c>
      <c r="D125" s="76">
        <f t="shared" ref="D125:AA125" si="57">D111*$B125</f>
        <v>0</v>
      </c>
      <c r="E125" s="76">
        <f t="shared" si="57"/>
        <v>0</v>
      </c>
      <c r="F125" s="76">
        <f t="shared" si="57"/>
        <v>0</v>
      </c>
      <c r="G125" s="76">
        <f t="shared" si="57"/>
        <v>238.7272727</v>
      </c>
      <c r="H125" s="76">
        <f t="shared" si="57"/>
        <v>238.7272727</v>
      </c>
      <c r="I125" s="76">
        <f t="shared" si="57"/>
        <v>293.8181818</v>
      </c>
      <c r="J125" s="76">
        <f t="shared" si="57"/>
        <v>293.8181818</v>
      </c>
      <c r="K125" s="76">
        <f t="shared" si="57"/>
        <v>119.3636364</v>
      </c>
      <c r="L125" s="76">
        <f t="shared" si="57"/>
        <v>348.9090909</v>
      </c>
      <c r="M125" s="76">
        <f t="shared" si="57"/>
        <v>348.9090909</v>
      </c>
      <c r="N125" s="76">
        <f t="shared" si="57"/>
        <v>413.1818182</v>
      </c>
      <c r="O125" s="76">
        <f t="shared" si="57"/>
        <v>468.2727273</v>
      </c>
      <c r="P125" s="76">
        <f t="shared" si="57"/>
        <v>468.2727273</v>
      </c>
      <c r="Q125" s="76">
        <f t="shared" si="57"/>
        <v>532.5454545</v>
      </c>
      <c r="R125" s="76">
        <f t="shared" si="57"/>
        <v>532.5454545</v>
      </c>
      <c r="S125" s="76">
        <f t="shared" si="57"/>
        <v>532.5454545</v>
      </c>
      <c r="T125" s="76">
        <f t="shared" si="57"/>
        <v>348.9090909</v>
      </c>
      <c r="U125" s="76">
        <f t="shared" si="57"/>
        <v>293.8181818</v>
      </c>
      <c r="V125" s="76">
        <f t="shared" si="57"/>
        <v>238.7272727</v>
      </c>
      <c r="W125" s="76">
        <f t="shared" si="57"/>
        <v>119.3636364</v>
      </c>
      <c r="X125" s="76">
        <f t="shared" si="57"/>
        <v>348.9090909</v>
      </c>
      <c r="Y125" s="76">
        <f t="shared" si="57"/>
        <v>642.7272727</v>
      </c>
      <c r="Z125" s="76">
        <f t="shared" si="57"/>
        <v>642.7272727</v>
      </c>
      <c r="AA125" s="76">
        <f t="shared" si="57"/>
        <v>587.6363636</v>
      </c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</row>
    <row r="126" ht="12.75" customHeight="1">
      <c r="A126" s="103"/>
      <c r="B126" s="595">
        <f>UNIT_PRICE_CLIENT_C</f>
        <v>12.72727273</v>
      </c>
      <c r="C126" s="76" t="s">
        <v>80</v>
      </c>
      <c r="D126" s="76">
        <f t="shared" ref="D126:AA126" si="58">D112*$B126</f>
        <v>0</v>
      </c>
      <c r="E126" s="76">
        <f t="shared" si="58"/>
        <v>0</v>
      </c>
      <c r="F126" s="76">
        <f t="shared" si="58"/>
        <v>0</v>
      </c>
      <c r="G126" s="76">
        <f t="shared" si="58"/>
        <v>229.0909091</v>
      </c>
      <c r="H126" s="76">
        <f t="shared" si="58"/>
        <v>229.0909091</v>
      </c>
      <c r="I126" s="76">
        <f t="shared" si="58"/>
        <v>292.7272727</v>
      </c>
      <c r="J126" s="76">
        <f t="shared" si="58"/>
        <v>292.7272727</v>
      </c>
      <c r="K126" s="76">
        <f t="shared" si="58"/>
        <v>114.5454545</v>
      </c>
      <c r="L126" s="76">
        <f t="shared" si="58"/>
        <v>356.3636364</v>
      </c>
      <c r="M126" s="76">
        <f t="shared" si="58"/>
        <v>356.3636364</v>
      </c>
      <c r="N126" s="76">
        <f t="shared" si="58"/>
        <v>407.2727273</v>
      </c>
      <c r="O126" s="76">
        <f t="shared" si="58"/>
        <v>470.9090909</v>
      </c>
      <c r="P126" s="76">
        <f t="shared" si="58"/>
        <v>470.9090909</v>
      </c>
      <c r="Q126" s="76">
        <f t="shared" si="58"/>
        <v>521.8181818</v>
      </c>
      <c r="R126" s="76">
        <f t="shared" si="58"/>
        <v>521.8181818</v>
      </c>
      <c r="S126" s="76">
        <f t="shared" si="58"/>
        <v>521.8181818</v>
      </c>
      <c r="T126" s="76">
        <f t="shared" si="58"/>
        <v>356.3636364</v>
      </c>
      <c r="U126" s="76">
        <f t="shared" si="58"/>
        <v>292.7272727</v>
      </c>
      <c r="V126" s="76">
        <f t="shared" si="58"/>
        <v>229.0909091</v>
      </c>
      <c r="W126" s="76">
        <f t="shared" si="58"/>
        <v>114.5454545</v>
      </c>
      <c r="X126" s="76">
        <f t="shared" si="58"/>
        <v>356.3636364</v>
      </c>
      <c r="Y126" s="76">
        <f t="shared" si="58"/>
        <v>649.0909091</v>
      </c>
      <c r="Z126" s="76">
        <f t="shared" si="58"/>
        <v>649.0909091</v>
      </c>
      <c r="AA126" s="76">
        <f t="shared" si="58"/>
        <v>585.4545455</v>
      </c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</row>
    <row r="127" ht="12.75" customHeight="1">
      <c r="A127" s="103"/>
      <c r="B127" s="595">
        <f>UNIT_PRICE_CLIENT_D</f>
        <v>16.36363636</v>
      </c>
      <c r="C127" s="76" t="s">
        <v>83</v>
      </c>
      <c r="D127" s="76">
        <f t="shared" ref="D127:AA127" si="59">D113*$B127</f>
        <v>0</v>
      </c>
      <c r="E127" s="76">
        <f t="shared" si="59"/>
        <v>0</v>
      </c>
      <c r="F127" s="76">
        <f t="shared" si="59"/>
        <v>0</v>
      </c>
      <c r="G127" s="76">
        <f t="shared" si="59"/>
        <v>458.1818182</v>
      </c>
      <c r="H127" s="76">
        <f t="shared" si="59"/>
        <v>458.1818182</v>
      </c>
      <c r="I127" s="76">
        <f t="shared" si="59"/>
        <v>572.7272727</v>
      </c>
      <c r="J127" s="76">
        <f t="shared" si="59"/>
        <v>572.7272727</v>
      </c>
      <c r="K127" s="76">
        <f t="shared" si="59"/>
        <v>229.0909091</v>
      </c>
      <c r="L127" s="76">
        <f t="shared" si="59"/>
        <v>687.2727273</v>
      </c>
      <c r="M127" s="76">
        <f t="shared" si="59"/>
        <v>687.2727273</v>
      </c>
      <c r="N127" s="76">
        <f t="shared" si="59"/>
        <v>801.8181818</v>
      </c>
      <c r="O127" s="76">
        <f t="shared" si="59"/>
        <v>916.3636364</v>
      </c>
      <c r="P127" s="76">
        <f t="shared" si="59"/>
        <v>916.3636364</v>
      </c>
      <c r="Q127" s="76">
        <f t="shared" si="59"/>
        <v>1030.909091</v>
      </c>
      <c r="R127" s="76">
        <f t="shared" si="59"/>
        <v>1030.909091</v>
      </c>
      <c r="S127" s="76">
        <f t="shared" si="59"/>
        <v>1030.909091</v>
      </c>
      <c r="T127" s="76">
        <f t="shared" si="59"/>
        <v>687.2727273</v>
      </c>
      <c r="U127" s="76">
        <f t="shared" si="59"/>
        <v>572.7272727</v>
      </c>
      <c r="V127" s="76">
        <f t="shared" si="59"/>
        <v>458.1818182</v>
      </c>
      <c r="W127" s="76">
        <f t="shared" si="59"/>
        <v>229.0909091</v>
      </c>
      <c r="X127" s="76">
        <f t="shared" si="59"/>
        <v>687.2727273</v>
      </c>
      <c r="Y127" s="76">
        <f t="shared" si="59"/>
        <v>1260</v>
      </c>
      <c r="Z127" s="76">
        <f t="shared" si="59"/>
        <v>1260</v>
      </c>
      <c r="AA127" s="76">
        <f t="shared" si="59"/>
        <v>1145.454545</v>
      </c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</row>
    <row r="128" ht="12.75" customHeight="1">
      <c r="A128" s="103"/>
      <c r="B128" s="595">
        <f>UNIT_PRICE_CLIENT_E</f>
        <v>20.59090909</v>
      </c>
      <c r="C128" s="76" t="s">
        <v>87</v>
      </c>
      <c r="D128" s="76">
        <f t="shared" ref="D128:AA128" si="60">D114*$B128</f>
        <v>0</v>
      </c>
      <c r="E128" s="76">
        <f t="shared" si="60"/>
        <v>0</v>
      </c>
      <c r="F128" s="76">
        <f t="shared" si="60"/>
        <v>0</v>
      </c>
      <c r="G128" s="76">
        <f t="shared" si="60"/>
        <v>453</v>
      </c>
      <c r="H128" s="76">
        <f t="shared" si="60"/>
        <v>453</v>
      </c>
      <c r="I128" s="76">
        <f t="shared" si="60"/>
        <v>555.9545455</v>
      </c>
      <c r="J128" s="76">
        <f t="shared" si="60"/>
        <v>555.9545455</v>
      </c>
      <c r="K128" s="76">
        <f t="shared" si="60"/>
        <v>226.5</v>
      </c>
      <c r="L128" s="76">
        <f t="shared" si="60"/>
        <v>658.9090909</v>
      </c>
      <c r="M128" s="76">
        <f t="shared" si="60"/>
        <v>658.9090909</v>
      </c>
      <c r="N128" s="76">
        <f t="shared" si="60"/>
        <v>782.4545455</v>
      </c>
      <c r="O128" s="76">
        <f t="shared" si="60"/>
        <v>885.4090909</v>
      </c>
      <c r="P128" s="76">
        <f t="shared" si="60"/>
        <v>885.4090909</v>
      </c>
      <c r="Q128" s="76">
        <f t="shared" si="60"/>
        <v>1008.954545</v>
      </c>
      <c r="R128" s="76">
        <f t="shared" si="60"/>
        <v>1008.954545</v>
      </c>
      <c r="S128" s="76">
        <f t="shared" si="60"/>
        <v>1008.954545</v>
      </c>
      <c r="T128" s="76">
        <f t="shared" si="60"/>
        <v>658.9090909</v>
      </c>
      <c r="U128" s="76">
        <f t="shared" si="60"/>
        <v>555.9545455</v>
      </c>
      <c r="V128" s="76">
        <f t="shared" si="60"/>
        <v>453</v>
      </c>
      <c r="W128" s="76">
        <f t="shared" si="60"/>
        <v>226.5</v>
      </c>
      <c r="X128" s="76">
        <f t="shared" si="60"/>
        <v>658.9090909</v>
      </c>
      <c r="Y128" s="76">
        <f t="shared" si="60"/>
        <v>1214.863636</v>
      </c>
      <c r="Z128" s="76">
        <f t="shared" si="60"/>
        <v>1214.863636</v>
      </c>
      <c r="AA128" s="76">
        <f t="shared" si="60"/>
        <v>1111.909091</v>
      </c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</row>
    <row r="129" ht="12.75" customHeight="1">
      <c r="A129" s="103"/>
      <c r="B129" s="595">
        <f>UNIT_PRICE_CLIENT_F</f>
        <v>0</v>
      </c>
      <c r="C129" s="76" t="s">
        <v>464</v>
      </c>
      <c r="D129" s="76">
        <f t="shared" ref="D129:AA129" si="61">D115*$B129</f>
        <v>0</v>
      </c>
      <c r="E129" s="76">
        <f t="shared" si="61"/>
        <v>0</v>
      </c>
      <c r="F129" s="76">
        <f t="shared" si="61"/>
        <v>0</v>
      </c>
      <c r="G129" s="76">
        <f t="shared" si="61"/>
        <v>0</v>
      </c>
      <c r="H129" s="76">
        <f t="shared" si="61"/>
        <v>0</v>
      </c>
      <c r="I129" s="76">
        <f t="shared" si="61"/>
        <v>0</v>
      </c>
      <c r="J129" s="76">
        <f t="shared" si="61"/>
        <v>0</v>
      </c>
      <c r="K129" s="76">
        <f t="shared" si="61"/>
        <v>0</v>
      </c>
      <c r="L129" s="76">
        <f t="shared" si="61"/>
        <v>0</v>
      </c>
      <c r="M129" s="76">
        <f t="shared" si="61"/>
        <v>0</v>
      </c>
      <c r="N129" s="76">
        <f t="shared" si="61"/>
        <v>0</v>
      </c>
      <c r="O129" s="76">
        <f t="shared" si="61"/>
        <v>0</v>
      </c>
      <c r="P129" s="76">
        <f t="shared" si="61"/>
        <v>0</v>
      </c>
      <c r="Q129" s="76">
        <f t="shared" si="61"/>
        <v>0</v>
      </c>
      <c r="R129" s="76">
        <f t="shared" si="61"/>
        <v>0</v>
      </c>
      <c r="S129" s="76">
        <f t="shared" si="61"/>
        <v>0</v>
      </c>
      <c r="T129" s="76">
        <f t="shared" si="61"/>
        <v>0</v>
      </c>
      <c r="U129" s="76">
        <f t="shared" si="61"/>
        <v>0</v>
      </c>
      <c r="V129" s="76">
        <f t="shared" si="61"/>
        <v>0</v>
      </c>
      <c r="W129" s="76">
        <f t="shared" si="61"/>
        <v>0</v>
      </c>
      <c r="X129" s="76">
        <f t="shared" si="61"/>
        <v>0</v>
      </c>
      <c r="Y129" s="76">
        <f t="shared" si="61"/>
        <v>0</v>
      </c>
      <c r="Z129" s="76">
        <f t="shared" si="61"/>
        <v>0</v>
      </c>
      <c r="AA129" s="76">
        <f t="shared" si="61"/>
        <v>0</v>
      </c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</row>
    <row r="130" ht="12.75" customHeight="1">
      <c r="A130" s="103"/>
      <c r="B130" s="76"/>
      <c r="D130" s="112">
        <f>SUM(D123:O123)</f>
        <v>17771.54545</v>
      </c>
      <c r="P130" s="113">
        <f>SUM(P123:AA123)</f>
        <v>34024.09091</v>
      </c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</row>
    <row r="131" ht="12.75" customHeight="1">
      <c r="A131" s="103"/>
      <c r="B131" s="76"/>
      <c r="C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</row>
    <row r="132" ht="12.75" customHeight="1">
      <c r="A132" s="103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115">
        <f>(P130-D130)/D130</f>
        <v>0.9145262856</v>
      </c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</row>
    <row r="133" ht="12.75" customHeight="1">
      <c r="A133" s="103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</row>
    <row r="134" ht="12.75" customHeight="1">
      <c r="A134" s="103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</row>
    <row r="135" ht="12.75" customHeight="1">
      <c r="A135" s="103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</row>
    <row r="136" ht="12.75" customHeight="1">
      <c r="A136" s="103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</row>
    <row r="137" ht="12.75" customHeight="1">
      <c r="A137" s="103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</row>
    <row r="138" ht="12.75" customHeight="1">
      <c r="A138" s="76"/>
      <c r="B138" s="117" t="s">
        <v>177</v>
      </c>
      <c r="C138" s="117" t="s">
        <v>178</v>
      </c>
      <c r="D138" s="117">
        <v>2024.0</v>
      </c>
      <c r="E138" s="117">
        <v>2025.0</v>
      </c>
      <c r="F138" s="117">
        <v>2026.0</v>
      </c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</row>
    <row r="139" ht="12.75" customHeight="1">
      <c r="A139" s="596" t="s">
        <v>179</v>
      </c>
      <c r="B139" s="117"/>
      <c r="C139" s="117"/>
      <c r="D139" s="117"/>
      <c r="E139" s="117"/>
      <c r="F139" s="117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</row>
    <row r="140" ht="12.75" customHeight="1">
      <c r="A140" s="76"/>
      <c r="B140" s="117">
        <v>8.0</v>
      </c>
      <c r="C140" s="117" t="s">
        <v>180</v>
      </c>
      <c r="D140" s="117">
        <v>10.0</v>
      </c>
      <c r="E140" s="117">
        <v>25.0</v>
      </c>
      <c r="F140" s="117">
        <v>30.0</v>
      </c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</row>
    <row r="141" ht="12.75" customHeight="1">
      <c r="A141" s="76"/>
      <c r="B141" s="117">
        <v>20.0</v>
      </c>
      <c r="C141" s="117" t="s">
        <v>181</v>
      </c>
      <c r="D141" s="117">
        <v>0.0</v>
      </c>
      <c r="E141" s="117">
        <v>10.0</v>
      </c>
      <c r="F141" s="117">
        <v>30.0</v>
      </c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</row>
    <row r="142" ht="12.75" customHeight="1">
      <c r="A142" s="76"/>
      <c r="B142" s="117">
        <v>15.0</v>
      </c>
      <c r="C142" s="117" t="s">
        <v>182</v>
      </c>
      <c r="D142" s="117">
        <v>0.0</v>
      </c>
      <c r="E142" s="117">
        <v>0.0</v>
      </c>
      <c r="F142" s="117">
        <v>10.0</v>
      </c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</row>
    <row r="143" ht="12.75" customHeight="1">
      <c r="A143" s="76"/>
      <c r="B143" s="117">
        <v>10.0</v>
      </c>
      <c r="C143" s="117" t="s">
        <v>183</v>
      </c>
      <c r="D143" s="117">
        <v>10.0</v>
      </c>
      <c r="E143" s="117">
        <v>25.0</v>
      </c>
      <c r="F143" s="117">
        <v>30.0</v>
      </c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</row>
    <row r="144" ht="12.75" customHeight="1">
      <c r="B144" s="119">
        <v>30.0</v>
      </c>
      <c r="C144" s="119" t="s">
        <v>184</v>
      </c>
      <c r="D144" s="117">
        <v>0.0</v>
      </c>
      <c r="E144" s="117">
        <v>0.0</v>
      </c>
      <c r="F144" s="117">
        <v>5.0</v>
      </c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</row>
    <row r="145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</row>
    <row r="146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</row>
    <row r="147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</row>
    <row r="148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</row>
    <row r="149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</row>
    <row r="150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</row>
    <row r="151" ht="12.75" customHeight="1">
      <c r="A151" s="600"/>
      <c r="B151" s="600"/>
      <c r="C151" s="600"/>
      <c r="D151" s="600"/>
      <c r="E151" s="600"/>
      <c r="F151" s="600"/>
      <c r="G151" s="600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</row>
    <row r="152" ht="12.75" customHeight="1">
      <c r="A152" s="601" t="s">
        <v>467</v>
      </c>
      <c r="B152" s="602" t="s">
        <v>468</v>
      </c>
      <c r="C152" s="602"/>
      <c r="D152" s="602">
        <v>2024.0</v>
      </c>
      <c r="E152" s="602">
        <v>2025.0</v>
      </c>
      <c r="F152" s="602">
        <v>2026.0</v>
      </c>
      <c r="G152" s="600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</row>
    <row r="153" ht="12.75" customHeight="1">
      <c r="A153" s="600"/>
      <c r="B153" s="602">
        <v>450.0</v>
      </c>
      <c r="C153" s="602" t="s">
        <v>469</v>
      </c>
      <c r="D153" s="602">
        <v>1.0</v>
      </c>
      <c r="E153" s="602">
        <v>2.0</v>
      </c>
      <c r="F153" s="602">
        <v>2.0</v>
      </c>
      <c r="G153" s="600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</row>
    <row r="154" ht="12.75" customHeight="1">
      <c r="A154" s="600"/>
      <c r="B154" s="602">
        <v>1000.0</v>
      </c>
      <c r="C154" s="602" t="s">
        <v>470</v>
      </c>
      <c r="D154" s="602"/>
      <c r="E154" s="602">
        <v>1.0</v>
      </c>
      <c r="F154" s="602">
        <v>2.0</v>
      </c>
      <c r="G154" s="600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</row>
    <row r="155" ht="12.75" customHeight="1">
      <c r="A155" s="600"/>
      <c r="B155" s="600"/>
      <c r="C155" s="600"/>
      <c r="D155" s="600"/>
      <c r="E155" s="600"/>
      <c r="F155" s="600"/>
      <c r="G155" s="600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</row>
    <row r="156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</row>
    <row r="159" ht="12.75" customHeight="1">
      <c r="A159" s="76"/>
      <c r="B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</row>
    <row r="160" ht="12.75" customHeight="1">
      <c r="A160" s="76"/>
      <c r="B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</row>
    <row r="711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</row>
    <row r="71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</row>
    <row r="713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</row>
    <row r="714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</row>
    <row r="715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</row>
    <row r="716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</row>
    <row r="717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</row>
    <row r="718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</row>
    <row r="719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</row>
    <row r="720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</row>
    <row r="721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</row>
    <row r="72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</row>
    <row r="723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</row>
    <row r="724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</row>
    <row r="725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</row>
    <row r="726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</row>
    <row r="727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</row>
    <row r="728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</row>
    <row r="729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</row>
    <row r="730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</row>
    <row r="731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</row>
    <row r="733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</row>
    <row r="734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</row>
    <row r="735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</row>
    <row r="736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</row>
    <row r="737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</row>
    <row r="738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</row>
    <row r="739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</row>
    <row r="740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</row>
    <row r="741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</row>
    <row r="74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</row>
    <row r="743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</row>
    <row r="744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</row>
    <row r="745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</row>
    <row r="746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</row>
    <row r="747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</row>
    <row r="748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</row>
    <row r="749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</row>
    <row r="750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</row>
    <row r="751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</row>
    <row r="75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</row>
    <row r="753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</row>
    <row r="754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</row>
    <row r="755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</row>
    <row r="756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</row>
    <row r="757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</row>
    <row r="758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</row>
    <row r="759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</row>
    <row r="760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</row>
    <row r="761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</row>
    <row r="76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</row>
    <row r="763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</row>
    <row r="764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</row>
    <row r="765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</row>
    <row r="766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</row>
    <row r="767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</row>
    <row r="768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</row>
    <row r="769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</row>
    <row r="770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</row>
    <row r="771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</row>
    <row r="77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</row>
    <row r="773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</row>
    <row r="774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</row>
    <row r="775" ht="12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</row>
    <row r="776" ht="12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</row>
    <row r="777" ht="12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</row>
    <row r="778" ht="12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</row>
    <row r="779" ht="12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</row>
    <row r="780" ht="12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</row>
    <row r="781" ht="12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</row>
    <row r="782" ht="12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</row>
    <row r="783" ht="12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</row>
    <row r="784" ht="12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</row>
    <row r="785" ht="12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</row>
    <row r="786" ht="12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</row>
    <row r="787" ht="12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</row>
    <row r="788" ht="12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</row>
    <row r="789" ht="12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</row>
    <row r="790" ht="12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</row>
    <row r="791" ht="12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</row>
    <row r="792" ht="12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</row>
    <row r="793" ht="12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</row>
    <row r="794" ht="12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</row>
    <row r="795" ht="12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</row>
    <row r="796" ht="12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</row>
    <row r="797" ht="12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</row>
    <row r="798" ht="12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</row>
    <row r="799" ht="12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</row>
    <row r="800" ht="12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</row>
    <row r="801" ht="12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</row>
    <row r="802" ht="12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</row>
    <row r="803" ht="12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</row>
    <row r="804" ht="12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</row>
    <row r="805" ht="12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</row>
    <row r="806" ht="12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</row>
    <row r="807" ht="12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</row>
    <row r="808" ht="12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</row>
    <row r="809" ht="12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</row>
    <row r="810" ht="12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</row>
    <row r="811" ht="12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</row>
    <row r="812" ht="12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</row>
    <row r="813" ht="12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</row>
    <row r="814" ht="12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</row>
    <row r="815" ht="12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</row>
    <row r="816" ht="12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</row>
    <row r="817" ht="12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</row>
    <row r="818" ht="12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</row>
    <row r="819" ht="12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</row>
    <row r="820" ht="12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</row>
    <row r="821" ht="12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</row>
    <row r="822" ht="12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</row>
    <row r="823" ht="12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</row>
    <row r="824" ht="12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</row>
    <row r="825" ht="12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</row>
    <row r="826" ht="12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</row>
    <row r="827" ht="12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</row>
    <row r="828" ht="12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</row>
    <row r="829" ht="12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</row>
    <row r="830" ht="12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</row>
    <row r="831" ht="12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</row>
    <row r="832" ht="12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</row>
    <row r="833" ht="12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</row>
    <row r="834" ht="12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</row>
    <row r="835" ht="12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</row>
    <row r="836" ht="12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</row>
    <row r="837" ht="12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</row>
    <row r="838" ht="12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</row>
    <row r="839" ht="12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</row>
    <row r="840" ht="12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</row>
    <row r="841" ht="12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</row>
    <row r="842" ht="12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</row>
    <row r="843" ht="12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</row>
    <row r="844" ht="12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</row>
    <row r="845" ht="12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</row>
    <row r="846" ht="12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</row>
    <row r="847" ht="12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</row>
    <row r="848" ht="12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</row>
    <row r="849" ht="12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</row>
    <row r="850" ht="12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</row>
    <row r="851" ht="12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</row>
    <row r="852" ht="12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</row>
    <row r="853" ht="12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</row>
    <row r="854" ht="12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</row>
    <row r="855" ht="12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</row>
    <row r="856" ht="12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</row>
    <row r="857" ht="12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</row>
  </sheetData>
  <autoFilter ref="$C$36:$AA$46"/>
  <mergeCells count="8">
    <mergeCell ref="U7:V7"/>
    <mergeCell ref="D60:O61"/>
    <mergeCell ref="P60:AA61"/>
    <mergeCell ref="AB60:AM61"/>
    <mergeCell ref="O62:P63"/>
    <mergeCell ref="D130:O131"/>
    <mergeCell ref="P130:AA131"/>
    <mergeCell ref="O132:P13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6.75"/>
    <col customWidth="1" min="4" max="27" width="7.5"/>
    <col customWidth="1" min="28" max="51" width="11.38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</row>
    <row r="2" ht="47.25" customHeight="1">
      <c r="A2" s="78" t="s">
        <v>463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</row>
    <row r="3" ht="12.75" customHeight="1">
      <c r="A3" s="79"/>
      <c r="B3" s="76"/>
      <c r="C3" s="80" t="s">
        <v>140</v>
      </c>
      <c r="E3" s="76">
        <v>1.0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</row>
    <row r="4" ht="12.75" customHeight="1">
      <c r="A4" s="79"/>
      <c r="B4" s="76"/>
      <c r="C4" s="82" t="s">
        <v>141</v>
      </c>
      <c r="D4" s="76" t="s">
        <v>471</v>
      </c>
      <c r="E4" s="76" t="s">
        <v>472</v>
      </c>
      <c r="F4" s="76" t="s">
        <v>473</v>
      </c>
      <c r="G4" s="76" t="s">
        <v>474</v>
      </c>
      <c r="H4" s="76" t="s">
        <v>475</v>
      </c>
      <c r="I4" s="76" t="s">
        <v>476</v>
      </c>
      <c r="J4" s="76" t="s">
        <v>477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</row>
    <row r="5" ht="12.75" customHeight="1">
      <c r="A5" s="79"/>
      <c r="B5" s="76"/>
      <c r="C5" s="76" t="s">
        <v>148</v>
      </c>
      <c r="D5" s="98">
        <v>0.35</v>
      </c>
      <c r="E5" s="98">
        <v>0.15</v>
      </c>
      <c r="F5" s="98">
        <v>0.05</v>
      </c>
      <c r="G5" s="98"/>
      <c r="H5" s="98"/>
      <c r="I5" s="98">
        <v>0.35</v>
      </c>
      <c r="J5" s="98">
        <v>0.45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7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</row>
    <row r="6" ht="12.75" customHeight="1">
      <c r="A6" s="79"/>
      <c r="B6" s="76"/>
      <c r="C6" s="76" t="s">
        <v>76</v>
      </c>
      <c r="D6" s="98">
        <v>0.45</v>
      </c>
      <c r="E6" s="98">
        <v>0.35</v>
      </c>
      <c r="F6" s="98">
        <v>0.1</v>
      </c>
      <c r="G6" s="98"/>
      <c r="H6" s="98"/>
      <c r="I6" s="98">
        <v>0.35</v>
      </c>
      <c r="J6" s="98">
        <v>0.55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7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</row>
    <row r="7" ht="12.75" customHeight="1">
      <c r="A7" s="79"/>
      <c r="B7" s="76"/>
      <c r="C7" s="76" t="s">
        <v>80</v>
      </c>
      <c r="D7" s="98">
        <v>0.1</v>
      </c>
      <c r="E7" s="98">
        <v>0.3</v>
      </c>
      <c r="F7" s="98">
        <v>0.3</v>
      </c>
      <c r="G7" s="98">
        <v>0.3</v>
      </c>
      <c r="H7" s="98">
        <v>0.3</v>
      </c>
      <c r="I7" s="98">
        <v>0.15</v>
      </c>
      <c r="J7" s="98">
        <v>0.05</v>
      </c>
      <c r="K7" s="76"/>
      <c r="L7" s="76"/>
      <c r="M7" s="76"/>
      <c r="N7" s="76"/>
      <c r="O7" s="76"/>
      <c r="P7" s="76"/>
      <c r="Q7" s="76"/>
      <c r="R7" s="76"/>
      <c r="S7" s="76"/>
      <c r="T7" s="76"/>
      <c r="U7" s="77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</row>
    <row r="8" ht="12.75" customHeight="1">
      <c r="A8" s="79"/>
      <c r="B8" s="76"/>
      <c r="C8" s="76" t="s">
        <v>83</v>
      </c>
      <c r="D8" s="98">
        <v>0.05</v>
      </c>
      <c r="E8" s="98">
        <v>0.1</v>
      </c>
      <c r="F8" s="98">
        <v>0.3</v>
      </c>
      <c r="G8" s="98">
        <v>0.35</v>
      </c>
      <c r="H8" s="98">
        <v>0.35</v>
      </c>
      <c r="I8" s="98">
        <v>0.1</v>
      </c>
      <c r="J8" s="98"/>
      <c r="K8" s="76"/>
      <c r="L8" s="76"/>
      <c r="M8" s="76"/>
      <c r="N8" s="76"/>
      <c r="O8" s="76" t="s">
        <v>484</v>
      </c>
      <c r="P8" s="76">
        <v>34.0</v>
      </c>
      <c r="Q8" s="76"/>
      <c r="R8" s="76"/>
      <c r="S8" s="76"/>
      <c r="T8" s="76"/>
      <c r="U8" s="77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</row>
    <row r="9" ht="12.75" customHeight="1">
      <c r="A9" s="79"/>
      <c r="B9" s="76"/>
      <c r="C9" s="76" t="s">
        <v>87</v>
      </c>
      <c r="D9" s="98">
        <v>0.05</v>
      </c>
      <c r="E9" s="98">
        <v>0.05</v>
      </c>
      <c r="F9" s="98">
        <v>0.15</v>
      </c>
      <c r="G9" s="98">
        <v>0.15</v>
      </c>
      <c r="H9" s="98">
        <v>0.15</v>
      </c>
      <c r="I9" s="98">
        <v>0.05</v>
      </c>
      <c r="J9" s="98"/>
      <c r="K9" s="76"/>
      <c r="L9" s="76"/>
      <c r="M9" s="76"/>
      <c r="N9" s="76"/>
      <c r="O9" s="76" t="s">
        <v>485</v>
      </c>
      <c r="P9" s="76">
        <v>16.0</v>
      </c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</row>
    <row r="10" ht="12.75" customHeight="1">
      <c r="A10" s="79"/>
      <c r="B10" s="76"/>
      <c r="C10" s="76" t="s">
        <v>464</v>
      </c>
      <c r="D10" s="98"/>
      <c r="E10" s="98">
        <v>0.05</v>
      </c>
      <c r="F10" s="98">
        <v>0.1</v>
      </c>
      <c r="G10" s="98">
        <v>0.2</v>
      </c>
      <c r="H10" s="98">
        <v>0.2</v>
      </c>
      <c r="I10" s="98"/>
      <c r="J10" s="98"/>
      <c r="K10" s="76"/>
      <c r="L10" s="76"/>
      <c r="M10" s="76"/>
      <c r="N10" s="76"/>
      <c r="O10" s="76" t="s">
        <v>486</v>
      </c>
      <c r="P10" s="76">
        <v>24.0</v>
      </c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</row>
    <row r="11" ht="12.75" customHeight="1">
      <c r="A11" s="79"/>
      <c r="B11" s="76"/>
      <c r="C11" s="76"/>
      <c r="D11" s="89">
        <f t="shared" ref="D11:J11" si="1">SUM(D5:D10)</f>
        <v>1</v>
      </c>
      <c r="E11" s="89">
        <f t="shared" si="1"/>
        <v>1</v>
      </c>
      <c r="F11" s="89">
        <f t="shared" si="1"/>
        <v>1</v>
      </c>
      <c r="G11" s="89">
        <f t="shared" si="1"/>
        <v>1</v>
      </c>
      <c r="H11" s="89">
        <f t="shared" si="1"/>
        <v>1</v>
      </c>
      <c r="I11" s="89">
        <f t="shared" si="1"/>
        <v>1</v>
      </c>
      <c r="J11" s="89">
        <f t="shared" si="1"/>
        <v>1.05</v>
      </c>
      <c r="K11" s="76"/>
      <c r="L11" s="76"/>
      <c r="M11" s="76"/>
      <c r="N11" s="76"/>
      <c r="O11" s="76"/>
      <c r="P11" s="76">
        <v>64.0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</row>
    <row r="12" ht="12.75" customHeight="1">
      <c r="A12" s="79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</row>
    <row r="13" ht="12.75" customHeight="1">
      <c r="A13" s="79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 t="s">
        <v>487</v>
      </c>
      <c r="P13" s="76" t="s">
        <v>488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</row>
    <row r="14" ht="12.75" customHeight="1">
      <c r="A14" s="79"/>
      <c r="B14" s="76"/>
      <c r="C14" s="80" t="s">
        <v>140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</row>
    <row r="15" ht="12.75" customHeight="1">
      <c r="A15" s="79"/>
      <c r="B15" s="76"/>
      <c r="D15" s="76" t="s">
        <v>471</v>
      </c>
      <c r="E15" s="76" t="s">
        <v>472</v>
      </c>
      <c r="F15" s="76" t="s">
        <v>473</v>
      </c>
      <c r="G15" s="76" t="s">
        <v>474</v>
      </c>
      <c r="H15" s="76" t="s">
        <v>475</v>
      </c>
      <c r="I15" s="76" t="s">
        <v>476</v>
      </c>
      <c r="J15" s="76" t="s">
        <v>477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</row>
    <row r="16" ht="12.75" customHeight="1">
      <c r="A16" s="79"/>
      <c r="B16" s="76"/>
      <c r="C16" s="82" t="s">
        <v>149</v>
      </c>
      <c r="D16" s="159">
        <v>15.0</v>
      </c>
      <c r="E16" s="159">
        <v>35.0</v>
      </c>
      <c r="F16" s="159">
        <v>58.0</v>
      </c>
      <c r="G16" s="159">
        <v>60.0</v>
      </c>
      <c r="H16" s="159">
        <v>58.0</v>
      </c>
      <c r="I16" s="159">
        <v>50.0</v>
      </c>
      <c r="J16" s="159">
        <v>48.0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</row>
    <row r="17" ht="12.75" customHeight="1">
      <c r="A17" s="79"/>
      <c r="B17" s="76"/>
      <c r="C17" s="76" t="s">
        <v>72</v>
      </c>
      <c r="D17" s="91">
        <f t="shared" ref="D17:J17" si="2">ROUND( D$16*D5,0)</f>
        <v>5</v>
      </c>
      <c r="E17" s="91">
        <f t="shared" si="2"/>
        <v>5</v>
      </c>
      <c r="F17" s="91">
        <f t="shared" si="2"/>
        <v>3</v>
      </c>
      <c r="G17" s="91">
        <f t="shared" si="2"/>
        <v>0</v>
      </c>
      <c r="H17" s="91">
        <f t="shared" si="2"/>
        <v>0</v>
      </c>
      <c r="I17" s="91">
        <f t="shared" si="2"/>
        <v>18</v>
      </c>
      <c r="J17" s="91">
        <f t="shared" si="2"/>
        <v>22</v>
      </c>
      <c r="K17" s="76"/>
      <c r="L17" s="76"/>
      <c r="M17" s="76"/>
      <c r="N17" s="76"/>
      <c r="O17" s="76"/>
      <c r="P17" s="76" t="s">
        <v>489</v>
      </c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</row>
    <row r="18" ht="12.75" customHeight="1">
      <c r="A18" s="79"/>
      <c r="B18" s="76"/>
      <c r="C18" s="76" t="s">
        <v>76</v>
      </c>
      <c r="D18" s="91">
        <f t="shared" ref="D18:J18" si="3">ROUND( D$16*D6,0)</f>
        <v>7</v>
      </c>
      <c r="E18" s="91">
        <f t="shared" si="3"/>
        <v>12</v>
      </c>
      <c r="F18" s="91">
        <f t="shared" si="3"/>
        <v>6</v>
      </c>
      <c r="G18" s="91">
        <f t="shared" si="3"/>
        <v>0</v>
      </c>
      <c r="H18" s="91">
        <f t="shared" si="3"/>
        <v>0</v>
      </c>
      <c r="I18" s="91">
        <f t="shared" si="3"/>
        <v>18</v>
      </c>
      <c r="J18" s="91">
        <f t="shared" si="3"/>
        <v>26</v>
      </c>
      <c r="K18" s="76"/>
      <c r="L18" s="76"/>
      <c r="M18" s="76"/>
      <c r="N18" s="76"/>
      <c r="O18" s="76"/>
      <c r="P18" s="611">
        <v>45566.0</v>
      </c>
      <c r="Q18" s="76" t="s">
        <v>490</v>
      </c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</row>
    <row r="19" ht="12.75" customHeight="1">
      <c r="A19" s="79"/>
      <c r="B19" s="76"/>
      <c r="C19" s="76" t="s">
        <v>80</v>
      </c>
      <c r="D19" s="91">
        <f t="shared" ref="D19:J19" si="4">ROUND( D$16*D7,0)</f>
        <v>2</v>
      </c>
      <c r="E19" s="91">
        <f t="shared" si="4"/>
        <v>11</v>
      </c>
      <c r="F19" s="91">
        <f t="shared" si="4"/>
        <v>17</v>
      </c>
      <c r="G19" s="91">
        <f t="shared" si="4"/>
        <v>18</v>
      </c>
      <c r="H19" s="91">
        <f t="shared" si="4"/>
        <v>17</v>
      </c>
      <c r="I19" s="91">
        <f t="shared" si="4"/>
        <v>8</v>
      </c>
      <c r="J19" s="91">
        <f t="shared" si="4"/>
        <v>2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</row>
    <row r="20" ht="12.75" customHeight="1">
      <c r="A20" s="79"/>
      <c r="B20" s="76"/>
      <c r="C20" s="76" t="s">
        <v>83</v>
      </c>
      <c r="D20" s="91">
        <f t="shared" ref="D20:J20" si="5">ROUND( D$16*D8,0)</f>
        <v>1</v>
      </c>
      <c r="E20" s="91">
        <f t="shared" si="5"/>
        <v>4</v>
      </c>
      <c r="F20" s="91">
        <f t="shared" si="5"/>
        <v>17</v>
      </c>
      <c r="G20" s="91">
        <f t="shared" si="5"/>
        <v>21</v>
      </c>
      <c r="H20" s="91">
        <f t="shared" si="5"/>
        <v>20</v>
      </c>
      <c r="I20" s="91">
        <f t="shared" si="5"/>
        <v>5</v>
      </c>
      <c r="J20" s="91">
        <f t="shared" si="5"/>
        <v>0</v>
      </c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</row>
    <row r="21" ht="12.75" customHeight="1">
      <c r="A21" s="79"/>
      <c r="B21" s="76"/>
      <c r="C21" s="76" t="s">
        <v>87</v>
      </c>
      <c r="D21" s="91">
        <f t="shared" ref="D21:J21" si="6">ROUND( D$16*D9,0)</f>
        <v>1</v>
      </c>
      <c r="E21" s="91">
        <f t="shared" si="6"/>
        <v>2</v>
      </c>
      <c r="F21" s="91">
        <f t="shared" si="6"/>
        <v>9</v>
      </c>
      <c r="G21" s="91">
        <f t="shared" si="6"/>
        <v>9</v>
      </c>
      <c r="H21" s="91">
        <f t="shared" si="6"/>
        <v>9</v>
      </c>
      <c r="I21" s="91">
        <f t="shared" si="6"/>
        <v>3</v>
      </c>
      <c r="J21" s="91">
        <f t="shared" si="6"/>
        <v>0</v>
      </c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</row>
    <row r="22" ht="12.75" customHeight="1">
      <c r="A22" s="79"/>
      <c r="B22" s="76"/>
      <c r="C22" s="76" t="s">
        <v>464</v>
      </c>
      <c r="D22" s="91">
        <f t="shared" ref="D22:J22" si="7">ROUND( D$16*D10,0)</f>
        <v>0</v>
      </c>
      <c r="E22" s="91">
        <f t="shared" si="7"/>
        <v>2</v>
      </c>
      <c r="F22" s="91">
        <f t="shared" si="7"/>
        <v>6</v>
      </c>
      <c r="G22" s="91">
        <f t="shared" si="7"/>
        <v>12</v>
      </c>
      <c r="H22" s="91">
        <f t="shared" si="7"/>
        <v>12</v>
      </c>
      <c r="I22" s="91">
        <f t="shared" si="7"/>
        <v>0</v>
      </c>
      <c r="J22" s="91">
        <f t="shared" si="7"/>
        <v>0</v>
      </c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</row>
    <row r="23" ht="12.75" customHeight="1">
      <c r="A23" s="79"/>
      <c r="B23" s="76"/>
      <c r="C23" s="76"/>
      <c r="D23" s="93">
        <f t="shared" ref="D23:J23" si="8">SUM(D17:D22)</f>
        <v>16</v>
      </c>
      <c r="E23" s="93">
        <f t="shared" si="8"/>
        <v>36</v>
      </c>
      <c r="F23" s="93">
        <f t="shared" si="8"/>
        <v>58</v>
      </c>
      <c r="G23" s="93">
        <f t="shared" si="8"/>
        <v>60</v>
      </c>
      <c r="H23" s="93">
        <f t="shared" si="8"/>
        <v>58</v>
      </c>
      <c r="I23" s="93">
        <f t="shared" si="8"/>
        <v>52</v>
      </c>
      <c r="J23" s="93">
        <f t="shared" si="8"/>
        <v>50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</row>
    <row r="24" ht="12.75" customHeight="1">
      <c r="A24" s="79"/>
      <c r="B24" s="76"/>
      <c r="C24" s="8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</row>
    <row r="25" ht="12.75" customHeight="1">
      <c r="A25" s="79"/>
      <c r="B25" s="76"/>
      <c r="C25" s="80" t="s">
        <v>150</v>
      </c>
      <c r="D25" s="95" t="s">
        <v>151</v>
      </c>
      <c r="E25" s="95" t="s">
        <v>152</v>
      </c>
      <c r="F25" s="95" t="s">
        <v>153</v>
      </c>
      <c r="G25" s="95" t="s">
        <v>154</v>
      </c>
      <c r="H25" s="95" t="s">
        <v>155</v>
      </c>
      <c r="I25" s="95" t="s">
        <v>156</v>
      </c>
      <c r="J25" s="95" t="s">
        <v>151</v>
      </c>
      <c r="K25" s="95" t="s">
        <v>152</v>
      </c>
      <c r="L25" s="95" t="s">
        <v>153</v>
      </c>
      <c r="M25" s="95" t="s">
        <v>154</v>
      </c>
      <c r="N25" s="95" t="s">
        <v>155</v>
      </c>
      <c r="O25" s="95" t="s">
        <v>156</v>
      </c>
      <c r="P25" s="95" t="s">
        <v>151</v>
      </c>
      <c r="Q25" s="95" t="s">
        <v>152</v>
      </c>
      <c r="R25" s="95" t="s">
        <v>153</v>
      </c>
      <c r="S25" s="95" t="s">
        <v>154</v>
      </c>
      <c r="T25" s="95" t="s">
        <v>155</v>
      </c>
      <c r="U25" s="95" t="s">
        <v>156</v>
      </c>
      <c r="V25" s="95" t="s">
        <v>151</v>
      </c>
      <c r="W25" s="95" t="s">
        <v>152</v>
      </c>
      <c r="X25" s="95" t="s">
        <v>153</v>
      </c>
      <c r="Y25" s="95" t="s">
        <v>154</v>
      </c>
      <c r="Z25" s="95" t="s">
        <v>155</v>
      </c>
      <c r="AA25" s="95" t="s">
        <v>156</v>
      </c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</row>
    <row r="26" ht="12.75" customHeight="1">
      <c r="A26" s="79"/>
      <c r="B26" s="76"/>
      <c r="C26" s="76"/>
      <c r="D26" s="76">
        <v>1.0</v>
      </c>
      <c r="E26" s="76">
        <v>2.0</v>
      </c>
      <c r="F26" s="76">
        <v>3.0</v>
      </c>
      <c r="G26" s="76">
        <v>4.0</v>
      </c>
      <c r="H26" s="76">
        <v>5.0</v>
      </c>
      <c r="I26" s="76">
        <v>6.0</v>
      </c>
      <c r="J26" s="76">
        <v>7.0</v>
      </c>
      <c r="K26" s="76">
        <v>8.0</v>
      </c>
      <c r="L26" s="76">
        <v>9.0</v>
      </c>
      <c r="M26" s="76">
        <v>10.0</v>
      </c>
      <c r="N26" s="76">
        <v>11.0</v>
      </c>
      <c r="O26" s="76">
        <v>12.0</v>
      </c>
      <c r="P26" s="76">
        <v>13.0</v>
      </c>
      <c r="Q26" s="76">
        <v>14.0</v>
      </c>
      <c r="R26" s="76">
        <v>15.0</v>
      </c>
      <c r="S26" s="76">
        <v>16.0</v>
      </c>
      <c r="T26" s="76">
        <v>17.0</v>
      </c>
      <c r="U26" s="76">
        <v>18.0</v>
      </c>
      <c r="V26" s="76">
        <v>19.0</v>
      </c>
      <c r="W26" s="76">
        <v>20.0</v>
      </c>
      <c r="X26" s="76">
        <v>21.0</v>
      </c>
      <c r="Y26" s="76">
        <v>22.0</v>
      </c>
      <c r="Z26" s="76">
        <v>23.0</v>
      </c>
      <c r="AA26" s="76">
        <v>24.0</v>
      </c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</row>
    <row r="27" ht="12.75" customHeight="1">
      <c r="A27" s="79"/>
      <c r="C27" s="82" t="s">
        <v>157</v>
      </c>
      <c r="D27" s="98">
        <v>0.5</v>
      </c>
      <c r="E27" s="98">
        <v>0.6</v>
      </c>
      <c r="F27" s="98">
        <v>0.6</v>
      </c>
      <c r="G27" s="98">
        <v>0.7</v>
      </c>
      <c r="H27" s="98">
        <v>0.9</v>
      </c>
      <c r="I27" s="98">
        <v>0.9</v>
      </c>
      <c r="J27" s="98">
        <v>0.5</v>
      </c>
      <c r="K27" s="98">
        <v>0.6</v>
      </c>
      <c r="L27" s="98">
        <v>0.6</v>
      </c>
      <c r="M27" s="98">
        <v>0.7</v>
      </c>
      <c r="N27" s="98">
        <v>0.9</v>
      </c>
      <c r="O27" s="98">
        <v>0.9</v>
      </c>
      <c r="P27" s="98">
        <v>0.5</v>
      </c>
      <c r="Q27" s="98">
        <v>0.6</v>
      </c>
      <c r="R27" s="98">
        <v>0.6</v>
      </c>
      <c r="S27" s="98">
        <v>0.7</v>
      </c>
      <c r="T27" s="98">
        <v>0.9</v>
      </c>
      <c r="U27" s="98">
        <v>0.9</v>
      </c>
      <c r="V27" s="98">
        <v>0.5</v>
      </c>
      <c r="W27" s="98">
        <v>0.6</v>
      </c>
      <c r="X27" s="98">
        <v>0.6</v>
      </c>
      <c r="Y27" s="98">
        <v>0.7</v>
      </c>
      <c r="Z27" s="98">
        <v>0.9</v>
      </c>
      <c r="AA27" s="98">
        <v>0.9</v>
      </c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</row>
    <row r="28" ht="12.75" customHeight="1">
      <c r="A28" s="79"/>
      <c r="B28" s="76"/>
      <c r="C28" s="76" t="s">
        <v>148</v>
      </c>
      <c r="D28" s="76">
        <f t="shared" ref="D28:D33" si="10">ROUND(SUM($D17:$M17)*D$27,0)</f>
        <v>27</v>
      </c>
      <c r="E28" s="76">
        <f t="shared" ref="E28:AA28" si="9">ROUND(SUM($D17:$M17)*E27,0)</f>
        <v>32</v>
      </c>
      <c r="F28" s="76">
        <f t="shared" si="9"/>
        <v>32</v>
      </c>
      <c r="G28" s="76">
        <f t="shared" si="9"/>
        <v>37</v>
      </c>
      <c r="H28" s="76">
        <f t="shared" si="9"/>
        <v>48</v>
      </c>
      <c r="I28" s="76">
        <f t="shared" si="9"/>
        <v>48</v>
      </c>
      <c r="J28" s="76">
        <f t="shared" si="9"/>
        <v>27</v>
      </c>
      <c r="K28" s="76">
        <f t="shared" si="9"/>
        <v>32</v>
      </c>
      <c r="L28" s="76">
        <f t="shared" si="9"/>
        <v>32</v>
      </c>
      <c r="M28" s="76">
        <f t="shared" si="9"/>
        <v>37</v>
      </c>
      <c r="N28" s="76">
        <f t="shared" si="9"/>
        <v>48</v>
      </c>
      <c r="O28" s="76">
        <f t="shared" si="9"/>
        <v>48</v>
      </c>
      <c r="P28" s="76">
        <f t="shared" si="9"/>
        <v>27</v>
      </c>
      <c r="Q28" s="76">
        <f t="shared" si="9"/>
        <v>32</v>
      </c>
      <c r="R28" s="76">
        <f t="shared" si="9"/>
        <v>32</v>
      </c>
      <c r="S28" s="76">
        <f t="shared" si="9"/>
        <v>37</v>
      </c>
      <c r="T28" s="76">
        <f t="shared" si="9"/>
        <v>48</v>
      </c>
      <c r="U28" s="76">
        <f t="shared" si="9"/>
        <v>48</v>
      </c>
      <c r="V28" s="76">
        <f t="shared" si="9"/>
        <v>27</v>
      </c>
      <c r="W28" s="76">
        <f t="shared" si="9"/>
        <v>32</v>
      </c>
      <c r="X28" s="76">
        <f t="shared" si="9"/>
        <v>32</v>
      </c>
      <c r="Y28" s="76">
        <f t="shared" si="9"/>
        <v>37</v>
      </c>
      <c r="Z28" s="76">
        <f t="shared" si="9"/>
        <v>48</v>
      </c>
      <c r="AA28" s="76">
        <f t="shared" si="9"/>
        <v>48</v>
      </c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</row>
    <row r="29" ht="12.75" customHeight="1">
      <c r="A29" s="79"/>
      <c r="B29" s="76"/>
      <c r="C29" s="76" t="s">
        <v>76</v>
      </c>
      <c r="D29" s="76">
        <f t="shared" si="10"/>
        <v>35</v>
      </c>
      <c r="E29" s="76">
        <f t="shared" ref="E29:AA29" si="11">ROUND(SUM($D18:$M18)*E$27,0)</f>
        <v>41</v>
      </c>
      <c r="F29" s="76">
        <f t="shared" si="11"/>
        <v>41</v>
      </c>
      <c r="G29" s="76">
        <f t="shared" si="11"/>
        <v>48</v>
      </c>
      <c r="H29" s="76">
        <f t="shared" si="11"/>
        <v>62</v>
      </c>
      <c r="I29" s="76">
        <f t="shared" si="11"/>
        <v>62</v>
      </c>
      <c r="J29" s="76">
        <f t="shared" si="11"/>
        <v>35</v>
      </c>
      <c r="K29" s="76">
        <f t="shared" si="11"/>
        <v>41</v>
      </c>
      <c r="L29" s="76">
        <f t="shared" si="11"/>
        <v>41</v>
      </c>
      <c r="M29" s="76">
        <f t="shared" si="11"/>
        <v>48</v>
      </c>
      <c r="N29" s="76">
        <f t="shared" si="11"/>
        <v>62</v>
      </c>
      <c r="O29" s="76">
        <f t="shared" si="11"/>
        <v>62</v>
      </c>
      <c r="P29" s="76">
        <f t="shared" si="11"/>
        <v>35</v>
      </c>
      <c r="Q29" s="76">
        <f t="shared" si="11"/>
        <v>41</v>
      </c>
      <c r="R29" s="76">
        <f t="shared" si="11"/>
        <v>41</v>
      </c>
      <c r="S29" s="76">
        <f t="shared" si="11"/>
        <v>48</v>
      </c>
      <c r="T29" s="76">
        <f t="shared" si="11"/>
        <v>62</v>
      </c>
      <c r="U29" s="76">
        <f t="shared" si="11"/>
        <v>62</v>
      </c>
      <c r="V29" s="76">
        <f t="shared" si="11"/>
        <v>35</v>
      </c>
      <c r="W29" s="76">
        <f t="shared" si="11"/>
        <v>41</v>
      </c>
      <c r="X29" s="76">
        <f t="shared" si="11"/>
        <v>41</v>
      </c>
      <c r="Y29" s="76">
        <f t="shared" si="11"/>
        <v>48</v>
      </c>
      <c r="Z29" s="76">
        <f t="shared" si="11"/>
        <v>62</v>
      </c>
      <c r="AA29" s="76">
        <f t="shared" si="11"/>
        <v>62</v>
      </c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</row>
    <row r="30" ht="12.75" customHeight="1">
      <c r="A30" s="79"/>
      <c r="B30" s="76"/>
      <c r="C30" s="76" t="s">
        <v>80</v>
      </c>
      <c r="D30" s="76">
        <f t="shared" si="10"/>
        <v>38</v>
      </c>
      <c r="E30" s="76">
        <f t="shared" ref="E30:AA30" si="12">ROUND(SUM($D19:$M19)*E$27,0)</f>
        <v>45</v>
      </c>
      <c r="F30" s="76">
        <f t="shared" si="12"/>
        <v>45</v>
      </c>
      <c r="G30" s="76">
        <f t="shared" si="12"/>
        <v>53</v>
      </c>
      <c r="H30" s="76">
        <f t="shared" si="12"/>
        <v>68</v>
      </c>
      <c r="I30" s="76">
        <f t="shared" si="12"/>
        <v>68</v>
      </c>
      <c r="J30" s="76">
        <f t="shared" si="12"/>
        <v>38</v>
      </c>
      <c r="K30" s="76">
        <f t="shared" si="12"/>
        <v>45</v>
      </c>
      <c r="L30" s="76">
        <f t="shared" si="12"/>
        <v>45</v>
      </c>
      <c r="M30" s="76">
        <f t="shared" si="12"/>
        <v>53</v>
      </c>
      <c r="N30" s="76">
        <f t="shared" si="12"/>
        <v>68</v>
      </c>
      <c r="O30" s="76">
        <f t="shared" si="12"/>
        <v>68</v>
      </c>
      <c r="P30" s="76">
        <f t="shared" si="12"/>
        <v>38</v>
      </c>
      <c r="Q30" s="76">
        <f t="shared" si="12"/>
        <v>45</v>
      </c>
      <c r="R30" s="76">
        <f t="shared" si="12"/>
        <v>45</v>
      </c>
      <c r="S30" s="76">
        <f t="shared" si="12"/>
        <v>53</v>
      </c>
      <c r="T30" s="76">
        <f t="shared" si="12"/>
        <v>68</v>
      </c>
      <c r="U30" s="76">
        <f t="shared" si="12"/>
        <v>68</v>
      </c>
      <c r="V30" s="76">
        <f t="shared" si="12"/>
        <v>38</v>
      </c>
      <c r="W30" s="76">
        <f t="shared" si="12"/>
        <v>45</v>
      </c>
      <c r="X30" s="76">
        <f t="shared" si="12"/>
        <v>45</v>
      </c>
      <c r="Y30" s="76">
        <f t="shared" si="12"/>
        <v>53</v>
      </c>
      <c r="Z30" s="76">
        <f t="shared" si="12"/>
        <v>68</v>
      </c>
      <c r="AA30" s="76">
        <f t="shared" si="12"/>
        <v>68</v>
      </c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</row>
    <row r="31" ht="12.75" customHeight="1">
      <c r="A31" s="79"/>
      <c r="B31" s="76"/>
      <c r="C31" s="76" t="s">
        <v>83</v>
      </c>
      <c r="D31" s="76">
        <f t="shared" si="10"/>
        <v>34</v>
      </c>
      <c r="E31" s="76">
        <f t="shared" ref="E31:AA31" si="13">ROUND(SUM($D20:$M20)*E$27,0)</f>
        <v>41</v>
      </c>
      <c r="F31" s="76">
        <f t="shared" si="13"/>
        <v>41</v>
      </c>
      <c r="G31" s="76">
        <f t="shared" si="13"/>
        <v>48</v>
      </c>
      <c r="H31" s="76">
        <f t="shared" si="13"/>
        <v>61</v>
      </c>
      <c r="I31" s="76">
        <f t="shared" si="13"/>
        <v>61</v>
      </c>
      <c r="J31" s="76">
        <f t="shared" si="13"/>
        <v>34</v>
      </c>
      <c r="K31" s="76">
        <f t="shared" si="13"/>
        <v>41</v>
      </c>
      <c r="L31" s="76">
        <f t="shared" si="13"/>
        <v>41</v>
      </c>
      <c r="M31" s="76">
        <f t="shared" si="13"/>
        <v>48</v>
      </c>
      <c r="N31" s="76">
        <f t="shared" si="13"/>
        <v>61</v>
      </c>
      <c r="O31" s="76">
        <f t="shared" si="13"/>
        <v>61</v>
      </c>
      <c r="P31" s="76">
        <f t="shared" si="13"/>
        <v>34</v>
      </c>
      <c r="Q31" s="76">
        <f t="shared" si="13"/>
        <v>41</v>
      </c>
      <c r="R31" s="76">
        <f t="shared" si="13"/>
        <v>41</v>
      </c>
      <c r="S31" s="76">
        <f t="shared" si="13"/>
        <v>48</v>
      </c>
      <c r="T31" s="76">
        <f t="shared" si="13"/>
        <v>61</v>
      </c>
      <c r="U31" s="76">
        <f t="shared" si="13"/>
        <v>61</v>
      </c>
      <c r="V31" s="76">
        <f t="shared" si="13"/>
        <v>34</v>
      </c>
      <c r="W31" s="76">
        <f t="shared" si="13"/>
        <v>41</v>
      </c>
      <c r="X31" s="76">
        <f t="shared" si="13"/>
        <v>41</v>
      </c>
      <c r="Y31" s="76">
        <f t="shared" si="13"/>
        <v>48</v>
      </c>
      <c r="Z31" s="76">
        <f t="shared" si="13"/>
        <v>61</v>
      </c>
      <c r="AA31" s="76">
        <f t="shared" si="13"/>
        <v>61</v>
      </c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</row>
    <row r="32" ht="12.75" customHeight="1">
      <c r="A32" s="79"/>
      <c r="B32" s="76"/>
      <c r="C32" s="76" t="s">
        <v>87</v>
      </c>
      <c r="D32" s="76">
        <f t="shared" si="10"/>
        <v>17</v>
      </c>
      <c r="E32" s="76">
        <f t="shared" ref="E32:AA32" si="14">ROUND(SUM($D21:$M21)*E$27,0)</f>
        <v>20</v>
      </c>
      <c r="F32" s="76">
        <f t="shared" si="14"/>
        <v>20</v>
      </c>
      <c r="G32" s="76">
        <f t="shared" si="14"/>
        <v>23</v>
      </c>
      <c r="H32" s="76">
        <f t="shared" si="14"/>
        <v>30</v>
      </c>
      <c r="I32" s="76">
        <f t="shared" si="14"/>
        <v>30</v>
      </c>
      <c r="J32" s="76">
        <f t="shared" si="14"/>
        <v>17</v>
      </c>
      <c r="K32" s="76">
        <f t="shared" si="14"/>
        <v>20</v>
      </c>
      <c r="L32" s="76">
        <f t="shared" si="14"/>
        <v>20</v>
      </c>
      <c r="M32" s="76">
        <f t="shared" si="14"/>
        <v>23</v>
      </c>
      <c r="N32" s="76">
        <f t="shared" si="14"/>
        <v>30</v>
      </c>
      <c r="O32" s="76">
        <f t="shared" si="14"/>
        <v>30</v>
      </c>
      <c r="P32" s="76">
        <f t="shared" si="14"/>
        <v>17</v>
      </c>
      <c r="Q32" s="76">
        <f t="shared" si="14"/>
        <v>20</v>
      </c>
      <c r="R32" s="76">
        <f t="shared" si="14"/>
        <v>20</v>
      </c>
      <c r="S32" s="76">
        <f t="shared" si="14"/>
        <v>23</v>
      </c>
      <c r="T32" s="76">
        <f t="shared" si="14"/>
        <v>30</v>
      </c>
      <c r="U32" s="76">
        <f t="shared" si="14"/>
        <v>30</v>
      </c>
      <c r="V32" s="76">
        <f t="shared" si="14"/>
        <v>17</v>
      </c>
      <c r="W32" s="76">
        <f t="shared" si="14"/>
        <v>20</v>
      </c>
      <c r="X32" s="76">
        <f t="shared" si="14"/>
        <v>20</v>
      </c>
      <c r="Y32" s="76">
        <f t="shared" si="14"/>
        <v>23</v>
      </c>
      <c r="Z32" s="76">
        <f t="shared" si="14"/>
        <v>30</v>
      </c>
      <c r="AA32" s="76">
        <f t="shared" si="14"/>
        <v>30</v>
      </c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</row>
    <row r="33" ht="12.75" customHeight="1">
      <c r="A33" s="79"/>
      <c r="B33" s="76"/>
      <c r="C33" s="76" t="s">
        <v>464</v>
      </c>
      <c r="D33" s="76">
        <f t="shared" si="10"/>
        <v>16</v>
      </c>
      <c r="E33" s="76">
        <f t="shared" ref="E33:AA33" si="15">ROUND(SUM($D22:$M22)*E$27,0)</f>
        <v>19</v>
      </c>
      <c r="F33" s="76">
        <f t="shared" si="15"/>
        <v>19</v>
      </c>
      <c r="G33" s="76">
        <f t="shared" si="15"/>
        <v>22</v>
      </c>
      <c r="H33" s="76">
        <f t="shared" si="15"/>
        <v>29</v>
      </c>
      <c r="I33" s="76">
        <f t="shared" si="15"/>
        <v>29</v>
      </c>
      <c r="J33" s="76">
        <f t="shared" si="15"/>
        <v>16</v>
      </c>
      <c r="K33" s="76">
        <f t="shared" si="15"/>
        <v>19</v>
      </c>
      <c r="L33" s="76">
        <f t="shared" si="15"/>
        <v>19</v>
      </c>
      <c r="M33" s="76">
        <f t="shared" si="15"/>
        <v>22</v>
      </c>
      <c r="N33" s="76">
        <f t="shared" si="15"/>
        <v>29</v>
      </c>
      <c r="O33" s="76">
        <f t="shared" si="15"/>
        <v>29</v>
      </c>
      <c r="P33" s="76">
        <f t="shared" si="15"/>
        <v>16</v>
      </c>
      <c r="Q33" s="76">
        <f t="shared" si="15"/>
        <v>19</v>
      </c>
      <c r="R33" s="76">
        <f t="shared" si="15"/>
        <v>19</v>
      </c>
      <c r="S33" s="76">
        <f t="shared" si="15"/>
        <v>22</v>
      </c>
      <c r="T33" s="76">
        <f t="shared" si="15"/>
        <v>29</v>
      </c>
      <c r="U33" s="76">
        <f t="shared" si="15"/>
        <v>29</v>
      </c>
      <c r="V33" s="76">
        <f t="shared" si="15"/>
        <v>16</v>
      </c>
      <c r="W33" s="76">
        <f t="shared" si="15"/>
        <v>19</v>
      </c>
      <c r="X33" s="76">
        <f t="shared" si="15"/>
        <v>19</v>
      </c>
      <c r="Y33" s="76">
        <f t="shared" si="15"/>
        <v>22</v>
      </c>
      <c r="Z33" s="76">
        <f t="shared" si="15"/>
        <v>29</v>
      </c>
      <c r="AA33" s="76">
        <f t="shared" si="15"/>
        <v>29</v>
      </c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</row>
    <row r="34" ht="12.75" customHeight="1">
      <c r="A34" s="79"/>
      <c r="B34" s="76"/>
      <c r="C34" s="76"/>
      <c r="D34" s="93">
        <f t="shared" ref="D34:AA34" si="16">SUM(D28:D33)</f>
        <v>167</v>
      </c>
      <c r="E34" s="93">
        <f t="shared" si="16"/>
        <v>198</v>
      </c>
      <c r="F34" s="93">
        <f t="shared" si="16"/>
        <v>198</v>
      </c>
      <c r="G34" s="93">
        <f t="shared" si="16"/>
        <v>231</v>
      </c>
      <c r="H34" s="93">
        <f t="shared" si="16"/>
        <v>298</v>
      </c>
      <c r="I34" s="93">
        <f t="shared" si="16"/>
        <v>298</v>
      </c>
      <c r="J34" s="93">
        <f t="shared" si="16"/>
        <v>167</v>
      </c>
      <c r="K34" s="93">
        <f t="shared" si="16"/>
        <v>198</v>
      </c>
      <c r="L34" s="93">
        <f t="shared" si="16"/>
        <v>198</v>
      </c>
      <c r="M34" s="93">
        <f t="shared" si="16"/>
        <v>231</v>
      </c>
      <c r="N34" s="93">
        <f t="shared" si="16"/>
        <v>298</v>
      </c>
      <c r="O34" s="93">
        <f t="shared" si="16"/>
        <v>298</v>
      </c>
      <c r="P34" s="93">
        <f t="shared" si="16"/>
        <v>167</v>
      </c>
      <c r="Q34" s="93">
        <f t="shared" si="16"/>
        <v>198</v>
      </c>
      <c r="R34" s="93">
        <f t="shared" si="16"/>
        <v>198</v>
      </c>
      <c r="S34" s="93">
        <f t="shared" si="16"/>
        <v>231</v>
      </c>
      <c r="T34" s="93">
        <f t="shared" si="16"/>
        <v>298</v>
      </c>
      <c r="U34" s="93">
        <f t="shared" si="16"/>
        <v>298</v>
      </c>
      <c r="V34" s="93">
        <f t="shared" si="16"/>
        <v>167</v>
      </c>
      <c r="W34" s="93">
        <f t="shared" si="16"/>
        <v>198</v>
      </c>
      <c r="X34" s="93">
        <f t="shared" si="16"/>
        <v>198</v>
      </c>
      <c r="Y34" s="93">
        <f t="shared" si="16"/>
        <v>231</v>
      </c>
      <c r="Z34" s="93">
        <f t="shared" si="16"/>
        <v>298</v>
      </c>
      <c r="AA34" s="93">
        <f t="shared" si="16"/>
        <v>298</v>
      </c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</row>
    <row r="35" ht="12.75" customHeight="1">
      <c r="A35" s="79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</row>
    <row r="36" ht="12.75" customHeight="1">
      <c r="A36" s="79"/>
      <c r="B36" s="76"/>
      <c r="C36" s="80" t="s">
        <v>158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</row>
    <row r="37" ht="12.75" customHeight="1">
      <c r="A37" s="79"/>
      <c r="B37" s="76"/>
      <c r="C37" s="76"/>
      <c r="D37" s="76">
        <v>2024.0</v>
      </c>
      <c r="E37" s="76"/>
      <c r="F37" s="76"/>
      <c r="G37" s="76"/>
      <c r="H37" s="76"/>
      <c r="I37" s="76"/>
      <c r="J37" s="76"/>
      <c r="K37" s="95" t="s">
        <v>465</v>
      </c>
      <c r="L37" s="76"/>
      <c r="M37" s="76"/>
      <c r="N37" s="76"/>
      <c r="O37" s="76"/>
      <c r="P37" s="76">
        <v>2025.0</v>
      </c>
      <c r="Q37" s="76"/>
      <c r="R37" s="76"/>
      <c r="S37" s="76"/>
      <c r="T37" s="76"/>
      <c r="U37" s="76"/>
      <c r="V37" s="76"/>
      <c r="W37" s="95" t="s">
        <v>465</v>
      </c>
      <c r="X37" s="76"/>
      <c r="Y37" s="76"/>
      <c r="Z37" s="76"/>
      <c r="AA37" s="76"/>
      <c r="AB37" s="76">
        <v>2026.0</v>
      </c>
      <c r="AC37" s="76"/>
      <c r="AD37" s="76"/>
      <c r="AE37" s="76"/>
      <c r="AF37" s="76"/>
      <c r="AG37" s="76"/>
      <c r="AH37" s="76"/>
      <c r="AI37" s="95" t="s">
        <v>465</v>
      </c>
      <c r="AJ37" s="76"/>
      <c r="AK37" s="76"/>
      <c r="AL37" s="76"/>
      <c r="AM37" s="76"/>
      <c r="AN37" s="76">
        <v>2027.0</v>
      </c>
      <c r="AO37" s="76"/>
      <c r="AP37" s="76"/>
      <c r="AQ37" s="76"/>
      <c r="AR37" s="76"/>
      <c r="AS37" s="76"/>
      <c r="AT37" s="76"/>
      <c r="AU37" s="95" t="s">
        <v>465</v>
      </c>
      <c r="AV37" s="76"/>
      <c r="AW37" s="76"/>
      <c r="AX37" s="76"/>
      <c r="AY37" s="76"/>
    </row>
    <row r="38" ht="12.75" customHeight="1">
      <c r="A38" s="79"/>
      <c r="B38" s="76"/>
      <c r="C38" s="82" t="s">
        <v>159</v>
      </c>
      <c r="D38" s="76">
        <v>1.0</v>
      </c>
      <c r="E38" s="76">
        <v>2.0</v>
      </c>
      <c r="F38" s="76">
        <v>3.0</v>
      </c>
      <c r="G38" s="76">
        <v>4.0</v>
      </c>
      <c r="H38" s="76">
        <v>5.0</v>
      </c>
      <c r="I38" s="76">
        <v>6.0</v>
      </c>
      <c r="J38" s="76">
        <v>7.0</v>
      </c>
      <c r="K38" s="76">
        <v>8.0</v>
      </c>
      <c r="L38" s="76">
        <v>9.0</v>
      </c>
      <c r="M38" s="76">
        <v>10.0</v>
      </c>
      <c r="N38" s="76">
        <v>11.0</v>
      </c>
      <c r="O38" s="76">
        <v>12.0</v>
      </c>
      <c r="P38" s="76">
        <v>1.0</v>
      </c>
      <c r="Q38" s="76">
        <v>2.0</v>
      </c>
      <c r="R38" s="76">
        <v>3.0</v>
      </c>
      <c r="S38" s="76">
        <v>4.0</v>
      </c>
      <c r="T38" s="76">
        <v>5.0</v>
      </c>
      <c r="U38" s="76">
        <v>6.0</v>
      </c>
      <c r="V38" s="76">
        <v>7.0</v>
      </c>
      <c r="W38" s="76">
        <v>8.0</v>
      </c>
      <c r="X38" s="76">
        <v>9.0</v>
      </c>
      <c r="Y38" s="76">
        <v>10.0</v>
      </c>
      <c r="Z38" s="76">
        <v>11.0</v>
      </c>
      <c r="AA38" s="76">
        <v>12.0</v>
      </c>
      <c r="AB38" s="76">
        <v>1.0</v>
      </c>
      <c r="AC38" s="76">
        <v>2.0</v>
      </c>
      <c r="AD38" s="76">
        <v>3.0</v>
      </c>
      <c r="AE38" s="76">
        <v>4.0</v>
      </c>
      <c r="AF38" s="76">
        <v>5.0</v>
      </c>
      <c r="AG38" s="76">
        <v>6.0</v>
      </c>
      <c r="AH38" s="76">
        <v>7.0</v>
      </c>
      <c r="AI38" s="76">
        <v>8.0</v>
      </c>
      <c r="AJ38" s="76">
        <v>9.0</v>
      </c>
      <c r="AK38" s="76">
        <v>10.0</v>
      </c>
      <c r="AL38" s="76">
        <v>11.0</v>
      </c>
      <c r="AM38" s="76">
        <v>12.0</v>
      </c>
      <c r="AN38" s="76">
        <v>1.0</v>
      </c>
      <c r="AO38" s="76">
        <v>2.0</v>
      </c>
      <c r="AP38" s="76">
        <v>3.0</v>
      </c>
      <c r="AQ38" s="76">
        <v>4.0</v>
      </c>
      <c r="AR38" s="76">
        <v>5.0</v>
      </c>
      <c r="AS38" s="76">
        <v>6.0</v>
      </c>
      <c r="AT38" s="76">
        <v>7.0</v>
      </c>
      <c r="AU38" s="76">
        <v>8.0</v>
      </c>
      <c r="AV38" s="76">
        <v>9.0</v>
      </c>
      <c r="AW38" s="76">
        <v>10.0</v>
      </c>
      <c r="AX38" s="76">
        <v>11.0</v>
      </c>
      <c r="AY38" s="76">
        <v>12.0</v>
      </c>
    </row>
    <row r="39" ht="12.75" customHeight="1">
      <c r="A39" s="79"/>
      <c r="B39" s="76"/>
      <c r="C39" s="82" t="s">
        <v>160</v>
      </c>
      <c r="D39" s="98">
        <v>0.2</v>
      </c>
      <c r="E39" s="98">
        <v>0.2</v>
      </c>
      <c r="F39" s="98">
        <v>0.25</v>
      </c>
      <c r="G39" s="98">
        <v>0.3</v>
      </c>
      <c r="H39" s="98">
        <v>0.5</v>
      </c>
      <c r="I39" s="98">
        <v>0.7</v>
      </c>
      <c r="J39" s="98">
        <v>0.7</v>
      </c>
      <c r="K39" s="98">
        <v>0.2</v>
      </c>
      <c r="L39" s="98">
        <v>0.8</v>
      </c>
      <c r="M39" s="98">
        <v>0.7</v>
      </c>
      <c r="N39" s="98">
        <v>0.8</v>
      </c>
      <c r="O39" s="98">
        <v>0.4</v>
      </c>
      <c r="P39" s="98">
        <v>0.6</v>
      </c>
      <c r="Q39" s="98">
        <v>0.8</v>
      </c>
      <c r="R39" s="98">
        <v>0.7</v>
      </c>
      <c r="S39" s="98">
        <v>0.7</v>
      </c>
      <c r="T39" s="98">
        <v>0.8</v>
      </c>
      <c r="U39" s="98">
        <v>0.9</v>
      </c>
      <c r="V39" s="98">
        <v>0.9</v>
      </c>
      <c r="W39" s="98">
        <v>0.3</v>
      </c>
      <c r="X39" s="98">
        <v>0.9</v>
      </c>
      <c r="Y39" s="98">
        <v>0.8</v>
      </c>
      <c r="Z39" s="98">
        <v>0.8</v>
      </c>
      <c r="AA39" s="98">
        <v>0.6</v>
      </c>
      <c r="AB39" s="98">
        <v>0.8</v>
      </c>
      <c r="AC39" s="98">
        <v>0.9</v>
      </c>
      <c r="AD39" s="98">
        <v>0.8</v>
      </c>
      <c r="AE39" s="98">
        <v>0.8</v>
      </c>
      <c r="AF39" s="98">
        <v>1.0</v>
      </c>
      <c r="AG39" s="98">
        <v>1.2</v>
      </c>
      <c r="AH39" s="98">
        <v>1.0</v>
      </c>
      <c r="AI39" s="98">
        <v>1.0</v>
      </c>
      <c r="AJ39" s="98">
        <v>1.1</v>
      </c>
      <c r="AK39" s="98">
        <v>1.2</v>
      </c>
      <c r="AL39" s="98">
        <v>0.8</v>
      </c>
      <c r="AM39" s="98">
        <v>0.6</v>
      </c>
      <c r="AN39" s="98">
        <v>1.0</v>
      </c>
      <c r="AO39" s="98">
        <v>1.1</v>
      </c>
      <c r="AP39" s="98">
        <v>1.0</v>
      </c>
      <c r="AQ39" s="98">
        <v>1.1</v>
      </c>
      <c r="AR39" s="98">
        <v>1.0</v>
      </c>
      <c r="AS39" s="98">
        <v>1.2</v>
      </c>
      <c r="AT39" s="98">
        <v>1.0</v>
      </c>
      <c r="AU39" s="98">
        <v>0.7</v>
      </c>
      <c r="AV39" s="98">
        <v>1.1</v>
      </c>
      <c r="AW39" s="98">
        <v>1.3</v>
      </c>
      <c r="AX39" s="98">
        <v>1.2</v>
      </c>
      <c r="AY39" s="98">
        <v>0.7</v>
      </c>
    </row>
    <row r="40" ht="12.75" customHeight="1">
      <c r="A40" s="79"/>
      <c r="B40" s="76"/>
      <c r="C40" s="76" t="s">
        <v>148</v>
      </c>
      <c r="D40" s="76">
        <f t="shared" ref="D40:AY40" si="17">ROUND(SUM($D28:$AA28)*D$39,0)</f>
        <v>179</v>
      </c>
      <c r="E40" s="76">
        <f t="shared" si="17"/>
        <v>179</v>
      </c>
      <c r="F40" s="76">
        <f t="shared" si="17"/>
        <v>224</v>
      </c>
      <c r="G40" s="76">
        <f t="shared" si="17"/>
        <v>269</v>
      </c>
      <c r="H40" s="76">
        <f t="shared" si="17"/>
        <v>448</v>
      </c>
      <c r="I40" s="76">
        <f t="shared" si="17"/>
        <v>627</v>
      </c>
      <c r="J40" s="76">
        <f t="shared" si="17"/>
        <v>627</v>
      </c>
      <c r="K40" s="76">
        <f t="shared" si="17"/>
        <v>179</v>
      </c>
      <c r="L40" s="76">
        <f t="shared" si="17"/>
        <v>717</v>
      </c>
      <c r="M40" s="76">
        <f t="shared" si="17"/>
        <v>627</v>
      </c>
      <c r="N40" s="76">
        <f t="shared" si="17"/>
        <v>717</v>
      </c>
      <c r="O40" s="76">
        <f t="shared" si="17"/>
        <v>358</v>
      </c>
      <c r="P40" s="76">
        <f t="shared" si="17"/>
        <v>538</v>
      </c>
      <c r="Q40" s="76">
        <f t="shared" si="17"/>
        <v>717</v>
      </c>
      <c r="R40" s="76">
        <f t="shared" si="17"/>
        <v>627</v>
      </c>
      <c r="S40" s="76">
        <f t="shared" si="17"/>
        <v>627</v>
      </c>
      <c r="T40" s="76">
        <f t="shared" si="17"/>
        <v>717</v>
      </c>
      <c r="U40" s="76">
        <f t="shared" si="17"/>
        <v>806</v>
      </c>
      <c r="V40" s="76">
        <f t="shared" si="17"/>
        <v>806</v>
      </c>
      <c r="W40" s="76">
        <f t="shared" si="17"/>
        <v>269</v>
      </c>
      <c r="X40" s="76">
        <f t="shared" si="17"/>
        <v>806</v>
      </c>
      <c r="Y40" s="76">
        <f t="shared" si="17"/>
        <v>717</v>
      </c>
      <c r="Z40" s="76">
        <f t="shared" si="17"/>
        <v>717</v>
      </c>
      <c r="AA40" s="76">
        <f t="shared" si="17"/>
        <v>538</v>
      </c>
      <c r="AB40" s="76">
        <f t="shared" si="17"/>
        <v>717</v>
      </c>
      <c r="AC40" s="76">
        <f t="shared" si="17"/>
        <v>806</v>
      </c>
      <c r="AD40" s="76">
        <f t="shared" si="17"/>
        <v>717</v>
      </c>
      <c r="AE40" s="76">
        <f t="shared" si="17"/>
        <v>717</v>
      </c>
      <c r="AF40" s="76">
        <f t="shared" si="17"/>
        <v>896</v>
      </c>
      <c r="AG40" s="76">
        <f t="shared" si="17"/>
        <v>1075</v>
      </c>
      <c r="AH40" s="76">
        <f t="shared" si="17"/>
        <v>896</v>
      </c>
      <c r="AI40" s="76">
        <f t="shared" si="17"/>
        <v>896</v>
      </c>
      <c r="AJ40" s="76">
        <f t="shared" si="17"/>
        <v>986</v>
      </c>
      <c r="AK40" s="76">
        <f t="shared" si="17"/>
        <v>1075</v>
      </c>
      <c r="AL40" s="76">
        <f t="shared" si="17"/>
        <v>717</v>
      </c>
      <c r="AM40" s="76">
        <f t="shared" si="17"/>
        <v>538</v>
      </c>
      <c r="AN40" s="76">
        <f t="shared" si="17"/>
        <v>896</v>
      </c>
      <c r="AO40" s="76">
        <f t="shared" si="17"/>
        <v>986</v>
      </c>
      <c r="AP40" s="76">
        <f t="shared" si="17"/>
        <v>896</v>
      </c>
      <c r="AQ40" s="76">
        <f t="shared" si="17"/>
        <v>986</v>
      </c>
      <c r="AR40" s="76">
        <f t="shared" si="17"/>
        <v>896</v>
      </c>
      <c r="AS40" s="76">
        <f t="shared" si="17"/>
        <v>1075</v>
      </c>
      <c r="AT40" s="76">
        <f t="shared" si="17"/>
        <v>896</v>
      </c>
      <c r="AU40" s="76">
        <f t="shared" si="17"/>
        <v>627</v>
      </c>
      <c r="AV40" s="76">
        <f t="shared" si="17"/>
        <v>986</v>
      </c>
      <c r="AW40" s="76">
        <f t="shared" si="17"/>
        <v>1165</v>
      </c>
      <c r="AX40" s="76">
        <f t="shared" si="17"/>
        <v>1075</v>
      </c>
      <c r="AY40" s="76">
        <f t="shared" si="17"/>
        <v>627</v>
      </c>
    </row>
    <row r="41" ht="12.75" customHeight="1">
      <c r="A41" s="79"/>
      <c r="B41" s="76"/>
      <c r="C41" s="76" t="s">
        <v>76</v>
      </c>
      <c r="D41" s="76">
        <f t="shared" ref="D41:AY41" si="18">ROUND(SUM($D29:$AA29)*D$39,0)</f>
        <v>231</v>
      </c>
      <c r="E41" s="76">
        <f t="shared" si="18"/>
        <v>231</v>
      </c>
      <c r="F41" s="76">
        <f t="shared" si="18"/>
        <v>289</v>
      </c>
      <c r="G41" s="76">
        <f t="shared" si="18"/>
        <v>347</v>
      </c>
      <c r="H41" s="76">
        <f t="shared" si="18"/>
        <v>578</v>
      </c>
      <c r="I41" s="76">
        <f t="shared" si="18"/>
        <v>809</v>
      </c>
      <c r="J41" s="76">
        <f t="shared" si="18"/>
        <v>809</v>
      </c>
      <c r="K41" s="76">
        <f t="shared" si="18"/>
        <v>231</v>
      </c>
      <c r="L41" s="76">
        <f t="shared" si="18"/>
        <v>925</v>
      </c>
      <c r="M41" s="76">
        <f t="shared" si="18"/>
        <v>809</v>
      </c>
      <c r="N41" s="76">
        <f t="shared" si="18"/>
        <v>925</v>
      </c>
      <c r="O41" s="76">
        <f t="shared" si="18"/>
        <v>462</v>
      </c>
      <c r="P41" s="76">
        <f t="shared" si="18"/>
        <v>694</v>
      </c>
      <c r="Q41" s="76">
        <f t="shared" si="18"/>
        <v>925</v>
      </c>
      <c r="R41" s="76">
        <f t="shared" si="18"/>
        <v>809</v>
      </c>
      <c r="S41" s="76">
        <f t="shared" si="18"/>
        <v>809</v>
      </c>
      <c r="T41" s="76">
        <f t="shared" si="18"/>
        <v>925</v>
      </c>
      <c r="U41" s="76">
        <f t="shared" si="18"/>
        <v>1040</v>
      </c>
      <c r="V41" s="76">
        <f t="shared" si="18"/>
        <v>1040</v>
      </c>
      <c r="W41" s="76">
        <f t="shared" si="18"/>
        <v>347</v>
      </c>
      <c r="X41" s="76">
        <f t="shared" si="18"/>
        <v>1040</v>
      </c>
      <c r="Y41" s="76">
        <f t="shared" si="18"/>
        <v>925</v>
      </c>
      <c r="Z41" s="76">
        <f t="shared" si="18"/>
        <v>925</v>
      </c>
      <c r="AA41" s="76">
        <f t="shared" si="18"/>
        <v>694</v>
      </c>
      <c r="AB41" s="76">
        <f t="shared" si="18"/>
        <v>925</v>
      </c>
      <c r="AC41" s="76">
        <f t="shared" si="18"/>
        <v>1040</v>
      </c>
      <c r="AD41" s="76">
        <f t="shared" si="18"/>
        <v>925</v>
      </c>
      <c r="AE41" s="76">
        <f t="shared" si="18"/>
        <v>925</v>
      </c>
      <c r="AF41" s="76">
        <f t="shared" si="18"/>
        <v>1156</v>
      </c>
      <c r="AG41" s="76">
        <f t="shared" si="18"/>
        <v>1387</v>
      </c>
      <c r="AH41" s="76">
        <f t="shared" si="18"/>
        <v>1156</v>
      </c>
      <c r="AI41" s="76">
        <f t="shared" si="18"/>
        <v>1156</v>
      </c>
      <c r="AJ41" s="76">
        <f t="shared" si="18"/>
        <v>1272</v>
      </c>
      <c r="AK41" s="76">
        <f t="shared" si="18"/>
        <v>1387</v>
      </c>
      <c r="AL41" s="76">
        <f t="shared" si="18"/>
        <v>925</v>
      </c>
      <c r="AM41" s="76">
        <f t="shared" si="18"/>
        <v>694</v>
      </c>
      <c r="AN41" s="76">
        <f t="shared" si="18"/>
        <v>1156</v>
      </c>
      <c r="AO41" s="76">
        <f t="shared" si="18"/>
        <v>1272</v>
      </c>
      <c r="AP41" s="76">
        <f t="shared" si="18"/>
        <v>1156</v>
      </c>
      <c r="AQ41" s="76">
        <f t="shared" si="18"/>
        <v>1272</v>
      </c>
      <c r="AR41" s="76">
        <f t="shared" si="18"/>
        <v>1156</v>
      </c>
      <c r="AS41" s="76">
        <f t="shared" si="18"/>
        <v>1387</v>
      </c>
      <c r="AT41" s="76">
        <f t="shared" si="18"/>
        <v>1156</v>
      </c>
      <c r="AU41" s="76">
        <f t="shared" si="18"/>
        <v>809</v>
      </c>
      <c r="AV41" s="76">
        <f t="shared" si="18"/>
        <v>1272</v>
      </c>
      <c r="AW41" s="76">
        <f t="shared" si="18"/>
        <v>1503</v>
      </c>
      <c r="AX41" s="76">
        <f t="shared" si="18"/>
        <v>1387</v>
      </c>
      <c r="AY41" s="76">
        <f t="shared" si="18"/>
        <v>809</v>
      </c>
    </row>
    <row r="42" ht="12.75" customHeight="1">
      <c r="A42" s="79"/>
      <c r="B42" s="76"/>
      <c r="C42" s="76" t="s">
        <v>80</v>
      </c>
      <c r="D42" s="76">
        <f t="shared" ref="D42:AY42" si="19">ROUND(SUM($D30:$AA30)*D$39,0)</f>
        <v>254</v>
      </c>
      <c r="E42" s="76">
        <f t="shared" si="19"/>
        <v>254</v>
      </c>
      <c r="F42" s="76">
        <f t="shared" si="19"/>
        <v>317</v>
      </c>
      <c r="G42" s="76">
        <f t="shared" si="19"/>
        <v>380</v>
      </c>
      <c r="H42" s="76">
        <f t="shared" si="19"/>
        <v>634</v>
      </c>
      <c r="I42" s="76">
        <f t="shared" si="19"/>
        <v>888</v>
      </c>
      <c r="J42" s="76">
        <f t="shared" si="19"/>
        <v>888</v>
      </c>
      <c r="K42" s="76">
        <f t="shared" si="19"/>
        <v>254</v>
      </c>
      <c r="L42" s="76">
        <f t="shared" si="19"/>
        <v>1014</v>
      </c>
      <c r="M42" s="76">
        <f t="shared" si="19"/>
        <v>888</v>
      </c>
      <c r="N42" s="76">
        <f t="shared" si="19"/>
        <v>1014</v>
      </c>
      <c r="O42" s="76">
        <f t="shared" si="19"/>
        <v>507</v>
      </c>
      <c r="P42" s="76">
        <f t="shared" si="19"/>
        <v>761</v>
      </c>
      <c r="Q42" s="76">
        <f t="shared" si="19"/>
        <v>1014</v>
      </c>
      <c r="R42" s="76">
        <f t="shared" si="19"/>
        <v>888</v>
      </c>
      <c r="S42" s="76">
        <f t="shared" si="19"/>
        <v>888</v>
      </c>
      <c r="T42" s="76">
        <f t="shared" si="19"/>
        <v>1014</v>
      </c>
      <c r="U42" s="76">
        <f t="shared" si="19"/>
        <v>1141</v>
      </c>
      <c r="V42" s="76">
        <f t="shared" si="19"/>
        <v>1141</v>
      </c>
      <c r="W42" s="76">
        <f t="shared" si="19"/>
        <v>380</v>
      </c>
      <c r="X42" s="76">
        <f t="shared" si="19"/>
        <v>1141</v>
      </c>
      <c r="Y42" s="76">
        <f t="shared" si="19"/>
        <v>1014</v>
      </c>
      <c r="Z42" s="76">
        <f t="shared" si="19"/>
        <v>1014</v>
      </c>
      <c r="AA42" s="76">
        <f t="shared" si="19"/>
        <v>761</v>
      </c>
      <c r="AB42" s="76">
        <f t="shared" si="19"/>
        <v>1014</v>
      </c>
      <c r="AC42" s="76">
        <f t="shared" si="19"/>
        <v>1141</v>
      </c>
      <c r="AD42" s="76">
        <f t="shared" si="19"/>
        <v>1014</v>
      </c>
      <c r="AE42" s="76">
        <f t="shared" si="19"/>
        <v>1014</v>
      </c>
      <c r="AF42" s="76">
        <f t="shared" si="19"/>
        <v>1268</v>
      </c>
      <c r="AG42" s="76">
        <f t="shared" si="19"/>
        <v>1522</v>
      </c>
      <c r="AH42" s="76">
        <f t="shared" si="19"/>
        <v>1268</v>
      </c>
      <c r="AI42" s="76">
        <f t="shared" si="19"/>
        <v>1268</v>
      </c>
      <c r="AJ42" s="76">
        <f t="shared" si="19"/>
        <v>1395</v>
      </c>
      <c r="AK42" s="76">
        <f t="shared" si="19"/>
        <v>1522</v>
      </c>
      <c r="AL42" s="76">
        <f t="shared" si="19"/>
        <v>1014</v>
      </c>
      <c r="AM42" s="76">
        <f t="shared" si="19"/>
        <v>761</v>
      </c>
      <c r="AN42" s="76">
        <f t="shared" si="19"/>
        <v>1268</v>
      </c>
      <c r="AO42" s="76">
        <f t="shared" si="19"/>
        <v>1395</v>
      </c>
      <c r="AP42" s="76">
        <f t="shared" si="19"/>
        <v>1268</v>
      </c>
      <c r="AQ42" s="76">
        <f t="shared" si="19"/>
        <v>1395</v>
      </c>
      <c r="AR42" s="76">
        <f t="shared" si="19"/>
        <v>1268</v>
      </c>
      <c r="AS42" s="76">
        <f t="shared" si="19"/>
        <v>1522</v>
      </c>
      <c r="AT42" s="76">
        <f t="shared" si="19"/>
        <v>1268</v>
      </c>
      <c r="AU42" s="76">
        <f t="shared" si="19"/>
        <v>888</v>
      </c>
      <c r="AV42" s="76">
        <f t="shared" si="19"/>
        <v>1395</v>
      </c>
      <c r="AW42" s="76">
        <f t="shared" si="19"/>
        <v>1648</v>
      </c>
      <c r="AX42" s="76">
        <f t="shared" si="19"/>
        <v>1522</v>
      </c>
      <c r="AY42" s="76">
        <f t="shared" si="19"/>
        <v>888</v>
      </c>
    </row>
    <row r="43" ht="12.75" customHeight="1">
      <c r="A43" s="79"/>
      <c r="B43" s="76"/>
      <c r="C43" s="76" t="s">
        <v>83</v>
      </c>
      <c r="D43" s="76">
        <f t="shared" ref="D43:AY43" si="20">ROUND(SUM($D31:$AA31)*D$39,0)</f>
        <v>229</v>
      </c>
      <c r="E43" s="76">
        <f t="shared" si="20"/>
        <v>229</v>
      </c>
      <c r="F43" s="76">
        <f t="shared" si="20"/>
        <v>286</v>
      </c>
      <c r="G43" s="76">
        <f t="shared" si="20"/>
        <v>343</v>
      </c>
      <c r="H43" s="76">
        <f t="shared" si="20"/>
        <v>572</v>
      </c>
      <c r="I43" s="76">
        <f t="shared" si="20"/>
        <v>801</v>
      </c>
      <c r="J43" s="76">
        <f t="shared" si="20"/>
        <v>801</v>
      </c>
      <c r="K43" s="76">
        <f t="shared" si="20"/>
        <v>229</v>
      </c>
      <c r="L43" s="76">
        <f t="shared" si="20"/>
        <v>915</v>
      </c>
      <c r="M43" s="76">
        <f t="shared" si="20"/>
        <v>801</v>
      </c>
      <c r="N43" s="76">
        <f t="shared" si="20"/>
        <v>915</v>
      </c>
      <c r="O43" s="76">
        <f t="shared" si="20"/>
        <v>458</v>
      </c>
      <c r="P43" s="76">
        <f t="shared" si="20"/>
        <v>686</v>
      </c>
      <c r="Q43" s="76">
        <f t="shared" si="20"/>
        <v>915</v>
      </c>
      <c r="R43" s="76">
        <f t="shared" si="20"/>
        <v>801</v>
      </c>
      <c r="S43" s="76">
        <f t="shared" si="20"/>
        <v>801</v>
      </c>
      <c r="T43" s="76">
        <f t="shared" si="20"/>
        <v>915</v>
      </c>
      <c r="U43" s="76">
        <f t="shared" si="20"/>
        <v>1030</v>
      </c>
      <c r="V43" s="76">
        <f t="shared" si="20"/>
        <v>1030</v>
      </c>
      <c r="W43" s="76">
        <f t="shared" si="20"/>
        <v>343</v>
      </c>
      <c r="X43" s="76">
        <f t="shared" si="20"/>
        <v>1030</v>
      </c>
      <c r="Y43" s="76">
        <f t="shared" si="20"/>
        <v>915</v>
      </c>
      <c r="Z43" s="76">
        <f t="shared" si="20"/>
        <v>915</v>
      </c>
      <c r="AA43" s="76">
        <f t="shared" si="20"/>
        <v>686</v>
      </c>
      <c r="AB43" s="76">
        <f t="shared" si="20"/>
        <v>915</v>
      </c>
      <c r="AC43" s="76">
        <f t="shared" si="20"/>
        <v>1030</v>
      </c>
      <c r="AD43" s="76">
        <f t="shared" si="20"/>
        <v>915</v>
      </c>
      <c r="AE43" s="76">
        <f t="shared" si="20"/>
        <v>915</v>
      </c>
      <c r="AF43" s="76">
        <f t="shared" si="20"/>
        <v>1144</v>
      </c>
      <c r="AG43" s="76">
        <f t="shared" si="20"/>
        <v>1373</v>
      </c>
      <c r="AH43" s="76">
        <f t="shared" si="20"/>
        <v>1144</v>
      </c>
      <c r="AI43" s="76">
        <f t="shared" si="20"/>
        <v>1144</v>
      </c>
      <c r="AJ43" s="76">
        <f t="shared" si="20"/>
        <v>1258</v>
      </c>
      <c r="AK43" s="76">
        <f t="shared" si="20"/>
        <v>1373</v>
      </c>
      <c r="AL43" s="76">
        <f t="shared" si="20"/>
        <v>915</v>
      </c>
      <c r="AM43" s="76">
        <f t="shared" si="20"/>
        <v>686</v>
      </c>
      <c r="AN43" s="76">
        <f t="shared" si="20"/>
        <v>1144</v>
      </c>
      <c r="AO43" s="76">
        <f t="shared" si="20"/>
        <v>1258</v>
      </c>
      <c r="AP43" s="76">
        <f t="shared" si="20"/>
        <v>1144</v>
      </c>
      <c r="AQ43" s="76">
        <f t="shared" si="20"/>
        <v>1258</v>
      </c>
      <c r="AR43" s="76">
        <f t="shared" si="20"/>
        <v>1144</v>
      </c>
      <c r="AS43" s="76">
        <f t="shared" si="20"/>
        <v>1373</v>
      </c>
      <c r="AT43" s="76">
        <f t="shared" si="20"/>
        <v>1144</v>
      </c>
      <c r="AU43" s="76">
        <f t="shared" si="20"/>
        <v>801</v>
      </c>
      <c r="AV43" s="76">
        <f t="shared" si="20"/>
        <v>1258</v>
      </c>
      <c r="AW43" s="76">
        <f t="shared" si="20"/>
        <v>1487</v>
      </c>
      <c r="AX43" s="76">
        <f t="shared" si="20"/>
        <v>1373</v>
      </c>
      <c r="AY43" s="76">
        <f t="shared" si="20"/>
        <v>801</v>
      </c>
    </row>
    <row r="44" ht="12.75" customHeight="1">
      <c r="A44" s="79"/>
      <c r="B44" s="76"/>
      <c r="C44" s="76" t="s">
        <v>87</v>
      </c>
      <c r="D44" s="76">
        <f t="shared" ref="D44:AY44" si="21">ROUND(SUM($D32:$AA32)*D$39,0)</f>
        <v>112</v>
      </c>
      <c r="E44" s="76">
        <f t="shared" si="21"/>
        <v>112</v>
      </c>
      <c r="F44" s="76">
        <f t="shared" si="21"/>
        <v>140</v>
      </c>
      <c r="G44" s="76">
        <f t="shared" si="21"/>
        <v>168</v>
      </c>
      <c r="H44" s="76">
        <f t="shared" si="21"/>
        <v>280</v>
      </c>
      <c r="I44" s="76">
        <f t="shared" si="21"/>
        <v>392</v>
      </c>
      <c r="J44" s="76">
        <f t="shared" si="21"/>
        <v>392</v>
      </c>
      <c r="K44" s="76">
        <f t="shared" si="21"/>
        <v>112</v>
      </c>
      <c r="L44" s="76">
        <f t="shared" si="21"/>
        <v>448</v>
      </c>
      <c r="M44" s="76">
        <f t="shared" si="21"/>
        <v>392</v>
      </c>
      <c r="N44" s="76">
        <f t="shared" si="21"/>
        <v>448</v>
      </c>
      <c r="O44" s="76">
        <f t="shared" si="21"/>
        <v>224</v>
      </c>
      <c r="P44" s="76">
        <f t="shared" si="21"/>
        <v>336</v>
      </c>
      <c r="Q44" s="76">
        <f t="shared" si="21"/>
        <v>448</v>
      </c>
      <c r="R44" s="76">
        <f t="shared" si="21"/>
        <v>392</v>
      </c>
      <c r="S44" s="76">
        <f t="shared" si="21"/>
        <v>392</v>
      </c>
      <c r="T44" s="76">
        <f t="shared" si="21"/>
        <v>448</v>
      </c>
      <c r="U44" s="76">
        <f t="shared" si="21"/>
        <v>504</v>
      </c>
      <c r="V44" s="76">
        <f t="shared" si="21"/>
        <v>504</v>
      </c>
      <c r="W44" s="76">
        <f t="shared" si="21"/>
        <v>168</v>
      </c>
      <c r="X44" s="76">
        <f t="shared" si="21"/>
        <v>504</v>
      </c>
      <c r="Y44" s="76">
        <f t="shared" si="21"/>
        <v>448</v>
      </c>
      <c r="Z44" s="76">
        <f t="shared" si="21"/>
        <v>448</v>
      </c>
      <c r="AA44" s="76">
        <f t="shared" si="21"/>
        <v>336</v>
      </c>
      <c r="AB44" s="76">
        <f t="shared" si="21"/>
        <v>448</v>
      </c>
      <c r="AC44" s="76">
        <f t="shared" si="21"/>
        <v>504</v>
      </c>
      <c r="AD44" s="76">
        <f t="shared" si="21"/>
        <v>448</v>
      </c>
      <c r="AE44" s="76">
        <f t="shared" si="21"/>
        <v>448</v>
      </c>
      <c r="AF44" s="76">
        <f t="shared" si="21"/>
        <v>560</v>
      </c>
      <c r="AG44" s="76">
        <f t="shared" si="21"/>
        <v>672</v>
      </c>
      <c r="AH44" s="76">
        <f t="shared" si="21"/>
        <v>560</v>
      </c>
      <c r="AI44" s="76">
        <f t="shared" si="21"/>
        <v>560</v>
      </c>
      <c r="AJ44" s="76">
        <f t="shared" si="21"/>
        <v>616</v>
      </c>
      <c r="AK44" s="76">
        <f t="shared" si="21"/>
        <v>672</v>
      </c>
      <c r="AL44" s="76">
        <f t="shared" si="21"/>
        <v>448</v>
      </c>
      <c r="AM44" s="76">
        <f t="shared" si="21"/>
        <v>336</v>
      </c>
      <c r="AN44" s="76">
        <f t="shared" si="21"/>
        <v>560</v>
      </c>
      <c r="AO44" s="76">
        <f t="shared" si="21"/>
        <v>616</v>
      </c>
      <c r="AP44" s="76">
        <f t="shared" si="21"/>
        <v>560</v>
      </c>
      <c r="AQ44" s="76">
        <f t="shared" si="21"/>
        <v>616</v>
      </c>
      <c r="AR44" s="76">
        <f t="shared" si="21"/>
        <v>560</v>
      </c>
      <c r="AS44" s="76">
        <f t="shared" si="21"/>
        <v>672</v>
      </c>
      <c r="AT44" s="76">
        <f t="shared" si="21"/>
        <v>560</v>
      </c>
      <c r="AU44" s="76">
        <f t="shared" si="21"/>
        <v>392</v>
      </c>
      <c r="AV44" s="76">
        <f t="shared" si="21"/>
        <v>616</v>
      </c>
      <c r="AW44" s="76">
        <f t="shared" si="21"/>
        <v>728</v>
      </c>
      <c r="AX44" s="76">
        <f t="shared" si="21"/>
        <v>672</v>
      </c>
      <c r="AY44" s="76">
        <f t="shared" si="21"/>
        <v>392</v>
      </c>
    </row>
    <row r="45" ht="12.75" customHeight="1">
      <c r="A45" s="79"/>
      <c r="B45" s="76"/>
      <c r="C45" s="76" t="s">
        <v>464</v>
      </c>
      <c r="D45" s="76">
        <f t="shared" ref="D45:AY45" si="22">ROUND(SUM($D33:$AA33)*D$39,0)</f>
        <v>107</v>
      </c>
      <c r="E45" s="76">
        <f t="shared" si="22"/>
        <v>107</v>
      </c>
      <c r="F45" s="76">
        <f t="shared" si="22"/>
        <v>134</v>
      </c>
      <c r="G45" s="76">
        <f t="shared" si="22"/>
        <v>161</v>
      </c>
      <c r="H45" s="76">
        <f t="shared" si="22"/>
        <v>268</v>
      </c>
      <c r="I45" s="76">
        <f t="shared" si="22"/>
        <v>375</v>
      </c>
      <c r="J45" s="76">
        <f t="shared" si="22"/>
        <v>375</v>
      </c>
      <c r="K45" s="76">
        <f t="shared" si="22"/>
        <v>107</v>
      </c>
      <c r="L45" s="76">
        <f t="shared" si="22"/>
        <v>429</v>
      </c>
      <c r="M45" s="76">
        <f t="shared" si="22"/>
        <v>375</v>
      </c>
      <c r="N45" s="76">
        <f t="shared" si="22"/>
        <v>429</v>
      </c>
      <c r="O45" s="76">
        <f t="shared" si="22"/>
        <v>214</v>
      </c>
      <c r="P45" s="76">
        <f t="shared" si="22"/>
        <v>322</v>
      </c>
      <c r="Q45" s="76">
        <f t="shared" si="22"/>
        <v>429</v>
      </c>
      <c r="R45" s="76">
        <f t="shared" si="22"/>
        <v>375</v>
      </c>
      <c r="S45" s="76">
        <f t="shared" si="22"/>
        <v>375</v>
      </c>
      <c r="T45" s="76">
        <f t="shared" si="22"/>
        <v>429</v>
      </c>
      <c r="U45" s="76">
        <f t="shared" si="22"/>
        <v>482</v>
      </c>
      <c r="V45" s="76">
        <f t="shared" si="22"/>
        <v>482</v>
      </c>
      <c r="W45" s="76">
        <f t="shared" si="22"/>
        <v>161</v>
      </c>
      <c r="X45" s="76">
        <f t="shared" si="22"/>
        <v>482</v>
      </c>
      <c r="Y45" s="76">
        <f t="shared" si="22"/>
        <v>429</v>
      </c>
      <c r="Z45" s="76">
        <f t="shared" si="22"/>
        <v>429</v>
      </c>
      <c r="AA45" s="76">
        <f t="shared" si="22"/>
        <v>322</v>
      </c>
      <c r="AB45" s="76">
        <f t="shared" si="22"/>
        <v>429</v>
      </c>
      <c r="AC45" s="76">
        <f t="shared" si="22"/>
        <v>482</v>
      </c>
      <c r="AD45" s="76">
        <f t="shared" si="22"/>
        <v>429</v>
      </c>
      <c r="AE45" s="76">
        <f t="shared" si="22"/>
        <v>429</v>
      </c>
      <c r="AF45" s="76">
        <f t="shared" si="22"/>
        <v>536</v>
      </c>
      <c r="AG45" s="76">
        <f t="shared" si="22"/>
        <v>643</v>
      </c>
      <c r="AH45" s="76">
        <f t="shared" si="22"/>
        <v>536</v>
      </c>
      <c r="AI45" s="76">
        <f t="shared" si="22"/>
        <v>536</v>
      </c>
      <c r="AJ45" s="76">
        <f t="shared" si="22"/>
        <v>590</v>
      </c>
      <c r="AK45" s="76">
        <f t="shared" si="22"/>
        <v>643</v>
      </c>
      <c r="AL45" s="76">
        <f t="shared" si="22"/>
        <v>429</v>
      </c>
      <c r="AM45" s="76">
        <f t="shared" si="22"/>
        <v>322</v>
      </c>
      <c r="AN45" s="76">
        <f t="shared" si="22"/>
        <v>536</v>
      </c>
      <c r="AO45" s="76">
        <f t="shared" si="22"/>
        <v>590</v>
      </c>
      <c r="AP45" s="76">
        <f t="shared" si="22"/>
        <v>536</v>
      </c>
      <c r="AQ45" s="76">
        <f t="shared" si="22"/>
        <v>590</v>
      </c>
      <c r="AR45" s="76">
        <f t="shared" si="22"/>
        <v>536</v>
      </c>
      <c r="AS45" s="76">
        <f t="shared" si="22"/>
        <v>643</v>
      </c>
      <c r="AT45" s="76">
        <f t="shared" si="22"/>
        <v>536</v>
      </c>
      <c r="AU45" s="76">
        <f t="shared" si="22"/>
        <v>375</v>
      </c>
      <c r="AV45" s="76">
        <f t="shared" si="22"/>
        <v>590</v>
      </c>
      <c r="AW45" s="76">
        <f t="shared" si="22"/>
        <v>697</v>
      </c>
      <c r="AX45" s="76">
        <f t="shared" si="22"/>
        <v>643</v>
      </c>
      <c r="AY45" s="76">
        <f t="shared" si="22"/>
        <v>375</v>
      </c>
    </row>
    <row r="46" ht="12.75" customHeight="1">
      <c r="A46" s="79"/>
      <c r="B46" s="76"/>
      <c r="D46" s="93">
        <f t="shared" ref="D46:AY46" si="23">SUM(D40:D45)</f>
        <v>1112</v>
      </c>
      <c r="E46" s="93">
        <f t="shared" si="23"/>
        <v>1112</v>
      </c>
      <c r="F46" s="93">
        <f t="shared" si="23"/>
        <v>1390</v>
      </c>
      <c r="G46" s="93">
        <f t="shared" si="23"/>
        <v>1668</v>
      </c>
      <c r="H46" s="93">
        <f t="shared" si="23"/>
        <v>2780</v>
      </c>
      <c r="I46" s="93">
        <f t="shared" si="23"/>
        <v>3892</v>
      </c>
      <c r="J46" s="93">
        <f t="shared" si="23"/>
        <v>3892</v>
      </c>
      <c r="K46" s="93">
        <f t="shared" si="23"/>
        <v>1112</v>
      </c>
      <c r="L46" s="93">
        <f t="shared" si="23"/>
        <v>4448</v>
      </c>
      <c r="M46" s="93">
        <f t="shared" si="23"/>
        <v>3892</v>
      </c>
      <c r="N46" s="93">
        <f t="shared" si="23"/>
        <v>4448</v>
      </c>
      <c r="O46" s="93">
        <f t="shared" si="23"/>
        <v>2223</v>
      </c>
      <c r="P46" s="93">
        <f t="shared" si="23"/>
        <v>3337</v>
      </c>
      <c r="Q46" s="93">
        <f t="shared" si="23"/>
        <v>4448</v>
      </c>
      <c r="R46" s="93">
        <f t="shared" si="23"/>
        <v>3892</v>
      </c>
      <c r="S46" s="93">
        <f t="shared" si="23"/>
        <v>3892</v>
      </c>
      <c r="T46" s="93">
        <f t="shared" si="23"/>
        <v>4448</v>
      </c>
      <c r="U46" s="93">
        <f t="shared" si="23"/>
        <v>5003</v>
      </c>
      <c r="V46" s="93">
        <f t="shared" si="23"/>
        <v>5003</v>
      </c>
      <c r="W46" s="93">
        <f t="shared" si="23"/>
        <v>1668</v>
      </c>
      <c r="X46" s="93">
        <f t="shared" si="23"/>
        <v>5003</v>
      </c>
      <c r="Y46" s="93">
        <f t="shared" si="23"/>
        <v>4448</v>
      </c>
      <c r="Z46" s="93">
        <f t="shared" si="23"/>
        <v>4448</v>
      </c>
      <c r="AA46" s="93">
        <f t="shared" si="23"/>
        <v>3337</v>
      </c>
      <c r="AB46" s="93">
        <f t="shared" si="23"/>
        <v>4448</v>
      </c>
      <c r="AC46" s="93">
        <f t="shared" si="23"/>
        <v>5003</v>
      </c>
      <c r="AD46" s="93">
        <f t="shared" si="23"/>
        <v>4448</v>
      </c>
      <c r="AE46" s="93">
        <f t="shared" si="23"/>
        <v>4448</v>
      </c>
      <c r="AF46" s="93">
        <f t="shared" si="23"/>
        <v>5560</v>
      </c>
      <c r="AG46" s="93">
        <f t="shared" si="23"/>
        <v>6672</v>
      </c>
      <c r="AH46" s="93">
        <f t="shared" si="23"/>
        <v>5560</v>
      </c>
      <c r="AI46" s="93">
        <f t="shared" si="23"/>
        <v>5560</v>
      </c>
      <c r="AJ46" s="93">
        <f t="shared" si="23"/>
        <v>6117</v>
      </c>
      <c r="AK46" s="93">
        <f t="shared" si="23"/>
        <v>6672</v>
      </c>
      <c r="AL46" s="93">
        <f t="shared" si="23"/>
        <v>4448</v>
      </c>
      <c r="AM46" s="93">
        <f t="shared" si="23"/>
        <v>3337</v>
      </c>
      <c r="AN46" s="93">
        <f t="shared" si="23"/>
        <v>5560</v>
      </c>
      <c r="AO46" s="93">
        <f t="shared" si="23"/>
        <v>6117</v>
      </c>
      <c r="AP46" s="93">
        <f t="shared" si="23"/>
        <v>5560</v>
      </c>
      <c r="AQ46" s="93">
        <f t="shared" si="23"/>
        <v>6117</v>
      </c>
      <c r="AR46" s="93">
        <f t="shared" si="23"/>
        <v>5560</v>
      </c>
      <c r="AS46" s="93">
        <f t="shared" si="23"/>
        <v>6672</v>
      </c>
      <c r="AT46" s="93">
        <f t="shared" si="23"/>
        <v>5560</v>
      </c>
      <c r="AU46" s="93">
        <f t="shared" si="23"/>
        <v>3892</v>
      </c>
      <c r="AV46" s="93">
        <f t="shared" si="23"/>
        <v>6117</v>
      </c>
      <c r="AW46" s="93">
        <f t="shared" si="23"/>
        <v>7228</v>
      </c>
      <c r="AX46" s="93">
        <f t="shared" si="23"/>
        <v>6672</v>
      </c>
      <c r="AY46" s="93">
        <f t="shared" si="23"/>
        <v>3892</v>
      </c>
    </row>
    <row r="47" ht="12.75" customHeight="1">
      <c r="A47" s="79"/>
      <c r="B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</row>
    <row r="48" ht="12.75" customHeight="1">
      <c r="A48" s="79"/>
      <c r="B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</row>
    <row r="49" ht="12.75" customHeight="1">
      <c r="A49" s="79"/>
      <c r="B49" s="76"/>
      <c r="C49" s="80" t="s">
        <v>163</v>
      </c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</row>
    <row r="50" ht="12.75" customHeight="1">
      <c r="A50" s="79"/>
      <c r="B50" s="76"/>
      <c r="C50" s="76"/>
      <c r="D50" s="76">
        <v>2024.0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>
        <v>2025.0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</row>
    <row r="51" ht="12.75" customHeight="1">
      <c r="A51" s="79"/>
      <c r="B51" s="76"/>
      <c r="C51" s="82" t="s">
        <v>159</v>
      </c>
      <c r="D51" s="76">
        <v>1.0</v>
      </c>
      <c r="E51" s="76">
        <v>2.0</v>
      </c>
      <c r="F51" s="76">
        <v>3.0</v>
      </c>
      <c r="G51" s="76">
        <v>4.0</v>
      </c>
      <c r="H51" s="76">
        <v>5.0</v>
      </c>
      <c r="I51" s="76">
        <v>6.0</v>
      </c>
      <c r="J51" s="76">
        <v>7.0</v>
      </c>
      <c r="K51" s="76">
        <v>8.0</v>
      </c>
      <c r="L51" s="76">
        <v>9.0</v>
      </c>
      <c r="M51" s="76">
        <v>10.0</v>
      </c>
      <c r="N51" s="76">
        <v>11.0</v>
      </c>
      <c r="O51" s="76">
        <v>12.0</v>
      </c>
      <c r="P51" s="76">
        <v>1.0</v>
      </c>
      <c r="Q51" s="76">
        <v>2.0</v>
      </c>
      <c r="R51" s="76">
        <v>3.0</v>
      </c>
      <c r="S51" s="76">
        <v>4.0</v>
      </c>
      <c r="T51" s="76">
        <v>5.0</v>
      </c>
      <c r="U51" s="76">
        <v>6.0</v>
      </c>
      <c r="V51" s="76">
        <v>7.0</v>
      </c>
      <c r="W51" s="76">
        <v>8.0</v>
      </c>
      <c r="X51" s="76">
        <v>9.0</v>
      </c>
      <c r="Y51" s="76">
        <v>10.0</v>
      </c>
      <c r="Z51" s="76">
        <v>11.0</v>
      </c>
      <c r="AA51" s="76">
        <v>12.0</v>
      </c>
      <c r="AB51" s="76">
        <v>1.0</v>
      </c>
      <c r="AC51" s="76">
        <v>2.0</v>
      </c>
      <c r="AD51" s="76">
        <v>3.0</v>
      </c>
      <c r="AE51" s="76">
        <v>4.0</v>
      </c>
      <c r="AF51" s="76">
        <v>5.0</v>
      </c>
      <c r="AG51" s="76">
        <v>6.0</v>
      </c>
      <c r="AH51" s="76">
        <v>7.0</v>
      </c>
      <c r="AI51" s="76">
        <v>8.0</v>
      </c>
      <c r="AJ51" s="76">
        <v>9.0</v>
      </c>
      <c r="AK51" s="76">
        <v>10.0</v>
      </c>
      <c r="AL51" s="76">
        <v>11.0</v>
      </c>
      <c r="AM51" s="76">
        <v>12.0</v>
      </c>
      <c r="AN51" s="76">
        <v>1.0</v>
      </c>
      <c r="AO51" s="76">
        <v>2.0</v>
      </c>
      <c r="AP51" s="76">
        <v>3.0</v>
      </c>
      <c r="AQ51" s="76">
        <v>4.0</v>
      </c>
      <c r="AR51" s="76">
        <v>5.0</v>
      </c>
      <c r="AS51" s="76">
        <v>6.0</v>
      </c>
      <c r="AT51" s="76">
        <v>7.0</v>
      </c>
      <c r="AU51" s="76">
        <v>8.0</v>
      </c>
      <c r="AV51" s="76">
        <v>9.0</v>
      </c>
      <c r="AW51" s="76">
        <v>10.0</v>
      </c>
      <c r="AX51" s="76">
        <v>11.0</v>
      </c>
      <c r="AY51" s="76">
        <v>12.0</v>
      </c>
    </row>
    <row r="52" ht="12.75" customHeight="1">
      <c r="A52" s="79"/>
      <c r="B52" s="76"/>
      <c r="C52" s="82" t="s">
        <v>164</v>
      </c>
      <c r="D52" s="107">
        <f t="shared" ref="D52:AY52" si="24">D53/24</f>
        <v>512.5909091</v>
      </c>
      <c r="E52" s="107">
        <f t="shared" si="24"/>
        <v>512.5909091</v>
      </c>
      <c r="F52" s="107">
        <f t="shared" si="24"/>
        <v>640.4507576</v>
      </c>
      <c r="G52" s="107">
        <f t="shared" si="24"/>
        <v>768.3106061</v>
      </c>
      <c r="H52" s="107">
        <f t="shared" si="24"/>
        <v>1280.901515</v>
      </c>
      <c r="I52" s="107">
        <f t="shared" si="24"/>
        <v>1793.492424</v>
      </c>
      <c r="J52" s="107">
        <f t="shared" si="24"/>
        <v>1793.492424</v>
      </c>
      <c r="K52" s="107">
        <f t="shared" si="24"/>
        <v>512.5909091</v>
      </c>
      <c r="L52" s="107">
        <f t="shared" si="24"/>
        <v>2049.212121</v>
      </c>
      <c r="M52" s="107">
        <f t="shared" si="24"/>
        <v>1793.492424</v>
      </c>
      <c r="N52" s="107">
        <f t="shared" si="24"/>
        <v>2049.212121</v>
      </c>
      <c r="O52" s="107">
        <f t="shared" si="24"/>
        <v>1024.651515</v>
      </c>
      <c r="P52" s="107">
        <f t="shared" si="24"/>
        <v>1537.151515</v>
      </c>
      <c r="Q52" s="107">
        <f t="shared" si="24"/>
        <v>2049.212121</v>
      </c>
      <c r="R52" s="107">
        <f t="shared" si="24"/>
        <v>1793.492424</v>
      </c>
      <c r="S52" s="107">
        <f t="shared" si="24"/>
        <v>1793.492424</v>
      </c>
      <c r="T52" s="107">
        <f t="shared" si="24"/>
        <v>2049.212121</v>
      </c>
      <c r="U52" s="107">
        <f t="shared" si="24"/>
        <v>2305.55303</v>
      </c>
      <c r="V52" s="107">
        <f t="shared" si="24"/>
        <v>2305.55303</v>
      </c>
      <c r="W52" s="107">
        <f t="shared" si="24"/>
        <v>768.3106061</v>
      </c>
      <c r="X52" s="107">
        <f t="shared" si="24"/>
        <v>2305.55303</v>
      </c>
      <c r="Y52" s="107">
        <f t="shared" si="24"/>
        <v>2049.212121</v>
      </c>
      <c r="Z52" s="107">
        <f t="shared" si="24"/>
        <v>2049.212121</v>
      </c>
      <c r="AA52" s="107">
        <f t="shared" si="24"/>
        <v>1537.151515</v>
      </c>
      <c r="AB52" s="107">
        <f t="shared" si="24"/>
        <v>2049.212121</v>
      </c>
      <c r="AC52" s="107">
        <f t="shared" si="24"/>
        <v>2305.55303</v>
      </c>
      <c r="AD52" s="107">
        <f t="shared" si="24"/>
        <v>2049.212121</v>
      </c>
      <c r="AE52" s="107">
        <f t="shared" si="24"/>
        <v>2049.212121</v>
      </c>
      <c r="AF52" s="107">
        <f t="shared" si="24"/>
        <v>2561.80303</v>
      </c>
      <c r="AG52" s="107">
        <f t="shared" si="24"/>
        <v>3074.393939</v>
      </c>
      <c r="AH52" s="107">
        <f t="shared" si="24"/>
        <v>2561.80303</v>
      </c>
      <c r="AI52" s="107">
        <f t="shared" si="24"/>
        <v>2561.80303</v>
      </c>
      <c r="AJ52" s="107">
        <f t="shared" si="24"/>
        <v>2818.05303</v>
      </c>
      <c r="AK52" s="107">
        <f t="shared" si="24"/>
        <v>3074.393939</v>
      </c>
      <c r="AL52" s="107">
        <f t="shared" si="24"/>
        <v>2049.212121</v>
      </c>
      <c r="AM52" s="107">
        <f t="shared" si="24"/>
        <v>1537.151515</v>
      </c>
      <c r="AN52" s="107">
        <f t="shared" si="24"/>
        <v>2561.80303</v>
      </c>
      <c r="AO52" s="107">
        <f t="shared" si="24"/>
        <v>2818.05303</v>
      </c>
      <c r="AP52" s="107">
        <f t="shared" si="24"/>
        <v>2561.80303</v>
      </c>
      <c r="AQ52" s="107">
        <f t="shared" si="24"/>
        <v>2818.05303</v>
      </c>
      <c r="AR52" s="107">
        <f t="shared" si="24"/>
        <v>2561.80303</v>
      </c>
      <c r="AS52" s="107">
        <f t="shared" si="24"/>
        <v>3074.393939</v>
      </c>
      <c r="AT52" s="107">
        <f t="shared" si="24"/>
        <v>2561.80303</v>
      </c>
      <c r="AU52" s="107">
        <f t="shared" si="24"/>
        <v>1793.492424</v>
      </c>
      <c r="AV52" s="107">
        <f t="shared" si="24"/>
        <v>2818.05303</v>
      </c>
      <c r="AW52" s="107">
        <f t="shared" si="24"/>
        <v>3330.113636</v>
      </c>
      <c r="AX52" s="107">
        <f t="shared" si="24"/>
        <v>3074.393939</v>
      </c>
      <c r="AY52" s="107">
        <f t="shared" si="24"/>
        <v>1793.492424</v>
      </c>
    </row>
    <row r="53" ht="12.75" customHeight="1">
      <c r="A53" s="79"/>
      <c r="B53" s="76"/>
      <c r="C53" s="82" t="s">
        <v>165</v>
      </c>
      <c r="D53" s="108">
        <f t="shared" ref="D53:AY53" si="25">SUM(D54:D59)</f>
        <v>12302.18182</v>
      </c>
      <c r="E53" s="108">
        <f t="shared" si="25"/>
        <v>12302.18182</v>
      </c>
      <c r="F53" s="108">
        <f t="shared" si="25"/>
        <v>15370.81818</v>
      </c>
      <c r="G53" s="108">
        <f t="shared" si="25"/>
        <v>18439.45455</v>
      </c>
      <c r="H53" s="108">
        <f t="shared" si="25"/>
        <v>30741.63636</v>
      </c>
      <c r="I53" s="108">
        <f t="shared" si="25"/>
        <v>43043.81818</v>
      </c>
      <c r="J53" s="108">
        <f t="shared" si="25"/>
        <v>43043.81818</v>
      </c>
      <c r="K53" s="108">
        <f t="shared" si="25"/>
        <v>12302.18182</v>
      </c>
      <c r="L53" s="108">
        <f t="shared" si="25"/>
        <v>49181.09091</v>
      </c>
      <c r="M53" s="108">
        <f t="shared" si="25"/>
        <v>43043.81818</v>
      </c>
      <c r="N53" s="108">
        <f t="shared" si="25"/>
        <v>49181.09091</v>
      </c>
      <c r="O53" s="108">
        <f t="shared" si="25"/>
        <v>24591.63636</v>
      </c>
      <c r="P53" s="109">
        <f t="shared" si="25"/>
        <v>36891.63636</v>
      </c>
      <c r="Q53" s="109">
        <f t="shared" si="25"/>
        <v>49181.09091</v>
      </c>
      <c r="R53" s="109">
        <f t="shared" si="25"/>
        <v>43043.81818</v>
      </c>
      <c r="S53" s="109">
        <f t="shared" si="25"/>
        <v>43043.81818</v>
      </c>
      <c r="T53" s="109">
        <f t="shared" si="25"/>
        <v>49181.09091</v>
      </c>
      <c r="U53" s="109">
        <f t="shared" si="25"/>
        <v>55333.27273</v>
      </c>
      <c r="V53" s="109">
        <f t="shared" si="25"/>
        <v>55333.27273</v>
      </c>
      <c r="W53" s="109">
        <f t="shared" si="25"/>
        <v>18439.45455</v>
      </c>
      <c r="X53" s="109">
        <f t="shared" si="25"/>
        <v>55333.27273</v>
      </c>
      <c r="Y53" s="109">
        <f t="shared" si="25"/>
        <v>49181.09091</v>
      </c>
      <c r="Z53" s="109">
        <f t="shared" si="25"/>
        <v>49181.09091</v>
      </c>
      <c r="AA53" s="109">
        <f t="shared" si="25"/>
        <v>36891.63636</v>
      </c>
      <c r="AB53" s="108">
        <f t="shared" si="25"/>
        <v>49181.09091</v>
      </c>
      <c r="AC53" s="108">
        <f t="shared" si="25"/>
        <v>55333.27273</v>
      </c>
      <c r="AD53" s="108">
        <f t="shared" si="25"/>
        <v>49181.09091</v>
      </c>
      <c r="AE53" s="108">
        <f t="shared" si="25"/>
        <v>49181.09091</v>
      </c>
      <c r="AF53" s="108">
        <f t="shared" si="25"/>
        <v>61483.27273</v>
      </c>
      <c r="AG53" s="108">
        <f t="shared" si="25"/>
        <v>73785.45455</v>
      </c>
      <c r="AH53" s="108">
        <f t="shared" si="25"/>
        <v>61483.27273</v>
      </c>
      <c r="AI53" s="108">
        <f t="shared" si="25"/>
        <v>61483.27273</v>
      </c>
      <c r="AJ53" s="108">
        <f t="shared" si="25"/>
        <v>67633.27273</v>
      </c>
      <c r="AK53" s="108">
        <f t="shared" si="25"/>
        <v>73785.45455</v>
      </c>
      <c r="AL53" s="108">
        <f t="shared" si="25"/>
        <v>49181.09091</v>
      </c>
      <c r="AM53" s="108">
        <f t="shared" si="25"/>
        <v>36891.63636</v>
      </c>
      <c r="AN53" s="108">
        <f t="shared" si="25"/>
        <v>61483.27273</v>
      </c>
      <c r="AO53" s="108">
        <f t="shared" si="25"/>
        <v>67633.27273</v>
      </c>
      <c r="AP53" s="108">
        <f t="shared" si="25"/>
        <v>61483.27273</v>
      </c>
      <c r="AQ53" s="108">
        <f t="shared" si="25"/>
        <v>67633.27273</v>
      </c>
      <c r="AR53" s="108">
        <f t="shared" si="25"/>
        <v>61483.27273</v>
      </c>
      <c r="AS53" s="108">
        <f t="shared" si="25"/>
        <v>73785.45455</v>
      </c>
      <c r="AT53" s="108">
        <f t="shared" si="25"/>
        <v>61483.27273</v>
      </c>
      <c r="AU53" s="108">
        <f t="shared" si="25"/>
        <v>43043.81818</v>
      </c>
      <c r="AV53" s="108">
        <f t="shared" si="25"/>
        <v>67633.27273</v>
      </c>
      <c r="AW53" s="108">
        <f t="shared" si="25"/>
        <v>79922.72727</v>
      </c>
      <c r="AX53" s="108">
        <f t="shared" si="25"/>
        <v>73785.45455</v>
      </c>
      <c r="AY53" s="108">
        <f t="shared" si="25"/>
        <v>43043.81818</v>
      </c>
    </row>
    <row r="54" ht="12.75" customHeight="1">
      <c r="A54" s="79"/>
      <c r="B54" s="595">
        <f>UNIT_PRICE_CLIENT_A</f>
        <v>5</v>
      </c>
      <c r="C54" s="76" t="s">
        <v>148</v>
      </c>
      <c r="D54" s="76">
        <f t="shared" ref="D54:AY54" si="26">D40*$B54</f>
        <v>895</v>
      </c>
      <c r="E54" s="76">
        <f t="shared" si="26"/>
        <v>895</v>
      </c>
      <c r="F54" s="76">
        <f t="shared" si="26"/>
        <v>1120</v>
      </c>
      <c r="G54" s="76">
        <f t="shared" si="26"/>
        <v>1345</v>
      </c>
      <c r="H54" s="76">
        <f t="shared" si="26"/>
        <v>2240</v>
      </c>
      <c r="I54" s="76">
        <f t="shared" si="26"/>
        <v>3135</v>
      </c>
      <c r="J54" s="76">
        <f t="shared" si="26"/>
        <v>3135</v>
      </c>
      <c r="K54" s="76">
        <f t="shared" si="26"/>
        <v>895</v>
      </c>
      <c r="L54" s="76">
        <f t="shared" si="26"/>
        <v>3585</v>
      </c>
      <c r="M54" s="76">
        <f t="shared" si="26"/>
        <v>3135</v>
      </c>
      <c r="N54" s="76">
        <f t="shared" si="26"/>
        <v>3585</v>
      </c>
      <c r="O54" s="76">
        <f t="shared" si="26"/>
        <v>1790</v>
      </c>
      <c r="P54" s="76">
        <f t="shared" si="26"/>
        <v>2690</v>
      </c>
      <c r="Q54" s="76">
        <f t="shared" si="26"/>
        <v>3585</v>
      </c>
      <c r="R54" s="76">
        <f t="shared" si="26"/>
        <v>3135</v>
      </c>
      <c r="S54" s="76">
        <f t="shared" si="26"/>
        <v>3135</v>
      </c>
      <c r="T54" s="76">
        <f t="shared" si="26"/>
        <v>3585</v>
      </c>
      <c r="U54" s="76">
        <f t="shared" si="26"/>
        <v>4030</v>
      </c>
      <c r="V54" s="76">
        <f t="shared" si="26"/>
        <v>4030</v>
      </c>
      <c r="W54" s="76">
        <f t="shared" si="26"/>
        <v>1345</v>
      </c>
      <c r="X54" s="76">
        <f t="shared" si="26"/>
        <v>4030</v>
      </c>
      <c r="Y54" s="76">
        <f t="shared" si="26"/>
        <v>3585</v>
      </c>
      <c r="Z54" s="76">
        <f t="shared" si="26"/>
        <v>3585</v>
      </c>
      <c r="AA54" s="76">
        <f t="shared" si="26"/>
        <v>2690</v>
      </c>
      <c r="AB54" s="76">
        <f t="shared" si="26"/>
        <v>3585</v>
      </c>
      <c r="AC54" s="76">
        <f t="shared" si="26"/>
        <v>4030</v>
      </c>
      <c r="AD54" s="76">
        <f t="shared" si="26"/>
        <v>3585</v>
      </c>
      <c r="AE54" s="76">
        <f t="shared" si="26"/>
        <v>3585</v>
      </c>
      <c r="AF54" s="76">
        <f t="shared" si="26"/>
        <v>4480</v>
      </c>
      <c r="AG54" s="76">
        <f t="shared" si="26"/>
        <v>5375</v>
      </c>
      <c r="AH54" s="76">
        <f t="shared" si="26"/>
        <v>4480</v>
      </c>
      <c r="AI54" s="76">
        <f t="shared" si="26"/>
        <v>4480</v>
      </c>
      <c r="AJ54" s="76">
        <f t="shared" si="26"/>
        <v>4930</v>
      </c>
      <c r="AK54" s="76">
        <f t="shared" si="26"/>
        <v>5375</v>
      </c>
      <c r="AL54" s="76">
        <f t="shared" si="26"/>
        <v>3585</v>
      </c>
      <c r="AM54" s="76">
        <f t="shared" si="26"/>
        <v>2690</v>
      </c>
      <c r="AN54" s="76">
        <f t="shared" si="26"/>
        <v>4480</v>
      </c>
      <c r="AO54" s="76">
        <f t="shared" si="26"/>
        <v>4930</v>
      </c>
      <c r="AP54" s="76">
        <f t="shared" si="26"/>
        <v>4480</v>
      </c>
      <c r="AQ54" s="76">
        <f t="shared" si="26"/>
        <v>4930</v>
      </c>
      <c r="AR54" s="76">
        <f t="shared" si="26"/>
        <v>4480</v>
      </c>
      <c r="AS54" s="76">
        <f t="shared" si="26"/>
        <v>5375</v>
      </c>
      <c r="AT54" s="76">
        <f t="shared" si="26"/>
        <v>4480</v>
      </c>
      <c r="AU54" s="76">
        <f t="shared" si="26"/>
        <v>3135</v>
      </c>
      <c r="AV54" s="76">
        <f t="shared" si="26"/>
        <v>4930</v>
      </c>
      <c r="AW54" s="76">
        <f t="shared" si="26"/>
        <v>5825</v>
      </c>
      <c r="AX54" s="76">
        <f t="shared" si="26"/>
        <v>5375</v>
      </c>
      <c r="AY54" s="76">
        <f t="shared" si="26"/>
        <v>3135</v>
      </c>
    </row>
    <row r="55" ht="12.75" customHeight="1">
      <c r="A55" s="79"/>
      <c r="B55" s="595">
        <f>UNIT_PRICE_CLIENT_B</f>
        <v>9.181818182</v>
      </c>
      <c r="C55" s="76" t="s">
        <v>76</v>
      </c>
      <c r="D55" s="76">
        <f t="shared" ref="D55:AY55" si="27">D41*$B55</f>
        <v>2121</v>
      </c>
      <c r="E55" s="76">
        <f t="shared" si="27"/>
        <v>2121</v>
      </c>
      <c r="F55" s="76">
        <f t="shared" si="27"/>
        <v>2653.545455</v>
      </c>
      <c r="G55" s="76">
        <f t="shared" si="27"/>
        <v>3186.090909</v>
      </c>
      <c r="H55" s="76">
        <f t="shared" si="27"/>
        <v>5307.090909</v>
      </c>
      <c r="I55" s="76">
        <f t="shared" si="27"/>
        <v>7428.090909</v>
      </c>
      <c r="J55" s="76">
        <f t="shared" si="27"/>
        <v>7428.090909</v>
      </c>
      <c r="K55" s="76">
        <f t="shared" si="27"/>
        <v>2121</v>
      </c>
      <c r="L55" s="76">
        <f t="shared" si="27"/>
        <v>8493.181818</v>
      </c>
      <c r="M55" s="76">
        <f t="shared" si="27"/>
        <v>7428.090909</v>
      </c>
      <c r="N55" s="76">
        <f t="shared" si="27"/>
        <v>8493.181818</v>
      </c>
      <c r="O55" s="76">
        <f t="shared" si="27"/>
        <v>4242</v>
      </c>
      <c r="P55" s="76">
        <f t="shared" si="27"/>
        <v>6372.181818</v>
      </c>
      <c r="Q55" s="76">
        <f t="shared" si="27"/>
        <v>8493.181818</v>
      </c>
      <c r="R55" s="76">
        <f t="shared" si="27"/>
        <v>7428.090909</v>
      </c>
      <c r="S55" s="76">
        <f t="shared" si="27"/>
        <v>7428.090909</v>
      </c>
      <c r="T55" s="76">
        <f t="shared" si="27"/>
        <v>8493.181818</v>
      </c>
      <c r="U55" s="76">
        <f t="shared" si="27"/>
        <v>9549.090909</v>
      </c>
      <c r="V55" s="76">
        <f t="shared" si="27"/>
        <v>9549.090909</v>
      </c>
      <c r="W55" s="76">
        <f t="shared" si="27"/>
        <v>3186.090909</v>
      </c>
      <c r="X55" s="76">
        <f t="shared" si="27"/>
        <v>9549.090909</v>
      </c>
      <c r="Y55" s="76">
        <f t="shared" si="27"/>
        <v>8493.181818</v>
      </c>
      <c r="Z55" s="76">
        <f t="shared" si="27"/>
        <v>8493.181818</v>
      </c>
      <c r="AA55" s="76">
        <f t="shared" si="27"/>
        <v>6372.181818</v>
      </c>
      <c r="AB55" s="76">
        <f t="shared" si="27"/>
        <v>8493.181818</v>
      </c>
      <c r="AC55" s="76">
        <f t="shared" si="27"/>
        <v>9549.090909</v>
      </c>
      <c r="AD55" s="76">
        <f t="shared" si="27"/>
        <v>8493.181818</v>
      </c>
      <c r="AE55" s="76">
        <f t="shared" si="27"/>
        <v>8493.181818</v>
      </c>
      <c r="AF55" s="76">
        <f t="shared" si="27"/>
        <v>10614.18182</v>
      </c>
      <c r="AG55" s="76">
        <f t="shared" si="27"/>
        <v>12735.18182</v>
      </c>
      <c r="AH55" s="76">
        <f t="shared" si="27"/>
        <v>10614.18182</v>
      </c>
      <c r="AI55" s="76">
        <f t="shared" si="27"/>
        <v>10614.18182</v>
      </c>
      <c r="AJ55" s="76">
        <f t="shared" si="27"/>
        <v>11679.27273</v>
      </c>
      <c r="AK55" s="76">
        <f t="shared" si="27"/>
        <v>12735.18182</v>
      </c>
      <c r="AL55" s="76">
        <f t="shared" si="27"/>
        <v>8493.181818</v>
      </c>
      <c r="AM55" s="76">
        <f t="shared" si="27"/>
        <v>6372.181818</v>
      </c>
      <c r="AN55" s="76">
        <f t="shared" si="27"/>
        <v>10614.18182</v>
      </c>
      <c r="AO55" s="76">
        <f t="shared" si="27"/>
        <v>11679.27273</v>
      </c>
      <c r="AP55" s="76">
        <f t="shared" si="27"/>
        <v>10614.18182</v>
      </c>
      <c r="AQ55" s="76">
        <f t="shared" si="27"/>
        <v>11679.27273</v>
      </c>
      <c r="AR55" s="76">
        <f t="shared" si="27"/>
        <v>10614.18182</v>
      </c>
      <c r="AS55" s="76">
        <f t="shared" si="27"/>
        <v>12735.18182</v>
      </c>
      <c r="AT55" s="76">
        <f t="shared" si="27"/>
        <v>10614.18182</v>
      </c>
      <c r="AU55" s="76">
        <f t="shared" si="27"/>
        <v>7428.090909</v>
      </c>
      <c r="AV55" s="76">
        <f t="shared" si="27"/>
        <v>11679.27273</v>
      </c>
      <c r="AW55" s="76">
        <f t="shared" si="27"/>
        <v>13800.27273</v>
      </c>
      <c r="AX55" s="76">
        <f t="shared" si="27"/>
        <v>12735.18182</v>
      </c>
      <c r="AY55" s="76">
        <f t="shared" si="27"/>
        <v>7428.090909</v>
      </c>
    </row>
    <row r="56" ht="12.75" customHeight="1">
      <c r="A56" s="79"/>
      <c r="B56" s="595">
        <f>UNIT_PRICE_CLIENT_C</f>
        <v>12.72727273</v>
      </c>
      <c r="C56" s="76" t="s">
        <v>80</v>
      </c>
      <c r="D56" s="76">
        <f t="shared" ref="D56:AY56" si="28">D42*$B56</f>
        <v>3232.727273</v>
      </c>
      <c r="E56" s="76">
        <f t="shared" si="28"/>
        <v>3232.727273</v>
      </c>
      <c r="F56" s="76">
        <f t="shared" si="28"/>
        <v>4034.545455</v>
      </c>
      <c r="G56" s="76">
        <f t="shared" si="28"/>
        <v>4836.363636</v>
      </c>
      <c r="H56" s="76">
        <f t="shared" si="28"/>
        <v>8069.090909</v>
      </c>
      <c r="I56" s="76">
        <f t="shared" si="28"/>
        <v>11301.81818</v>
      </c>
      <c r="J56" s="76">
        <f t="shared" si="28"/>
        <v>11301.81818</v>
      </c>
      <c r="K56" s="76">
        <f t="shared" si="28"/>
        <v>3232.727273</v>
      </c>
      <c r="L56" s="76">
        <f t="shared" si="28"/>
        <v>12905.45455</v>
      </c>
      <c r="M56" s="76">
        <f t="shared" si="28"/>
        <v>11301.81818</v>
      </c>
      <c r="N56" s="76">
        <f t="shared" si="28"/>
        <v>12905.45455</v>
      </c>
      <c r="O56" s="76">
        <f t="shared" si="28"/>
        <v>6452.727273</v>
      </c>
      <c r="P56" s="76">
        <f t="shared" si="28"/>
        <v>9685.454545</v>
      </c>
      <c r="Q56" s="76">
        <f t="shared" si="28"/>
        <v>12905.45455</v>
      </c>
      <c r="R56" s="76">
        <f t="shared" si="28"/>
        <v>11301.81818</v>
      </c>
      <c r="S56" s="76">
        <f t="shared" si="28"/>
        <v>11301.81818</v>
      </c>
      <c r="T56" s="76">
        <f t="shared" si="28"/>
        <v>12905.45455</v>
      </c>
      <c r="U56" s="76">
        <f t="shared" si="28"/>
        <v>14521.81818</v>
      </c>
      <c r="V56" s="76">
        <f t="shared" si="28"/>
        <v>14521.81818</v>
      </c>
      <c r="W56" s="76">
        <f t="shared" si="28"/>
        <v>4836.363636</v>
      </c>
      <c r="X56" s="76">
        <f t="shared" si="28"/>
        <v>14521.81818</v>
      </c>
      <c r="Y56" s="76">
        <f t="shared" si="28"/>
        <v>12905.45455</v>
      </c>
      <c r="Z56" s="76">
        <f t="shared" si="28"/>
        <v>12905.45455</v>
      </c>
      <c r="AA56" s="76">
        <f t="shared" si="28"/>
        <v>9685.454545</v>
      </c>
      <c r="AB56" s="76">
        <f t="shared" si="28"/>
        <v>12905.45455</v>
      </c>
      <c r="AC56" s="76">
        <f t="shared" si="28"/>
        <v>14521.81818</v>
      </c>
      <c r="AD56" s="76">
        <f t="shared" si="28"/>
        <v>12905.45455</v>
      </c>
      <c r="AE56" s="76">
        <f t="shared" si="28"/>
        <v>12905.45455</v>
      </c>
      <c r="AF56" s="76">
        <f t="shared" si="28"/>
        <v>16138.18182</v>
      </c>
      <c r="AG56" s="76">
        <f t="shared" si="28"/>
        <v>19370.90909</v>
      </c>
      <c r="AH56" s="76">
        <f t="shared" si="28"/>
        <v>16138.18182</v>
      </c>
      <c r="AI56" s="76">
        <f t="shared" si="28"/>
        <v>16138.18182</v>
      </c>
      <c r="AJ56" s="76">
        <f t="shared" si="28"/>
        <v>17754.54545</v>
      </c>
      <c r="AK56" s="76">
        <f t="shared" si="28"/>
        <v>19370.90909</v>
      </c>
      <c r="AL56" s="76">
        <f t="shared" si="28"/>
        <v>12905.45455</v>
      </c>
      <c r="AM56" s="76">
        <f t="shared" si="28"/>
        <v>9685.454545</v>
      </c>
      <c r="AN56" s="76">
        <f t="shared" si="28"/>
        <v>16138.18182</v>
      </c>
      <c r="AO56" s="76">
        <f t="shared" si="28"/>
        <v>17754.54545</v>
      </c>
      <c r="AP56" s="76">
        <f t="shared" si="28"/>
        <v>16138.18182</v>
      </c>
      <c r="AQ56" s="76">
        <f t="shared" si="28"/>
        <v>17754.54545</v>
      </c>
      <c r="AR56" s="76">
        <f t="shared" si="28"/>
        <v>16138.18182</v>
      </c>
      <c r="AS56" s="76">
        <f t="shared" si="28"/>
        <v>19370.90909</v>
      </c>
      <c r="AT56" s="76">
        <f t="shared" si="28"/>
        <v>16138.18182</v>
      </c>
      <c r="AU56" s="76">
        <f t="shared" si="28"/>
        <v>11301.81818</v>
      </c>
      <c r="AV56" s="76">
        <f t="shared" si="28"/>
        <v>17754.54545</v>
      </c>
      <c r="AW56" s="76">
        <f t="shared" si="28"/>
        <v>20974.54545</v>
      </c>
      <c r="AX56" s="76">
        <f t="shared" si="28"/>
        <v>19370.90909</v>
      </c>
      <c r="AY56" s="76">
        <f t="shared" si="28"/>
        <v>11301.81818</v>
      </c>
    </row>
    <row r="57" ht="12.75" customHeight="1">
      <c r="A57" s="79"/>
      <c r="B57" s="595">
        <f>UNIT_PRICE_CLIENT_D</f>
        <v>16.36363636</v>
      </c>
      <c r="C57" s="76" t="s">
        <v>83</v>
      </c>
      <c r="D57" s="76">
        <f t="shared" ref="D57:AY57" si="29">D43*$B57</f>
        <v>3747.272727</v>
      </c>
      <c r="E57" s="76">
        <f t="shared" si="29"/>
        <v>3747.272727</v>
      </c>
      <c r="F57" s="76">
        <f t="shared" si="29"/>
        <v>4680</v>
      </c>
      <c r="G57" s="76">
        <f t="shared" si="29"/>
        <v>5612.727273</v>
      </c>
      <c r="H57" s="76">
        <f t="shared" si="29"/>
        <v>9360</v>
      </c>
      <c r="I57" s="76">
        <f t="shared" si="29"/>
        <v>13107.27273</v>
      </c>
      <c r="J57" s="76">
        <f t="shared" si="29"/>
        <v>13107.27273</v>
      </c>
      <c r="K57" s="76">
        <f t="shared" si="29"/>
        <v>3747.272727</v>
      </c>
      <c r="L57" s="76">
        <f t="shared" si="29"/>
        <v>14972.72727</v>
      </c>
      <c r="M57" s="76">
        <f t="shared" si="29"/>
        <v>13107.27273</v>
      </c>
      <c r="N57" s="76">
        <f t="shared" si="29"/>
        <v>14972.72727</v>
      </c>
      <c r="O57" s="76">
        <f t="shared" si="29"/>
        <v>7494.545455</v>
      </c>
      <c r="P57" s="76">
        <f t="shared" si="29"/>
        <v>11225.45455</v>
      </c>
      <c r="Q57" s="76">
        <f t="shared" si="29"/>
        <v>14972.72727</v>
      </c>
      <c r="R57" s="76">
        <f t="shared" si="29"/>
        <v>13107.27273</v>
      </c>
      <c r="S57" s="76">
        <f t="shared" si="29"/>
        <v>13107.27273</v>
      </c>
      <c r="T57" s="76">
        <f t="shared" si="29"/>
        <v>14972.72727</v>
      </c>
      <c r="U57" s="76">
        <f t="shared" si="29"/>
        <v>16854.54545</v>
      </c>
      <c r="V57" s="76">
        <f t="shared" si="29"/>
        <v>16854.54545</v>
      </c>
      <c r="W57" s="76">
        <f t="shared" si="29"/>
        <v>5612.727273</v>
      </c>
      <c r="X57" s="76">
        <f t="shared" si="29"/>
        <v>16854.54545</v>
      </c>
      <c r="Y57" s="76">
        <f t="shared" si="29"/>
        <v>14972.72727</v>
      </c>
      <c r="Z57" s="76">
        <f t="shared" si="29"/>
        <v>14972.72727</v>
      </c>
      <c r="AA57" s="76">
        <f t="shared" si="29"/>
        <v>11225.45455</v>
      </c>
      <c r="AB57" s="76">
        <f t="shared" si="29"/>
        <v>14972.72727</v>
      </c>
      <c r="AC57" s="76">
        <f t="shared" si="29"/>
        <v>16854.54545</v>
      </c>
      <c r="AD57" s="76">
        <f t="shared" si="29"/>
        <v>14972.72727</v>
      </c>
      <c r="AE57" s="76">
        <f t="shared" si="29"/>
        <v>14972.72727</v>
      </c>
      <c r="AF57" s="76">
        <f t="shared" si="29"/>
        <v>18720</v>
      </c>
      <c r="AG57" s="76">
        <f t="shared" si="29"/>
        <v>22467.27273</v>
      </c>
      <c r="AH57" s="76">
        <f t="shared" si="29"/>
        <v>18720</v>
      </c>
      <c r="AI57" s="76">
        <f t="shared" si="29"/>
        <v>18720</v>
      </c>
      <c r="AJ57" s="76">
        <f t="shared" si="29"/>
        <v>20585.45455</v>
      </c>
      <c r="AK57" s="76">
        <f t="shared" si="29"/>
        <v>22467.27273</v>
      </c>
      <c r="AL57" s="76">
        <f t="shared" si="29"/>
        <v>14972.72727</v>
      </c>
      <c r="AM57" s="76">
        <f t="shared" si="29"/>
        <v>11225.45455</v>
      </c>
      <c r="AN57" s="76">
        <f t="shared" si="29"/>
        <v>18720</v>
      </c>
      <c r="AO57" s="76">
        <f t="shared" si="29"/>
        <v>20585.45455</v>
      </c>
      <c r="AP57" s="76">
        <f t="shared" si="29"/>
        <v>18720</v>
      </c>
      <c r="AQ57" s="76">
        <f t="shared" si="29"/>
        <v>20585.45455</v>
      </c>
      <c r="AR57" s="76">
        <f t="shared" si="29"/>
        <v>18720</v>
      </c>
      <c r="AS57" s="76">
        <f t="shared" si="29"/>
        <v>22467.27273</v>
      </c>
      <c r="AT57" s="76">
        <f t="shared" si="29"/>
        <v>18720</v>
      </c>
      <c r="AU57" s="76">
        <f t="shared" si="29"/>
        <v>13107.27273</v>
      </c>
      <c r="AV57" s="76">
        <f t="shared" si="29"/>
        <v>20585.45455</v>
      </c>
      <c r="AW57" s="76">
        <f t="shared" si="29"/>
        <v>24332.72727</v>
      </c>
      <c r="AX57" s="76">
        <f t="shared" si="29"/>
        <v>22467.27273</v>
      </c>
      <c r="AY57" s="76">
        <f t="shared" si="29"/>
        <v>13107.27273</v>
      </c>
    </row>
    <row r="58" ht="12.75" customHeight="1">
      <c r="A58" s="79"/>
      <c r="B58" s="595">
        <f>UNIT_PRICE_CLIENT_E</f>
        <v>20.59090909</v>
      </c>
      <c r="C58" s="76" t="s">
        <v>87</v>
      </c>
      <c r="D58" s="76">
        <f t="shared" ref="D58:AY58" si="30">D44*$B58</f>
        <v>2306.181818</v>
      </c>
      <c r="E58" s="76">
        <f t="shared" si="30"/>
        <v>2306.181818</v>
      </c>
      <c r="F58" s="76">
        <f t="shared" si="30"/>
        <v>2882.727273</v>
      </c>
      <c r="G58" s="76">
        <f t="shared" si="30"/>
        <v>3459.272727</v>
      </c>
      <c r="H58" s="76">
        <f t="shared" si="30"/>
        <v>5765.454545</v>
      </c>
      <c r="I58" s="76">
        <f t="shared" si="30"/>
        <v>8071.636364</v>
      </c>
      <c r="J58" s="76">
        <f t="shared" si="30"/>
        <v>8071.636364</v>
      </c>
      <c r="K58" s="76">
        <f t="shared" si="30"/>
        <v>2306.181818</v>
      </c>
      <c r="L58" s="76">
        <f t="shared" si="30"/>
        <v>9224.727273</v>
      </c>
      <c r="M58" s="76">
        <f t="shared" si="30"/>
        <v>8071.636364</v>
      </c>
      <c r="N58" s="76">
        <f t="shared" si="30"/>
        <v>9224.727273</v>
      </c>
      <c r="O58" s="76">
        <f t="shared" si="30"/>
        <v>4612.363636</v>
      </c>
      <c r="P58" s="76">
        <f t="shared" si="30"/>
        <v>6918.545455</v>
      </c>
      <c r="Q58" s="76">
        <f t="shared" si="30"/>
        <v>9224.727273</v>
      </c>
      <c r="R58" s="76">
        <f t="shared" si="30"/>
        <v>8071.636364</v>
      </c>
      <c r="S58" s="76">
        <f t="shared" si="30"/>
        <v>8071.636364</v>
      </c>
      <c r="T58" s="76">
        <f t="shared" si="30"/>
        <v>9224.727273</v>
      </c>
      <c r="U58" s="76">
        <f t="shared" si="30"/>
        <v>10377.81818</v>
      </c>
      <c r="V58" s="76">
        <f t="shared" si="30"/>
        <v>10377.81818</v>
      </c>
      <c r="W58" s="76">
        <f t="shared" si="30"/>
        <v>3459.272727</v>
      </c>
      <c r="X58" s="76">
        <f t="shared" si="30"/>
        <v>10377.81818</v>
      </c>
      <c r="Y58" s="76">
        <f t="shared" si="30"/>
        <v>9224.727273</v>
      </c>
      <c r="Z58" s="76">
        <f t="shared" si="30"/>
        <v>9224.727273</v>
      </c>
      <c r="AA58" s="76">
        <f t="shared" si="30"/>
        <v>6918.545455</v>
      </c>
      <c r="AB58" s="76">
        <f t="shared" si="30"/>
        <v>9224.727273</v>
      </c>
      <c r="AC58" s="76">
        <f t="shared" si="30"/>
        <v>10377.81818</v>
      </c>
      <c r="AD58" s="76">
        <f t="shared" si="30"/>
        <v>9224.727273</v>
      </c>
      <c r="AE58" s="76">
        <f t="shared" si="30"/>
        <v>9224.727273</v>
      </c>
      <c r="AF58" s="76">
        <f t="shared" si="30"/>
        <v>11530.90909</v>
      </c>
      <c r="AG58" s="76">
        <f t="shared" si="30"/>
        <v>13837.09091</v>
      </c>
      <c r="AH58" s="76">
        <f t="shared" si="30"/>
        <v>11530.90909</v>
      </c>
      <c r="AI58" s="76">
        <f t="shared" si="30"/>
        <v>11530.90909</v>
      </c>
      <c r="AJ58" s="76">
        <f t="shared" si="30"/>
        <v>12684</v>
      </c>
      <c r="AK58" s="76">
        <f t="shared" si="30"/>
        <v>13837.09091</v>
      </c>
      <c r="AL58" s="76">
        <f t="shared" si="30"/>
        <v>9224.727273</v>
      </c>
      <c r="AM58" s="76">
        <f t="shared" si="30"/>
        <v>6918.545455</v>
      </c>
      <c r="AN58" s="76">
        <f t="shared" si="30"/>
        <v>11530.90909</v>
      </c>
      <c r="AO58" s="76">
        <f t="shared" si="30"/>
        <v>12684</v>
      </c>
      <c r="AP58" s="76">
        <f t="shared" si="30"/>
        <v>11530.90909</v>
      </c>
      <c r="AQ58" s="76">
        <f t="shared" si="30"/>
        <v>12684</v>
      </c>
      <c r="AR58" s="76">
        <f t="shared" si="30"/>
        <v>11530.90909</v>
      </c>
      <c r="AS58" s="76">
        <f t="shared" si="30"/>
        <v>13837.09091</v>
      </c>
      <c r="AT58" s="76">
        <f t="shared" si="30"/>
        <v>11530.90909</v>
      </c>
      <c r="AU58" s="76">
        <f t="shared" si="30"/>
        <v>8071.636364</v>
      </c>
      <c r="AV58" s="76">
        <f t="shared" si="30"/>
        <v>12684</v>
      </c>
      <c r="AW58" s="76">
        <f t="shared" si="30"/>
        <v>14990.18182</v>
      </c>
      <c r="AX58" s="76">
        <f t="shared" si="30"/>
        <v>13837.09091</v>
      </c>
      <c r="AY58" s="76">
        <f t="shared" si="30"/>
        <v>8071.636364</v>
      </c>
    </row>
    <row r="59" ht="12.75" customHeight="1">
      <c r="A59" s="79"/>
      <c r="B59" s="595">
        <f>UNIT_PRICE_CLIENT_F</f>
        <v>0</v>
      </c>
      <c r="C59" s="76" t="s">
        <v>464</v>
      </c>
      <c r="D59" s="76">
        <f t="shared" ref="D59:AY59" si="31">D45*$B59</f>
        <v>0</v>
      </c>
      <c r="E59" s="76">
        <f t="shared" si="31"/>
        <v>0</v>
      </c>
      <c r="F59" s="76">
        <f t="shared" si="31"/>
        <v>0</v>
      </c>
      <c r="G59" s="76">
        <f t="shared" si="31"/>
        <v>0</v>
      </c>
      <c r="H59" s="76">
        <f t="shared" si="31"/>
        <v>0</v>
      </c>
      <c r="I59" s="76">
        <f t="shared" si="31"/>
        <v>0</v>
      </c>
      <c r="J59" s="76">
        <f t="shared" si="31"/>
        <v>0</v>
      </c>
      <c r="K59" s="76">
        <f t="shared" si="31"/>
        <v>0</v>
      </c>
      <c r="L59" s="76">
        <f t="shared" si="31"/>
        <v>0</v>
      </c>
      <c r="M59" s="76">
        <f t="shared" si="31"/>
        <v>0</v>
      </c>
      <c r="N59" s="76">
        <f t="shared" si="31"/>
        <v>0</v>
      </c>
      <c r="O59" s="76">
        <f t="shared" si="31"/>
        <v>0</v>
      </c>
      <c r="P59" s="76">
        <f t="shared" si="31"/>
        <v>0</v>
      </c>
      <c r="Q59" s="76">
        <f t="shared" si="31"/>
        <v>0</v>
      </c>
      <c r="R59" s="76">
        <f t="shared" si="31"/>
        <v>0</v>
      </c>
      <c r="S59" s="76">
        <f t="shared" si="31"/>
        <v>0</v>
      </c>
      <c r="T59" s="76">
        <f t="shared" si="31"/>
        <v>0</v>
      </c>
      <c r="U59" s="76">
        <f t="shared" si="31"/>
        <v>0</v>
      </c>
      <c r="V59" s="76">
        <f t="shared" si="31"/>
        <v>0</v>
      </c>
      <c r="W59" s="76">
        <f t="shared" si="31"/>
        <v>0</v>
      </c>
      <c r="X59" s="76">
        <f t="shared" si="31"/>
        <v>0</v>
      </c>
      <c r="Y59" s="76">
        <f t="shared" si="31"/>
        <v>0</v>
      </c>
      <c r="Z59" s="76">
        <f t="shared" si="31"/>
        <v>0</v>
      </c>
      <c r="AA59" s="76">
        <f t="shared" si="31"/>
        <v>0</v>
      </c>
      <c r="AB59" s="76">
        <f t="shared" si="31"/>
        <v>0</v>
      </c>
      <c r="AC59" s="76">
        <f t="shared" si="31"/>
        <v>0</v>
      </c>
      <c r="AD59" s="76">
        <f t="shared" si="31"/>
        <v>0</v>
      </c>
      <c r="AE59" s="76">
        <f t="shared" si="31"/>
        <v>0</v>
      </c>
      <c r="AF59" s="76">
        <f t="shared" si="31"/>
        <v>0</v>
      </c>
      <c r="AG59" s="76">
        <f t="shared" si="31"/>
        <v>0</v>
      </c>
      <c r="AH59" s="76">
        <f t="shared" si="31"/>
        <v>0</v>
      </c>
      <c r="AI59" s="76">
        <f t="shared" si="31"/>
        <v>0</v>
      </c>
      <c r="AJ59" s="76">
        <f t="shared" si="31"/>
        <v>0</v>
      </c>
      <c r="AK59" s="76">
        <f t="shared" si="31"/>
        <v>0</v>
      </c>
      <c r="AL59" s="76">
        <f t="shared" si="31"/>
        <v>0</v>
      </c>
      <c r="AM59" s="76">
        <f t="shared" si="31"/>
        <v>0</v>
      </c>
      <c r="AN59" s="76">
        <f t="shared" si="31"/>
        <v>0</v>
      </c>
      <c r="AO59" s="76">
        <f t="shared" si="31"/>
        <v>0</v>
      </c>
      <c r="AP59" s="76">
        <f t="shared" si="31"/>
        <v>0</v>
      </c>
      <c r="AQ59" s="76">
        <f t="shared" si="31"/>
        <v>0</v>
      </c>
      <c r="AR59" s="76">
        <f t="shared" si="31"/>
        <v>0</v>
      </c>
      <c r="AS59" s="76">
        <f t="shared" si="31"/>
        <v>0</v>
      </c>
      <c r="AT59" s="76">
        <f t="shared" si="31"/>
        <v>0</v>
      </c>
      <c r="AU59" s="76">
        <f t="shared" si="31"/>
        <v>0</v>
      </c>
      <c r="AV59" s="76">
        <f t="shared" si="31"/>
        <v>0</v>
      </c>
      <c r="AW59" s="76">
        <f t="shared" si="31"/>
        <v>0</v>
      </c>
      <c r="AX59" s="76">
        <f t="shared" si="31"/>
        <v>0</v>
      </c>
      <c r="AY59" s="76">
        <f t="shared" si="31"/>
        <v>0</v>
      </c>
    </row>
    <row r="60" ht="12.0" customHeight="1">
      <c r="A60" s="79"/>
      <c r="B60" s="111"/>
      <c r="C60" s="111"/>
      <c r="D60" s="112">
        <f>SUM(D53:O53)</f>
        <v>353543.7273</v>
      </c>
      <c r="P60" s="113">
        <f>SUM(P53:AA53)</f>
        <v>541034.5455</v>
      </c>
      <c r="AB60" s="112">
        <f>SUM(AB53:AM53)</f>
        <v>688603.2727</v>
      </c>
      <c r="AN60" s="112">
        <f>SUM(AN53:AY53)</f>
        <v>762414.1818</v>
      </c>
    </row>
    <row r="61" ht="12.75" customHeight="1">
      <c r="A61" s="79"/>
      <c r="B61" s="76"/>
    </row>
    <row r="62" ht="12.75" customHeight="1">
      <c r="A62" s="79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115">
        <f>(P60-D60)/D60</f>
        <v>0.5303186105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</row>
    <row r="63" ht="12.75" customHeight="1">
      <c r="A63" s="79"/>
      <c r="B63" s="76"/>
      <c r="C63" s="76"/>
      <c r="D63" s="110"/>
      <c r="E63" s="76"/>
      <c r="F63" s="76"/>
      <c r="G63" s="76"/>
      <c r="H63" s="76"/>
      <c r="I63" s="76"/>
      <c r="J63" s="76"/>
      <c r="K63" s="76"/>
      <c r="L63" s="76"/>
      <c r="M63" s="76"/>
      <c r="N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</row>
    <row r="64" ht="12.75" customHeight="1">
      <c r="A64" s="79"/>
      <c r="B64" s="76"/>
      <c r="C64" s="76"/>
      <c r="D64" s="110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</row>
    <row r="65" ht="12.75" customHeight="1">
      <c r="A65" s="79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</row>
    <row r="66" ht="12.75" customHeight="1">
      <c r="A66" s="118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</row>
    <row r="67" ht="12.75" customHeight="1">
      <c r="A67" s="118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</row>
    <row r="68" ht="12.75" customHeight="1">
      <c r="A68" s="118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</row>
    <row r="69" ht="12.75" customHeight="1">
      <c r="A69" s="118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</row>
    <row r="70" ht="12.75" customHeight="1">
      <c r="A70" s="118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</row>
    <row r="71" ht="12.75" customHeight="1"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</row>
    <row r="72" ht="12.75" customHeight="1"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</row>
    <row r="73" ht="12.75" customHeight="1">
      <c r="A73" s="596" t="s">
        <v>466</v>
      </c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</row>
    <row r="74" ht="12.75" customHeight="1">
      <c r="B74" s="76"/>
      <c r="C74" s="80" t="s">
        <v>140</v>
      </c>
      <c r="E74" s="76"/>
      <c r="F74" s="76"/>
      <c r="G74" s="76"/>
      <c r="H74" s="76"/>
      <c r="I74" s="76"/>
      <c r="J74" s="76"/>
      <c r="K74" s="76"/>
      <c r="L74" s="76"/>
      <c r="M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</row>
    <row r="75" ht="12.75" customHeight="1">
      <c r="A75" s="597"/>
      <c r="B75" s="76"/>
      <c r="C75" s="82" t="s">
        <v>157</v>
      </c>
      <c r="D75" s="76">
        <v>8.0</v>
      </c>
      <c r="E75" s="76">
        <v>9.0</v>
      </c>
      <c r="F75" s="76">
        <v>10.0</v>
      </c>
      <c r="G75" s="76">
        <v>11.0</v>
      </c>
      <c r="H75" s="76">
        <v>12.0</v>
      </c>
      <c r="I75" s="76">
        <v>13.0</v>
      </c>
      <c r="J75" s="76">
        <v>14.0</v>
      </c>
      <c r="K75" s="76">
        <v>15.0</v>
      </c>
      <c r="L75" s="76">
        <v>16.0</v>
      </c>
      <c r="M75" s="76">
        <v>17.0</v>
      </c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</row>
    <row r="76" ht="12.75" customHeight="1">
      <c r="A76" s="597"/>
      <c r="B76" s="76"/>
      <c r="C76" s="76" t="s">
        <v>148</v>
      </c>
      <c r="D76" s="98">
        <v>0.35</v>
      </c>
      <c r="E76" s="98">
        <v>0.5</v>
      </c>
      <c r="F76" s="98">
        <v>0.5</v>
      </c>
      <c r="G76" s="98">
        <v>0.05</v>
      </c>
      <c r="H76" s="98">
        <v>0.02</v>
      </c>
      <c r="I76" s="98"/>
      <c r="J76" s="98">
        <v>0.2</v>
      </c>
      <c r="K76" s="98">
        <v>0.2</v>
      </c>
      <c r="L76" s="98">
        <v>0.4</v>
      </c>
      <c r="M76" s="98">
        <v>0.45</v>
      </c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</row>
    <row r="77" ht="12.75" customHeight="1">
      <c r="A77" s="597"/>
      <c r="B77" s="76"/>
      <c r="C77" s="76" t="s">
        <v>76</v>
      </c>
      <c r="D77" s="98">
        <v>0.35</v>
      </c>
      <c r="E77" s="98">
        <v>0.4</v>
      </c>
      <c r="F77" s="98">
        <v>0.3</v>
      </c>
      <c r="G77" s="98">
        <v>0.1</v>
      </c>
      <c r="H77" s="98">
        <v>0.05</v>
      </c>
      <c r="I77" s="98"/>
      <c r="J77" s="98">
        <v>0.25</v>
      </c>
      <c r="K77" s="98">
        <v>0.35</v>
      </c>
      <c r="L77" s="98">
        <v>0.55</v>
      </c>
      <c r="M77" s="98">
        <v>0.55</v>
      </c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</row>
    <row r="78" ht="12.75" customHeight="1">
      <c r="A78" s="597"/>
      <c r="B78" s="76"/>
      <c r="C78" s="76" t="s">
        <v>80</v>
      </c>
      <c r="D78" s="98">
        <v>0.3</v>
      </c>
      <c r="E78" s="98">
        <v>0.05</v>
      </c>
      <c r="F78" s="98">
        <v>0.1</v>
      </c>
      <c r="G78" s="98">
        <v>0.25</v>
      </c>
      <c r="H78" s="98">
        <v>0.16</v>
      </c>
      <c r="I78" s="98">
        <v>0.1</v>
      </c>
      <c r="J78" s="98">
        <v>0.1</v>
      </c>
      <c r="K78" s="98">
        <v>0.05</v>
      </c>
      <c r="L78" s="98">
        <v>0.05</v>
      </c>
      <c r="M78" s="98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</row>
    <row r="79" ht="12.75" customHeight="1">
      <c r="A79" s="597"/>
      <c r="B79" s="76"/>
      <c r="C79" s="76" t="s">
        <v>83</v>
      </c>
      <c r="D79" s="98"/>
      <c r="E79" s="98">
        <v>0.05</v>
      </c>
      <c r="F79" s="98">
        <v>0.1</v>
      </c>
      <c r="G79" s="98">
        <v>0.35</v>
      </c>
      <c r="H79" s="98">
        <v>0.5</v>
      </c>
      <c r="I79" s="98">
        <v>0.35</v>
      </c>
      <c r="J79" s="98">
        <v>0.15</v>
      </c>
      <c r="K79" s="98">
        <v>0.15</v>
      </c>
      <c r="L79" s="98"/>
      <c r="M79" s="98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</row>
    <row r="80" ht="12.75" customHeight="1">
      <c r="A80" s="597"/>
      <c r="B80" s="76"/>
      <c r="C80" s="76" t="s">
        <v>87</v>
      </c>
      <c r="D80" s="98"/>
      <c r="E80" s="98"/>
      <c r="F80" s="98"/>
      <c r="G80" s="98">
        <v>0.18</v>
      </c>
      <c r="H80" s="98">
        <v>0.2</v>
      </c>
      <c r="I80" s="98">
        <v>0.35</v>
      </c>
      <c r="J80" s="98">
        <v>0.2</v>
      </c>
      <c r="K80" s="98">
        <v>0.2</v>
      </c>
      <c r="L80" s="98"/>
      <c r="M80" s="98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</row>
    <row r="81" ht="12.75" customHeight="1">
      <c r="A81" s="597"/>
      <c r="B81" s="76"/>
      <c r="C81" s="76" t="s">
        <v>464</v>
      </c>
      <c r="D81" s="598"/>
      <c r="E81" s="599"/>
      <c r="F81" s="599"/>
      <c r="G81" s="599">
        <v>0.07</v>
      </c>
      <c r="H81" s="599">
        <v>0.07</v>
      </c>
      <c r="I81" s="599">
        <v>0.2</v>
      </c>
      <c r="J81" s="599">
        <v>0.1</v>
      </c>
      <c r="K81" s="599">
        <v>0.05</v>
      </c>
      <c r="L81" s="598"/>
      <c r="M81" s="598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</row>
    <row r="82" ht="12.75" customHeight="1">
      <c r="A82" s="597"/>
      <c r="B82" s="76"/>
      <c r="C82" s="76"/>
      <c r="D82" s="89">
        <f t="shared" ref="D82:M82" si="32">SUM(D76:D81)</f>
        <v>1</v>
      </c>
      <c r="E82" s="89">
        <f t="shared" si="32"/>
        <v>1</v>
      </c>
      <c r="F82" s="89">
        <f t="shared" si="32"/>
        <v>1</v>
      </c>
      <c r="G82" s="89">
        <f t="shared" si="32"/>
        <v>1</v>
      </c>
      <c r="H82" s="89">
        <f t="shared" si="32"/>
        <v>1</v>
      </c>
      <c r="I82" s="89">
        <f t="shared" si="32"/>
        <v>1</v>
      </c>
      <c r="J82" s="89">
        <f t="shared" si="32"/>
        <v>1</v>
      </c>
      <c r="K82" s="89">
        <f t="shared" si="32"/>
        <v>1</v>
      </c>
      <c r="L82" s="89">
        <f t="shared" si="32"/>
        <v>1</v>
      </c>
      <c r="M82" s="89">
        <f t="shared" si="32"/>
        <v>1</v>
      </c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</row>
    <row r="83" ht="12.75" customHeight="1">
      <c r="A83" s="597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</row>
    <row r="84" ht="12.75" customHeight="1">
      <c r="A84" s="597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</row>
    <row r="85" ht="12.75" customHeight="1">
      <c r="A85" s="103"/>
      <c r="B85" s="76"/>
      <c r="C85" s="80" t="s">
        <v>140</v>
      </c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</row>
    <row r="86" ht="12.75" customHeight="1">
      <c r="A86" s="103"/>
      <c r="B86" s="76"/>
      <c r="D86" s="76">
        <v>8.0</v>
      </c>
      <c r="E86" s="76">
        <v>9.0</v>
      </c>
      <c r="F86" s="76">
        <v>10.0</v>
      </c>
      <c r="G86" s="76">
        <v>11.0</v>
      </c>
      <c r="H86" s="76">
        <v>12.0</v>
      </c>
      <c r="I86" s="76">
        <v>13.0</v>
      </c>
      <c r="J86" s="76">
        <v>14.0</v>
      </c>
      <c r="K86" s="76">
        <v>15.0</v>
      </c>
      <c r="L86" s="76">
        <v>16.0</v>
      </c>
      <c r="M86" s="76">
        <v>17.0</v>
      </c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</row>
    <row r="87" ht="12.75" customHeight="1">
      <c r="A87" s="103"/>
      <c r="B87" s="76"/>
      <c r="C87" s="82" t="s">
        <v>149</v>
      </c>
      <c r="D87" s="159">
        <v>2.0</v>
      </c>
      <c r="E87" s="159">
        <v>3.0</v>
      </c>
      <c r="F87" s="159">
        <v>3.0</v>
      </c>
      <c r="G87" s="159">
        <v>3.0</v>
      </c>
      <c r="H87" s="159">
        <v>5.0</v>
      </c>
      <c r="I87" s="159">
        <v>5.0</v>
      </c>
      <c r="J87" s="159">
        <v>5.0</v>
      </c>
      <c r="K87" s="159">
        <v>5.0</v>
      </c>
      <c r="L87" s="159">
        <v>2.0</v>
      </c>
      <c r="M87" s="159">
        <v>0.0</v>
      </c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</row>
    <row r="88" ht="12.75" customHeight="1">
      <c r="A88" s="103"/>
      <c r="B88" s="76"/>
      <c r="C88" s="76" t="s">
        <v>72</v>
      </c>
      <c r="D88" s="91">
        <f t="shared" ref="D88:M88" si="33">ROUND( D$87*D76,0)</f>
        <v>1</v>
      </c>
      <c r="E88" s="91">
        <f t="shared" si="33"/>
        <v>2</v>
      </c>
      <c r="F88" s="91">
        <f t="shared" si="33"/>
        <v>2</v>
      </c>
      <c r="G88" s="91">
        <f t="shared" si="33"/>
        <v>0</v>
      </c>
      <c r="H88" s="91">
        <f t="shared" si="33"/>
        <v>0</v>
      </c>
      <c r="I88" s="91">
        <f t="shared" si="33"/>
        <v>0</v>
      </c>
      <c r="J88" s="91">
        <f t="shared" si="33"/>
        <v>1</v>
      </c>
      <c r="K88" s="91">
        <f t="shared" si="33"/>
        <v>1</v>
      </c>
      <c r="L88" s="91">
        <f t="shared" si="33"/>
        <v>1</v>
      </c>
      <c r="M88" s="91">
        <f t="shared" si="33"/>
        <v>0</v>
      </c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</row>
    <row r="89" ht="12.75" customHeight="1">
      <c r="A89" s="103"/>
      <c r="B89" s="76"/>
      <c r="C89" s="76" t="s">
        <v>76</v>
      </c>
      <c r="D89" s="91">
        <f t="shared" ref="D89:M89" si="34">ROUND( D$87*D77,0)</f>
        <v>1</v>
      </c>
      <c r="E89" s="91">
        <f t="shared" si="34"/>
        <v>1</v>
      </c>
      <c r="F89" s="91">
        <f t="shared" si="34"/>
        <v>1</v>
      </c>
      <c r="G89" s="91">
        <f t="shared" si="34"/>
        <v>0</v>
      </c>
      <c r="H89" s="91">
        <f t="shared" si="34"/>
        <v>0</v>
      </c>
      <c r="I89" s="91">
        <f t="shared" si="34"/>
        <v>0</v>
      </c>
      <c r="J89" s="91">
        <f t="shared" si="34"/>
        <v>1</v>
      </c>
      <c r="K89" s="91">
        <f t="shared" si="34"/>
        <v>2</v>
      </c>
      <c r="L89" s="91">
        <f t="shared" si="34"/>
        <v>1</v>
      </c>
      <c r="M89" s="91">
        <f t="shared" si="34"/>
        <v>0</v>
      </c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</row>
    <row r="90" ht="12.75" customHeight="1">
      <c r="A90" s="103"/>
      <c r="B90" s="76"/>
      <c r="C90" s="76" t="s">
        <v>80</v>
      </c>
      <c r="D90" s="91">
        <f t="shared" ref="D90:M90" si="35">ROUND( D$87*D78,0)</f>
        <v>1</v>
      </c>
      <c r="E90" s="91">
        <f t="shared" si="35"/>
        <v>0</v>
      </c>
      <c r="F90" s="91">
        <f t="shared" si="35"/>
        <v>0</v>
      </c>
      <c r="G90" s="91">
        <f t="shared" si="35"/>
        <v>1</v>
      </c>
      <c r="H90" s="91">
        <f t="shared" si="35"/>
        <v>1</v>
      </c>
      <c r="I90" s="91">
        <f t="shared" si="35"/>
        <v>1</v>
      </c>
      <c r="J90" s="91">
        <f t="shared" si="35"/>
        <v>1</v>
      </c>
      <c r="K90" s="91">
        <f t="shared" si="35"/>
        <v>0</v>
      </c>
      <c r="L90" s="91">
        <f t="shared" si="35"/>
        <v>0</v>
      </c>
      <c r="M90" s="91">
        <f t="shared" si="35"/>
        <v>0</v>
      </c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</row>
    <row r="91" ht="12.75" customHeight="1">
      <c r="A91" s="103"/>
      <c r="B91" s="76"/>
      <c r="C91" s="76" t="s">
        <v>83</v>
      </c>
      <c r="D91" s="91">
        <f t="shared" ref="D91:M91" si="36">ROUND( D$87*D79,0)</f>
        <v>0</v>
      </c>
      <c r="E91" s="91">
        <f t="shared" si="36"/>
        <v>0</v>
      </c>
      <c r="F91" s="91">
        <f t="shared" si="36"/>
        <v>0</v>
      </c>
      <c r="G91" s="91">
        <f t="shared" si="36"/>
        <v>1</v>
      </c>
      <c r="H91" s="91">
        <f t="shared" si="36"/>
        <v>3</v>
      </c>
      <c r="I91" s="91">
        <f t="shared" si="36"/>
        <v>2</v>
      </c>
      <c r="J91" s="91">
        <f t="shared" si="36"/>
        <v>1</v>
      </c>
      <c r="K91" s="91">
        <f t="shared" si="36"/>
        <v>1</v>
      </c>
      <c r="L91" s="91">
        <f t="shared" si="36"/>
        <v>0</v>
      </c>
      <c r="M91" s="91">
        <f t="shared" si="36"/>
        <v>0</v>
      </c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</row>
    <row r="92" ht="12.75" customHeight="1">
      <c r="A92" s="103"/>
      <c r="B92" s="76"/>
      <c r="C92" s="76" t="s">
        <v>87</v>
      </c>
      <c r="D92" s="91">
        <f t="shared" ref="D92:M92" si="37">ROUND( D$87*D80,0)</f>
        <v>0</v>
      </c>
      <c r="E92" s="91">
        <f t="shared" si="37"/>
        <v>0</v>
      </c>
      <c r="F92" s="91">
        <f t="shared" si="37"/>
        <v>0</v>
      </c>
      <c r="G92" s="91">
        <f t="shared" si="37"/>
        <v>1</v>
      </c>
      <c r="H92" s="91">
        <f t="shared" si="37"/>
        <v>1</v>
      </c>
      <c r="I92" s="91">
        <f t="shared" si="37"/>
        <v>2</v>
      </c>
      <c r="J92" s="91">
        <f t="shared" si="37"/>
        <v>1</v>
      </c>
      <c r="K92" s="91">
        <f t="shared" si="37"/>
        <v>1</v>
      </c>
      <c r="L92" s="91">
        <f t="shared" si="37"/>
        <v>0</v>
      </c>
      <c r="M92" s="91">
        <f t="shared" si="37"/>
        <v>0</v>
      </c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</row>
    <row r="93" ht="12.75" customHeight="1">
      <c r="A93" s="103"/>
      <c r="B93" s="76"/>
      <c r="C93" s="76" t="s">
        <v>464</v>
      </c>
      <c r="D93" s="91">
        <f t="shared" ref="D93:M93" si="38">ROUND( D$87*D81,0)</f>
        <v>0</v>
      </c>
      <c r="E93" s="91">
        <f t="shared" si="38"/>
        <v>0</v>
      </c>
      <c r="F93" s="91">
        <f t="shared" si="38"/>
        <v>0</v>
      </c>
      <c r="G93" s="91">
        <f t="shared" si="38"/>
        <v>0</v>
      </c>
      <c r="H93" s="91">
        <f t="shared" si="38"/>
        <v>0</v>
      </c>
      <c r="I93" s="91">
        <f t="shared" si="38"/>
        <v>1</v>
      </c>
      <c r="J93" s="91">
        <f t="shared" si="38"/>
        <v>1</v>
      </c>
      <c r="K93" s="91">
        <f t="shared" si="38"/>
        <v>0</v>
      </c>
      <c r="L93" s="91">
        <f t="shared" si="38"/>
        <v>0</v>
      </c>
      <c r="M93" s="91">
        <f t="shared" si="38"/>
        <v>0</v>
      </c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</row>
    <row r="94" ht="12.75" customHeight="1">
      <c r="A94" s="103"/>
      <c r="B94" s="76"/>
      <c r="C94" s="76"/>
      <c r="D94" s="93">
        <f t="shared" ref="D94:M94" si="39">SUM(D88:D93)</f>
        <v>3</v>
      </c>
      <c r="E94" s="93">
        <f t="shared" si="39"/>
        <v>3</v>
      </c>
      <c r="F94" s="93">
        <f t="shared" si="39"/>
        <v>3</v>
      </c>
      <c r="G94" s="93">
        <f t="shared" si="39"/>
        <v>3</v>
      </c>
      <c r="H94" s="93">
        <f t="shared" si="39"/>
        <v>5</v>
      </c>
      <c r="I94" s="93">
        <f t="shared" si="39"/>
        <v>6</v>
      </c>
      <c r="J94" s="93">
        <f t="shared" si="39"/>
        <v>6</v>
      </c>
      <c r="K94" s="93">
        <f t="shared" si="39"/>
        <v>5</v>
      </c>
      <c r="L94" s="93">
        <f t="shared" si="39"/>
        <v>2</v>
      </c>
      <c r="M94" s="93">
        <f t="shared" si="39"/>
        <v>0</v>
      </c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</row>
    <row r="95" ht="12.75" customHeight="1">
      <c r="A95" s="103"/>
      <c r="B95" s="76"/>
      <c r="C95" s="80" t="s">
        <v>150</v>
      </c>
      <c r="D95" s="95" t="s">
        <v>151</v>
      </c>
      <c r="E95" s="95" t="s">
        <v>152</v>
      </c>
      <c r="F95" s="95" t="s">
        <v>153</v>
      </c>
      <c r="G95" s="95" t="s">
        <v>154</v>
      </c>
      <c r="H95" s="95" t="s">
        <v>155</v>
      </c>
      <c r="I95" s="95" t="s">
        <v>156</v>
      </c>
      <c r="J95" s="95" t="s">
        <v>151</v>
      </c>
      <c r="K95" s="95" t="s">
        <v>152</v>
      </c>
      <c r="L95" s="95" t="s">
        <v>153</v>
      </c>
      <c r="M95" s="95" t="s">
        <v>154</v>
      </c>
      <c r="N95" s="95" t="s">
        <v>155</v>
      </c>
      <c r="O95" s="95" t="s">
        <v>156</v>
      </c>
      <c r="P95" s="95" t="s">
        <v>151</v>
      </c>
      <c r="Q95" s="95" t="s">
        <v>152</v>
      </c>
      <c r="R95" s="95" t="s">
        <v>153</v>
      </c>
      <c r="S95" s="95" t="s">
        <v>154</v>
      </c>
      <c r="T95" s="95" t="s">
        <v>155</v>
      </c>
      <c r="U95" s="95" t="s">
        <v>156</v>
      </c>
      <c r="V95" s="95" t="s">
        <v>151</v>
      </c>
      <c r="W95" s="95" t="s">
        <v>152</v>
      </c>
      <c r="X95" s="95" t="s">
        <v>153</v>
      </c>
      <c r="Y95" s="95" t="s">
        <v>154</v>
      </c>
      <c r="Z95" s="95" t="s">
        <v>155</v>
      </c>
      <c r="AA95" s="95" t="s">
        <v>156</v>
      </c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</row>
    <row r="96" ht="12.75" customHeight="1">
      <c r="A96" s="103"/>
      <c r="B96" s="76"/>
      <c r="C96" s="76"/>
      <c r="D96" s="76">
        <v>1.0</v>
      </c>
      <c r="E96" s="76">
        <v>2.0</v>
      </c>
      <c r="F96" s="76">
        <v>3.0</v>
      </c>
      <c r="G96" s="76">
        <v>4.0</v>
      </c>
      <c r="H96" s="76">
        <v>5.0</v>
      </c>
      <c r="I96" s="76">
        <v>6.0</v>
      </c>
      <c r="J96" s="76">
        <v>7.0</v>
      </c>
      <c r="K96" s="76">
        <v>8.0</v>
      </c>
      <c r="L96" s="76">
        <v>9.0</v>
      </c>
      <c r="M96" s="76">
        <v>10.0</v>
      </c>
      <c r="N96" s="76">
        <v>11.0</v>
      </c>
      <c r="O96" s="76">
        <v>12.0</v>
      </c>
      <c r="P96" s="76">
        <v>13.0</v>
      </c>
      <c r="Q96" s="76">
        <v>14.0</v>
      </c>
      <c r="R96" s="76">
        <v>15.0</v>
      </c>
      <c r="S96" s="76">
        <v>16.0</v>
      </c>
      <c r="T96" s="76">
        <v>17.0</v>
      </c>
      <c r="U96" s="76">
        <v>18.0</v>
      </c>
      <c r="V96" s="76">
        <v>19.0</v>
      </c>
      <c r="W96" s="76">
        <v>20.0</v>
      </c>
      <c r="X96" s="76">
        <v>21.0</v>
      </c>
      <c r="Y96" s="76">
        <v>22.0</v>
      </c>
      <c r="Z96" s="76">
        <v>23.0</v>
      </c>
      <c r="AA96" s="76">
        <v>24.0</v>
      </c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</row>
    <row r="97" ht="12.75" customHeight="1">
      <c r="A97" s="103"/>
      <c r="C97" s="82" t="s">
        <v>157</v>
      </c>
      <c r="D97" s="98">
        <v>0.8</v>
      </c>
      <c r="E97" s="98">
        <v>0.8</v>
      </c>
      <c r="F97" s="98">
        <v>0.7</v>
      </c>
      <c r="G97" s="98">
        <v>0.6</v>
      </c>
      <c r="H97" s="98">
        <v>0.7</v>
      </c>
      <c r="I97" s="98">
        <v>0.8</v>
      </c>
      <c r="J97" s="98">
        <v>0.8</v>
      </c>
      <c r="K97" s="98">
        <v>0.8</v>
      </c>
      <c r="L97" s="98">
        <v>0.7</v>
      </c>
      <c r="M97" s="98">
        <v>0.6</v>
      </c>
      <c r="N97" s="98">
        <v>0.7</v>
      </c>
      <c r="O97" s="98">
        <v>0.8</v>
      </c>
      <c r="P97" s="98">
        <v>0.8</v>
      </c>
      <c r="Q97" s="98">
        <v>0.8</v>
      </c>
      <c r="R97" s="98">
        <v>0.7</v>
      </c>
      <c r="S97" s="98">
        <v>0.6</v>
      </c>
      <c r="T97" s="98">
        <v>0.7</v>
      </c>
      <c r="U97" s="98">
        <v>0.8</v>
      </c>
      <c r="V97" s="98">
        <v>0.8</v>
      </c>
      <c r="W97" s="98">
        <v>0.8</v>
      </c>
      <c r="X97" s="98">
        <v>0.7</v>
      </c>
      <c r="Y97" s="98">
        <v>0.6</v>
      </c>
      <c r="Z97" s="98">
        <v>0.7</v>
      </c>
      <c r="AA97" s="98">
        <v>0.8</v>
      </c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</row>
    <row r="98" ht="12.75" customHeight="1">
      <c r="A98" s="103"/>
      <c r="B98" s="76"/>
      <c r="C98" s="76" t="s">
        <v>148</v>
      </c>
      <c r="D98" s="76">
        <f t="shared" ref="D98:AA98" si="40">ROUND(SUM($D88:$M88)*D$97,0)</f>
        <v>6</v>
      </c>
      <c r="E98" s="76">
        <f t="shared" si="40"/>
        <v>6</v>
      </c>
      <c r="F98" s="76">
        <f t="shared" si="40"/>
        <v>6</v>
      </c>
      <c r="G98" s="76">
        <f t="shared" si="40"/>
        <v>5</v>
      </c>
      <c r="H98" s="76">
        <f t="shared" si="40"/>
        <v>6</v>
      </c>
      <c r="I98" s="76">
        <f t="shared" si="40"/>
        <v>6</v>
      </c>
      <c r="J98" s="76">
        <f t="shared" si="40"/>
        <v>6</v>
      </c>
      <c r="K98" s="76">
        <f t="shared" si="40"/>
        <v>6</v>
      </c>
      <c r="L98" s="76">
        <f t="shared" si="40"/>
        <v>6</v>
      </c>
      <c r="M98" s="76">
        <f t="shared" si="40"/>
        <v>5</v>
      </c>
      <c r="N98" s="76">
        <f t="shared" si="40"/>
        <v>6</v>
      </c>
      <c r="O98" s="76">
        <f t="shared" si="40"/>
        <v>6</v>
      </c>
      <c r="P98" s="76">
        <f t="shared" si="40"/>
        <v>6</v>
      </c>
      <c r="Q98" s="76">
        <f t="shared" si="40"/>
        <v>6</v>
      </c>
      <c r="R98" s="76">
        <f t="shared" si="40"/>
        <v>6</v>
      </c>
      <c r="S98" s="76">
        <f t="shared" si="40"/>
        <v>5</v>
      </c>
      <c r="T98" s="76">
        <f t="shared" si="40"/>
        <v>6</v>
      </c>
      <c r="U98" s="76">
        <f t="shared" si="40"/>
        <v>6</v>
      </c>
      <c r="V98" s="76">
        <f t="shared" si="40"/>
        <v>6</v>
      </c>
      <c r="W98" s="76">
        <f t="shared" si="40"/>
        <v>6</v>
      </c>
      <c r="X98" s="76">
        <f t="shared" si="40"/>
        <v>6</v>
      </c>
      <c r="Y98" s="76">
        <f t="shared" si="40"/>
        <v>5</v>
      </c>
      <c r="Z98" s="76">
        <f t="shared" si="40"/>
        <v>6</v>
      </c>
      <c r="AA98" s="76">
        <f t="shared" si="40"/>
        <v>6</v>
      </c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</row>
    <row r="99" ht="12.75" customHeight="1">
      <c r="A99" s="103"/>
      <c r="B99" s="76"/>
      <c r="C99" s="76" t="s">
        <v>76</v>
      </c>
      <c r="D99" s="76">
        <f t="shared" ref="D99:AA99" si="41">ROUND(SUM($D89:$M89)*D$97,0)</f>
        <v>6</v>
      </c>
      <c r="E99" s="76">
        <f t="shared" si="41"/>
        <v>6</v>
      </c>
      <c r="F99" s="76">
        <f t="shared" si="41"/>
        <v>5</v>
      </c>
      <c r="G99" s="76">
        <f t="shared" si="41"/>
        <v>4</v>
      </c>
      <c r="H99" s="76">
        <f t="shared" si="41"/>
        <v>5</v>
      </c>
      <c r="I99" s="76">
        <f t="shared" si="41"/>
        <v>6</v>
      </c>
      <c r="J99" s="76">
        <f t="shared" si="41"/>
        <v>6</v>
      </c>
      <c r="K99" s="76">
        <f t="shared" si="41"/>
        <v>6</v>
      </c>
      <c r="L99" s="76">
        <f t="shared" si="41"/>
        <v>5</v>
      </c>
      <c r="M99" s="76">
        <f t="shared" si="41"/>
        <v>4</v>
      </c>
      <c r="N99" s="76">
        <f t="shared" si="41"/>
        <v>5</v>
      </c>
      <c r="O99" s="76">
        <f t="shared" si="41"/>
        <v>6</v>
      </c>
      <c r="P99" s="76">
        <f t="shared" si="41"/>
        <v>6</v>
      </c>
      <c r="Q99" s="76">
        <f t="shared" si="41"/>
        <v>6</v>
      </c>
      <c r="R99" s="76">
        <f t="shared" si="41"/>
        <v>5</v>
      </c>
      <c r="S99" s="76">
        <f t="shared" si="41"/>
        <v>4</v>
      </c>
      <c r="T99" s="76">
        <f t="shared" si="41"/>
        <v>5</v>
      </c>
      <c r="U99" s="76">
        <f t="shared" si="41"/>
        <v>6</v>
      </c>
      <c r="V99" s="76">
        <f t="shared" si="41"/>
        <v>6</v>
      </c>
      <c r="W99" s="76">
        <f t="shared" si="41"/>
        <v>6</v>
      </c>
      <c r="X99" s="76">
        <f t="shared" si="41"/>
        <v>5</v>
      </c>
      <c r="Y99" s="76">
        <f t="shared" si="41"/>
        <v>4</v>
      </c>
      <c r="Z99" s="76">
        <f t="shared" si="41"/>
        <v>5</v>
      </c>
      <c r="AA99" s="76">
        <f t="shared" si="41"/>
        <v>6</v>
      </c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</row>
    <row r="100" ht="12.75" customHeight="1">
      <c r="A100" s="103"/>
      <c r="B100" s="76"/>
      <c r="C100" s="76" t="s">
        <v>80</v>
      </c>
      <c r="D100" s="76">
        <f t="shared" ref="D100:AA100" si="42">ROUND(SUM($D90:$M90)*D$97,0)</f>
        <v>4</v>
      </c>
      <c r="E100" s="76">
        <f t="shared" si="42"/>
        <v>4</v>
      </c>
      <c r="F100" s="76">
        <f t="shared" si="42"/>
        <v>4</v>
      </c>
      <c r="G100" s="76">
        <f t="shared" si="42"/>
        <v>3</v>
      </c>
      <c r="H100" s="76">
        <f t="shared" si="42"/>
        <v>4</v>
      </c>
      <c r="I100" s="76">
        <f t="shared" si="42"/>
        <v>4</v>
      </c>
      <c r="J100" s="76">
        <f t="shared" si="42"/>
        <v>4</v>
      </c>
      <c r="K100" s="76">
        <f t="shared" si="42"/>
        <v>4</v>
      </c>
      <c r="L100" s="76">
        <f t="shared" si="42"/>
        <v>4</v>
      </c>
      <c r="M100" s="76">
        <f t="shared" si="42"/>
        <v>3</v>
      </c>
      <c r="N100" s="76">
        <f t="shared" si="42"/>
        <v>4</v>
      </c>
      <c r="O100" s="76">
        <f t="shared" si="42"/>
        <v>4</v>
      </c>
      <c r="P100" s="76">
        <f t="shared" si="42"/>
        <v>4</v>
      </c>
      <c r="Q100" s="76">
        <f t="shared" si="42"/>
        <v>4</v>
      </c>
      <c r="R100" s="76">
        <f t="shared" si="42"/>
        <v>4</v>
      </c>
      <c r="S100" s="76">
        <f t="shared" si="42"/>
        <v>3</v>
      </c>
      <c r="T100" s="76">
        <f t="shared" si="42"/>
        <v>4</v>
      </c>
      <c r="U100" s="76">
        <f t="shared" si="42"/>
        <v>4</v>
      </c>
      <c r="V100" s="76">
        <f t="shared" si="42"/>
        <v>4</v>
      </c>
      <c r="W100" s="76">
        <f t="shared" si="42"/>
        <v>4</v>
      </c>
      <c r="X100" s="76">
        <f t="shared" si="42"/>
        <v>4</v>
      </c>
      <c r="Y100" s="76">
        <f t="shared" si="42"/>
        <v>3</v>
      </c>
      <c r="Z100" s="76">
        <f t="shared" si="42"/>
        <v>4</v>
      </c>
      <c r="AA100" s="76">
        <f t="shared" si="42"/>
        <v>4</v>
      </c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</row>
    <row r="101" ht="12.75" customHeight="1">
      <c r="A101" s="103"/>
      <c r="B101" s="76"/>
      <c r="C101" s="76" t="s">
        <v>83</v>
      </c>
      <c r="D101" s="76">
        <f t="shared" ref="D101:AA101" si="43">ROUND(SUM($D91:$M91)*D$97,0)</f>
        <v>6</v>
      </c>
      <c r="E101" s="76">
        <f t="shared" si="43"/>
        <v>6</v>
      </c>
      <c r="F101" s="76">
        <f t="shared" si="43"/>
        <v>6</v>
      </c>
      <c r="G101" s="76">
        <f t="shared" si="43"/>
        <v>5</v>
      </c>
      <c r="H101" s="76">
        <f t="shared" si="43"/>
        <v>6</v>
      </c>
      <c r="I101" s="76">
        <f t="shared" si="43"/>
        <v>6</v>
      </c>
      <c r="J101" s="76">
        <f t="shared" si="43"/>
        <v>6</v>
      </c>
      <c r="K101" s="76">
        <f t="shared" si="43"/>
        <v>6</v>
      </c>
      <c r="L101" s="76">
        <f t="shared" si="43"/>
        <v>6</v>
      </c>
      <c r="M101" s="76">
        <f t="shared" si="43"/>
        <v>5</v>
      </c>
      <c r="N101" s="76">
        <f t="shared" si="43"/>
        <v>6</v>
      </c>
      <c r="O101" s="76">
        <f t="shared" si="43"/>
        <v>6</v>
      </c>
      <c r="P101" s="76">
        <f t="shared" si="43"/>
        <v>6</v>
      </c>
      <c r="Q101" s="76">
        <f t="shared" si="43"/>
        <v>6</v>
      </c>
      <c r="R101" s="76">
        <f t="shared" si="43"/>
        <v>6</v>
      </c>
      <c r="S101" s="76">
        <f t="shared" si="43"/>
        <v>5</v>
      </c>
      <c r="T101" s="76">
        <f t="shared" si="43"/>
        <v>6</v>
      </c>
      <c r="U101" s="76">
        <f t="shared" si="43"/>
        <v>6</v>
      </c>
      <c r="V101" s="76">
        <f t="shared" si="43"/>
        <v>6</v>
      </c>
      <c r="W101" s="76">
        <f t="shared" si="43"/>
        <v>6</v>
      </c>
      <c r="X101" s="76">
        <f t="shared" si="43"/>
        <v>6</v>
      </c>
      <c r="Y101" s="76">
        <f t="shared" si="43"/>
        <v>5</v>
      </c>
      <c r="Z101" s="76">
        <f t="shared" si="43"/>
        <v>6</v>
      </c>
      <c r="AA101" s="76">
        <f t="shared" si="43"/>
        <v>6</v>
      </c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</row>
    <row r="102" ht="12.75" customHeight="1">
      <c r="A102" s="103"/>
      <c r="B102" s="76"/>
      <c r="C102" s="76" t="s">
        <v>87</v>
      </c>
      <c r="D102" s="76">
        <f t="shared" ref="D102:AA102" si="44">ROUND(SUM($D92:$M92)*D$97,0)</f>
        <v>5</v>
      </c>
      <c r="E102" s="76">
        <f t="shared" si="44"/>
        <v>5</v>
      </c>
      <c r="F102" s="76">
        <f t="shared" si="44"/>
        <v>4</v>
      </c>
      <c r="G102" s="76">
        <f t="shared" si="44"/>
        <v>4</v>
      </c>
      <c r="H102" s="76">
        <f t="shared" si="44"/>
        <v>4</v>
      </c>
      <c r="I102" s="76">
        <f t="shared" si="44"/>
        <v>5</v>
      </c>
      <c r="J102" s="76">
        <f t="shared" si="44"/>
        <v>5</v>
      </c>
      <c r="K102" s="76">
        <f t="shared" si="44"/>
        <v>5</v>
      </c>
      <c r="L102" s="76">
        <f t="shared" si="44"/>
        <v>4</v>
      </c>
      <c r="M102" s="76">
        <f t="shared" si="44"/>
        <v>4</v>
      </c>
      <c r="N102" s="76">
        <f t="shared" si="44"/>
        <v>4</v>
      </c>
      <c r="O102" s="76">
        <f t="shared" si="44"/>
        <v>5</v>
      </c>
      <c r="P102" s="76">
        <f t="shared" si="44"/>
        <v>5</v>
      </c>
      <c r="Q102" s="76">
        <f t="shared" si="44"/>
        <v>5</v>
      </c>
      <c r="R102" s="76">
        <f t="shared" si="44"/>
        <v>4</v>
      </c>
      <c r="S102" s="76">
        <f t="shared" si="44"/>
        <v>4</v>
      </c>
      <c r="T102" s="76">
        <f t="shared" si="44"/>
        <v>4</v>
      </c>
      <c r="U102" s="76">
        <f t="shared" si="44"/>
        <v>5</v>
      </c>
      <c r="V102" s="76">
        <f t="shared" si="44"/>
        <v>5</v>
      </c>
      <c r="W102" s="76">
        <f t="shared" si="44"/>
        <v>5</v>
      </c>
      <c r="X102" s="76">
        <f t="shared" si="44"/>
        <v>4</v>
      </c>
      <c r="Y102" s="76">
        <f t="shared" si="44"/>
        <v>4</v>
      </c>
      <c r="Z102" s="76">
        <f t="shared" si="44"/>
        <v>4</v>
      </c>
      <c r="AA102" s="76">
        <f t="shared" si="44"/>
        <v>5</v>
      </c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</row>
    <row r="103" ht="12.75" customHeight="1">
      <c r="A103" s="103"/>
      <c r="B103" s="76"/>
      <c r="C103" s="76" t="s">
        <v>464</v>
      </c>
      <c r="D103" s="76">
        <f t="shared" ref="D103:AA103" si="45">ROUND(SUM($D93:$M93)*D$97,0)</f>
        <v>2</v>
      </c>
      <c r="E103" s="76">
        <f t="shared" si="45"/>
        <v>2</v>
      </c>
      <c r="F103" s="76">
        <f t="shared" si="45"/>
        <v>1</v>
      </c>
      <c r="G103" s="76">
        <f t="shared" si="45"/>
        <v>1</v>
      </c>
      <c r="H103" s="76">
        <f t="shared" si="45"/>
        <v>1</v>
      </c>
      <c r="I103" s="76">
        <f t="shared" si="45"/>
        <v>2</v>
      </c>
      <c r="J103" s="76">
        <f t="shared" si="45"/>
        <v>2</v>
      </c>
      <c r="K103" s="76">
        <f t="shared" si="45"/>
        <v>2</v>
      </c>
      <c r="L103" s="76">
        <f t="shared" si="45"/>
        <v>1</v>
      </c>
      <c r="M103" s="76">
        <f t="shared" si="45"/>
        <v>1</v>
      </c>
      <c r="N103" s="76">
        <f t="shared" si="45"/>
        <v>1</v>
      </c>
      <c r="O103" s="76">
        <f t="shared" si="45"/>
        <v>2</v>
      </c>
      <c r="P103" s="76">
        <f t="shared" si="45"/>
        <v>2</v>
      </c>
      <c r="Q103" s="76">
        <f t="shared" si="45"/>
        <v>2</v>
      </c>
      <c r="R103" s="76">
        <f t="shared" si="45"/>
        <v>1</v>
      </c>
      <c r="S103" s="76">
        <f t="shared" si="45"/>
        <v>1</v>
      </c>
      <c r="T103" s="76">
        <f t="shared" si="45"/>
        <v>1</v>
      </c>
      <c r="U103" s="76">
        <f t="shared" si="45"/>
        <v>2</v>
      </c>
      <c r="V103" s="76">
        <f t="shared" si="45"/>
        <v>2</v>
      </c>
      <c r="W103" s="76">
        <f t="shared" si="45"/>
        <v>2</v>
      </c>
      <c r="X103" s="76">
        <f t="shared" si="45"/>
        <v>1</v>
      </c>
      <c r="Y103" s="76">
        <f t="shared" si="45"/>
        <v>1</v>
      </c>
      <c r="Z103" s="76">
        <f t="shared" si="45"/>
        <v>1</v>
      </c>
      <c r="AA103" s="76">
        <f t="shared" si="45"/>
        <v>2</v>
      </c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</row>
    <row r="104" ht="12.75" customHeight="1">
      <c r="A104" s="103"/>
      <c r="B104" s="76"/>
      <c r="C104" s="76"/>
      <c r="D104" s="93">
        <f t="shared" ref="D104:AA104" si="46">SUM(D98:D103)</f>
        <v>29</v>
      </c>
      <c r="E104" s="93">
        <f t="shared" si="46"/>
        <v>29</v>
      </c>
      <c r="F104" s="93">
        <f t="shared" si="46"/>
        <v>26</v>
      </c>
      <c r="G104" s="93">
        <f t="shared" si="46"/>
        <v>22</v>
      </c>
      <c r="H104" s="93">
        <f t="shared" si="46"/>
        <v>26</v>
      </c>
      <c r="I104" s="93">
        <f t="shared" si="46"/>
        <v>29</v>
      </c>
      <c r="J104" s="93">
        <f t="shared" si="46"/>
        <v>29</v>
      </c>
      <c r="K104" s="93">
        <f t="shared" si="46"/>
        <v>29</v>
      </c>
      <c r="L104" s="93">
        <f t="shared" si="46"/>
        <v>26</v>
      </c>
      <c r="M104" s="93">
        <f t="shared" si="46"/>
        <v>22</v>
      </c>
      <c r="N104" s="93">
        <f t="shared" si="46"/>
        <v>26</v>
      </c>
      <c r="O104" s="93">
        <f t="shared" si="46"/>
        <v>29</v>
      </c>
      <c r="P104" s="93">
        <f t="shared" si="46"/>
        <v>29</v>
      </c>
      <c r="Q104" s="93">
        <f t="shared" si="46"/>
        <v>29</v>
      </c>
      <c r="R104" s="93">
        <f t="shared" si="46"/>
        <v>26</v>
      </c>
      <c r="S104" s="93">
        <f t="shared" si="46"/>
        <v>22</v>
      </c>
      <c r="T104" s="93">
        <f t="shared" si="46"/>
        <v>26</v>
      </c>
      <c r="U104" s="93">
        <f t="shared" si="46"/>
        <v>29</v>
      </c>
      <c r="V104" s="93">
        <f t="shared" si="46"/>
        <v>29</v>
      </c>
      <c r="W104" s="93">
        <f t="shared" si="46"/>
        <v>29</v>
      </c>
      <c r="X104" s="93">
        <f t="shared" si="46"/>
        <v>26</v>
      </c>
      <c r="Y104" s="93">
        <f t="shared" si="46"/>
        <v>22</v>
      </c>
      <c r="Z104" s="93">
        <f t="shared" si="46"/>
        <v>26</v>
      </c>
      <c r="AA104" s="93">
        <f t="shared" si="46"/>
        <v>29</v>
      </c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</row>
    <row r="105" ht="12.75" customHeight="1">
      <c r="A105" s="103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</row>
    <row r="106" ht="12.75" customHeight="1">
      <c r="A106" s="103"/>
      <c r="B106" s="76"/>
      <c r="C106" s="80" t="s">
        <v>158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</row>
    <row r="107" ht="12.75" customHeight="1">
      <c r="A107" s="103"/>
      <c r="B107" s="76"/>
      <c r="C107" s="76"/>
      <c r="D107" s="76">
        <v>2024.0</v>
      </c>
      <c r="E107" s="76"/>
      <c r="F107" s="76"/>
      <c r="G107" s="76"/>
      <c r="H107" s="76"/>
      <c r="I107" s="76"/>
      <c r="J107" s="76"/>
      <c r="K107" s="95" t="s">
        <v>465</v>
      </c>
      <c r="L107" s="76"/>
      <c r="M107" s="76"/>
      <c r="N107" s="76"/>
      <c r="O107" s="76"/>
      <c r="P107" s="76">
        <v>2025.0</v>
      </c>
      <c r="Q107" s="76"/>
      <c r="R107" s="76"/>
      <c r="S107" s="76"/>
      <c r="T107" s="76"/>
      <c r="U107" s="76"/>
      <c r="V107" s="76"/>
      <c r="W107" s="95" t="s">
        <v>465</v>
      </c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</row>
    <row r="108" ht="12.75" customHeight="1">
      <c r="A108" s="103"/>
      <c r="B108" s="76"/>
      <c r="C108" s="82" t="s">
        <v>159</v>
      </c>
      <c r="D108" s="76">
        <v>1.0</v>
      </c>
      <c r="E108" s="76">
        <v>2.0</v>
      </c>
      <c r="F108" s="76">
        <v>3.0</v>
      </c>
      <c r="G108" s="76">
        <v>4.0</v>
      </c>
      <c r="H108" s="76">
        <v>5.0</v>
      </c>
      <c r="I108" s="76">
        <v>6.0</v>
      </c>
      <c r="J108" s="76">
        <v>7.0</v>
      </c>
      <c r="K108" s="76">
        <v>8.0</v>
      </c>
      <c r="L108" s="76">
        <v>9.0</v>
      </c>
      <c r="M108" s="76">
        <v>10.0</v>
      </c>
      <c r="N108" s="76">
        <v>11.0</v>
      </c>
      <c r="O108" s="76">
        <v>12.0</v>
      </c>
      <c r="P108" s="76">
        <v>1.0</v>
      </c>
      <c r="Q108" s="76">
        <v>2.0</v>
      </c>
      <c r="R108" s="76">
        <v>3.0</v>
      </c>
      <c r="S108" s="76">
        <v>4.0</v>
      </c>
      <c r="T108" s="76">
        <v>5.0</v>
      </c>
      <c r="U108" s="76">
        <v>6.0</v>
      </c>
      <c r="V108" s="76">
        <v>7.0</v>
      </c>
      <c r="W108" s="76">
        <v>8.0</v>
      </c>
      <c r="X108" s="76">
        <v>9.0</v>
      </c>
      <c r="Y108" s="76">
        <v>10.0</v>
      </c>
      <c r="Z108" s="76">
        <v>11.0</v>
      </c>
      <c r="AA108" s="76">
        <v>12.0</v>
      </c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</row>
    <row r="109" ht="12.75" customHeight="1">
      <c r="A109" s="103"/>
      <c r="B109" s="76"/>
      <c r="C109" s="82" t="s">
        <v>160</v>
      </c>
      <c r="D109" s="98">
        <v>0.0</v>
      </c>
      <c r="E109" s="98">
        <v>0.0</v>
      </c>
      <c r="F109" s="98">
        <v>0.0</v>
      </c>
      <c r="G109" s="98">
        <v>0.2</v>
      </c>
      <c r="H109" s="98">
        <v>0.2</v>
      </c>
      <c r="I109" s="98">
        <v>0.25</v>
      </c>
      <c r="J109" s="98">
        <v>0.25</v>
      </c>
      <c r="K109" s="98">
        <v>0.1</v>
      </c>
      <c r="L109" s="98">
        <v>0.3</v>
      </c>
      <c r="M109" s="98">
        <v>0.3</v>
      </c>
      <c r="N109" s="98">
        <v>0.35</v>
      </c>
      <c r="O109" s="98">
        <v>0.4</v>
      </c>
      <c r="P109" s="98">
        <v>0.4</v>
      </c>
      <c r="Q109" s="98">
        <v>0.45</v>
      </c>
      <c r="R109" s="98">
        <v>0.45</v>
      </c>
      <c r="S109" s="98">
        <v>0.45</v>
      </c>
      <c r="T109" s="98">
        <v>0.3</v>
      </c>
      <c r="U109" s="98">
        <v>0.25</v>
      </c>
      <c r="V109" s="98">
        <v>0.2</v>
      </c>
      <c r="W109" s="98">
        <v>0.1</v>
      </c>
      <c r="X109" s="98">
        <v>0.3</v>
      </c>
      <c r="Y109" s="98">
        <v>0.55</v>
      </c>
      <c r="Z109" s="98">
        <v>0.55</v>
      </c>
      <c r="AA109" s="98">
        <v>0.5</v>
      </c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</row>
    <row r="110" ht="12.75" customHeight="1">
      <c r="A110" s="103"/>
      <c r="B110" s="76"/>
      <c r="C110" s="76" t="s">
        <v>148</v>
      </c>
      <c r="D110" s="76">
        <f t="shared" ref="D110:AA110" si="47">ROUND(SUM($D98:$AA98)*D$109,0)</f>
        <v>0</v>
      </c>
      <c r="E110" s="76">
        <f t="shared" si="47"/>
        <v>0</v>
      </c>
      <c r="F110" s="76">
        <f t="shared" si="47"/>
        <v>0</v>
      </c>
      <c r="G110" s="76">
        <f t="shared" si="47"/>
        <v>28</v>
      </c>
      <c r="H110" s="76">
        <f t="shared" si="47"/>
        <v>28</v>
      </c>
      <c r="I110" s="76">
        <f t="shared" si="47"/>
        <v>35</v>
      </c>
      <c r="J110" s="76">
        <f t="shared" si="47"/>
        <v>35</v>
      </c>
      <c r="K110" s="76">
        <f t="shared" si="47"/>
        <v>14</v>
      </c>
      <c r="L110" s="76">
        <f t="shared" si="47"/>
        <v>42</v>
      </c>
      <c r="M110" s="76">
        <f t="shared" si="47"/>
        <v>42</v>
      </c>
      <c r="N110" s="76">
        <f t="shared" si="47"/>
        <v>49</v>
      </c>
      <c r="O110" s="76">
        <f t="shared" si="47"/>
        <v>56</v>
      </c>
      <c r="P110" s="76">
        <f t="shared" si="47"/>
        <v>56</v>
      </c>
      <c r="Q110" s="76">
        <f t="shared" si="47"/>
        <v>63</v>
      </c>
      <c r="R110" s="76">
        <f t="shared" si="47"/>
        <v>63</v>
      </c>
      <c r="S110" s="76">
        <f t="shared" si="47"/>
        <v>63</v>
      </c>
      <c r="T110" s="76">
        <f t="shared" si="47"/>
        <v>42</v>
      </c>
      <c r="U110" s="76">
        <f t="shared" si="47"/>
        <v>35</v>
      </c>
      <c r="V110" s="76">
        <f t="shared" si="47"/>
        <v>28</v>
      </c>
      <c r="W110" s="76">
        <f t="shared" si="47"/>
        <v>14</v>
      </c>
      <c r="X110" s="76">
        <f t="shared" si="47"/>
        <v>42</v>
      </c>
      <c r="Y110" s="76">
        <f t="shared" si="47"/>
        <v>77</v>
      </c>
      <c r="Z110" s="76">
        <f t="shared" si="47"/>
        <v>77</v>
      </c>
      <c r="AA110" s="76">
        <f t="shared" si="47"/>
        <v>70</v>
      </c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</row>
    <row r="111" ht="12.75" customHeight="1">
      <c r="A111" s="103"/>
      <c r="B111" s="76"/>
      <c r="C111" s="76" t="s">
        <v>76</v>
      </c>
      <c r="D111" s="76">
        <f t="shared" ref="D111:AA111" si="48">ROUND(SUM($D99:$AA99)*D$109,0)</f>
        <v>0</v>
      </c>
      <c r="E111" s="76">
        <f t="shared" si="48"/>
        <v>0</v>
      </c>
      <c r="F111" s="76">
        <f t="shared" si="48"/>
        <v>0</v>
      </c>
      <c r="G111" s="76">
        <f t="shared" si="48"/>
        <v>26</v>
      </c>
      <c r="H111" s="76">
        <f t="shared" si="48"/>
        <v>26</v>
      </c>
      <c r="I111" s="76">
        <f t="shared" si="48"/>
        <v>32</v>
      </c>
      <c r="J111" s="76">
        <f t="shared" si="48"/>
        <v>32</v>
      </c>
      <c r="K111" s="76">
        <f t="shared" si="48"/>
        <v>13</v>
      </c>
      <c r="L111" s="76">
        <f t="shared" si="48"/>
        <v>38</v>
      </c>
      <c r="M111" s="76">
        <f t="shared" si="48"/>
        <v>38</v>
      </c>
      <c r="N111" s="76">
        <f t="shared" si="48"/>
        <v>45</v>
      </c>
      <c r="O111" s="76">
        <f t="shared" si="48"/>
        <v>51</v>
      </c>
      <c r="P111" s="76">
        <f t="shared" si="48"/>
        <v>51</v>
      </c>
      <c r="Q111" s="76">
        <f t="shared" si="48"/>
        <v>58</v>
      </c>
      <c r="R111" s="76">
        <f t="shared" si="48"/>
        <v>58</v>
      </c>
      <c r="S111" s="76">
        <f t="shared" si="48"/>
        <v>58</v>
      </c>
      <c r="T111" s="76">
        <f t="shared" si="48"/>
        <v>38</v>
      </c>
      <c r="U111" s="76">
        <f t="shared" si="48"/>
        <v>32</v>
      </c>
      <c r="V111" s="76">
        <f t="shared" si="48"/>
        <v>26</v>
      </c>
      <c r="W111" s="76">
        <f t="shared" si="48"/>
        <v>13</v>
      </c>
      <c r="X111" s="76">
        <f t="shared" si="48"/>
        <v>38</v>
      </c>
      <c r="Y111" s="76">
        <f t="shared" si="48"/>
        <v>70</v>
      </c>
      <c r="Z111" s="76">
        <f t="shared" si="48"/>
        <v>70</v>
      </c>
      <c r="AA111" s="76">
        <f t="shared" si="48"/>
        <v>64</v>
      </c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</row>
    <row r="112" ht="12.75" customHeight="1">
      <c r="A112" s="103"/>
      <c r="B112" s="76"/>
      <c r="C112" s="76" t="s">
        <v>80</v>
      </c>
      <c r="D112" s="76">
        <f t="shared" ref="D112:AA112" si="49">ROUND(SUM($D100:$AA100)*D$109,0)</f>
        <v>0</v>
      </c>
      <c r="E112" s="76">
        <f t="shared" si="49"/>
        <v>0</v>
      </c>
      <c r="F112" s="76">
        <f t="shared" si="49"/>
        <v>0</v>
      </c>
      <c r="G112" s="76">
        <f t="shared" si="49"/>
        <v>18</v>
      </c>
      <c r="H112" s="76">
        <f t="shared" si="49"/>
        <v>18</v>
      </c>
      <c r="I112" s="76">
        <f t="shared" si="49"/>
        <v>23</v>
      </c>
      <c r="J112" s="76">
        <f t="shared" si="49"/>
        <v>23</v>
      </c>
      <c r="K112" s="76">
        <f t="shared" si="49"/>
        <v>9</v>
      </c>
      <c r="L112" s="76">
        <f t="shared" si="49"/>
        <v>28</v>
      </c>
      <c r="M112" s="76">
        <f t="shared" si="49"/>
        <v>28</v>
      </c>
      <c r="N112" s="76">
        <f t="shared" si="49"/>
        <v>32</v>
      </c>
      <c r="O112" s="76">
        <f t="shared" si="49"/>
        <v>37</v>
      </c>
      <c r="P112" s="76">
        <f t="shared" si="49"/>
        <v>37</v>
      </c>
      <c r="Q112" s="76">
        <f t="shared" si="49"/>
        <v>41</v>
      </c>
      <c r="R112" s="76">
        <f t="shared" si="49"/>
        <v>41</v>
      </c>
      <c r="S112" s="76">
        <f t="shared" si="49"/>
        <v>41</v>
      </c>
      <c r="T112" s="76">
        <f t="shared" si="49"/>
        <v>28</v>
      </c>
      <c r="U112" s="76">
        <f t="shared" si="49"/>
        <v>23</v>
      </c>
      <c r="V112" s="76">
        <f t="shared" si="49"/>
        <v>18</v>
      </c>
      <c r="W112" s="76">
        <f t="shared" si="49"/>
        <v>9</v>
      </c>
      <c r="X112" s="76">
        <f t="shared" si="49"/>
        <v>28</v>
      </c>
      <c r="Y112" s="76">
        <f t="shared" si="49"/>
        <v>51</v>
      </c>
      <c r="Z112" s="76">
        <f t="shared" si="49"/>
        <v>51</v>
      </c>
      <c r="AA112" s="76">
        <f t="shared" si="49"/>
        <v>46</v>
      </c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</row>
    <row r="113" ht="12.75" customHeight="1">
      <c r="A113" s="103"/>
      <c r="B113" s="76"/>
      <c r="C113" s="76" t="s">
        <v>83</v>
      </c>
      <c r="D113" s="76">
        <f t="shared" ref="D113:AA113" si="50">ROUND(SUM($D101:$AA101)*D$109,0)</f>
        <v>0</v>
      </c>
      <c r="E113" s="76">
        <f t="shared" si="50"/>
        <v>0</v>
      </c>
      <c r="F113" s="76">
        <f t="shared" si="50"/>
        <v>0</v>
      </c>
      <c r="G113" s="76">
        <f t="shared" si="50"/>
        <v>28</v>
      </c>
      <c r="H113" s="76">
        <f t="shared" si="50"/>
        <v>28</v>
      </c>
      <c r="I113" s="76">
        <f t="shared" si="50"/>
        <v>35</v>
      </c>
      <c r="J113" s="76">
        <f t="shared" si="50"/>
        <v>35</v>
      </c>
      <c r="K113" s="76">
        <f t="shared" si="50"/>
        <v>14</v>
      </c>
      <c r="L113" s="76">
        <f t="shared" si="50"/>
        <v>42</v>
      </c>
      <c r="M113" s="76">
        <f t="shared" si="50"/>
        <v>42</v>
      </c>
      <c r="N113" s="76">
        <f t="shared" si="50"/>
        <v>49</v>
      </c>
      <c r="O113" s="76">
        <f t="shared" si="50"/>
        <v>56</v>
      </c>
      <c r="P113" s="76">
        <f t="shared" si="50"/>
        <v>56</v>
      </c>
      <c r="Q113" s="76">
        <f t="shared" si="50"/>
        <v>63</v>
      </c>
      <c r="R113" s="76">
        <f t="shared" si="50"/>
        <v>63</v>
      </c>
      <c r="S113" s="76">
        <f t="shared" si="50"/>
        <v>63</v>
      </c>
      <c r="T113" s="76">
        <f t="shared" si="50"/>
        <v>42</v>
      </c>
      <c r="U113" s="76">
        <f t="shared" si="50"/>
        <v>35</v>
      </c>
      <c r="V113" s="76">
        <f t="shared" si="50"/>
        <v>28</v>
      </c>
      <c r="W113" s="76">
        <f t="shared" si="50"/>
        <v>14</v>
      </c>
      <c r="X113" s="76">
        <f t="shared" si="50"/>
        <v>42</v>
      </c>
      <c r="Y113" s="76">
        <f t="shared" si="50"/>
        <v>77</v>
      </c>
      <c r="Z113" s="76">
        <f t="shared" si="50"/>
        <v>77</v>
      </c>
      <c r="AA113" s="76">
        <f t="shared" si="50"/>
        <v>70</v>
      </c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</row>
    <row r="114" ht="12.75" customHeight="1">
      <c r="A114" s="103"/>
      <c r="B114" s="76"/>
      <c r="C114" s="76" t="s">
        <v>87</v>
      </c>
      <c r="D114" s="76">
        <f t="shared" ref="D114:AA114" si="51">ROUND(SUM($D102:$AA102)*D$109,0)</f>
        <v>0</v>
      </c>
      <c r="E114" s="76">
        <f t="shared" si="51"/>
        <v>0</v>
      </c>
      <c r="F114" s="76">
        <f t="shared" si="51"/>
        <v>0</v>
      </c>
      <c r="G114" s="76">
        <f t="shared" si="51"/>
        <v>22</v>
      </c>
      <c r="H114" s="76">
        <f t="shared" si="51"/>
        <v>22</v>
      </c>
      <c r="I114" s="76">
        <f t="shared" si="51"/>
        <v>27</v>
      </c>
      <c r="J114" s="76">
        <f t="shared" si="51"/>
        <v>27</v>
      </c>
      <c r="K114" s="76">
        <f t="shared" si="51"/>
        <v>11</v>
      </c>
      <c r="L114" s="76">
        <f t="shared" si="51"/>
        <v>32</v>
      </c>
      <c r="M114" s="76">
        <f t="shared" si="51"/>
        <v>32</v>
      </c>
      <c r="N114" s="76">
        <f t="shared" si="51"/>
        <v>38</v>
      </c>
      <c r="O114" s="76">
        <f t="shared" si="51"/>
        <v>43</v>
      </c>
      <c r="P114" s="76">
        <f t="shared" si="51"/>
        <v>43</v>
      </c>
      <c r="Q114" s="76">
        <f t="shared" si="51"/>
        <v>49</v>
      </c>
      <c r="R114" s="76">
        <f t="shared" si="51"/>
        <v>49</v>
      </c>
      <c r="S114" s="76">
        <f t="shared" si="51"/>
        <v>49</v>
      </c>
      <c r="T114" s="76">
        <f t="shared" si="51"/>
        <v>32</v>
      </c>
      <c r="U114" s="76">
        <f t="shared" si="51"/>
        <v>27</v>
      </c>
      <c r="V114" s="76">
        <f t="shared" si="51"/>
        <v>22</v>
      </c>
      <c r="W114" s="76">
        <f t="shared" si="51"/>
        <v>11</v>
      </c>
      <c r="X114" s="76">
        <f t="shared" si="51"/>
        <v>32</v>
      </c>
      <c r="Y114" s="76">
        <f t="shared" si="51"/>
        <v>59</v>
      </c>
      <c r="Z114" s="76">
        <f t="shared" si="51"/>
        <v>59</v>
      </c>
      <c r="AA114" s="76">
        <f t="shared" si="51"/>
        <v>54</v>
      </c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</row>
    <row r="115" ht="12.75" customHeight="1">
      <c r="A115" s="103"/>
      <c r="B115" s="76"/>
      <c r="C115" s="76" t="s">
        <v>464</v>
      </c>
      <c r="D115" s="76">
        <f t="shared" ref="D115:AA115" si="52">ROUND(SUM($D103:$AA103)*D$109,0)</f>
        <v>0</v>
      </c>
      <c r="E115" s="76">
        <f t="shared" si="52"/>
        <v>0</v>
      </c>
      <c r="F115" s="76">
        <f t="shared" si="52"/>
        <v>0</v>
      </c>
      <c r="G115" s="76">
        <f t="shared" si="52"/>
        <v>7</v>
      </c>
      <c r="H115" s="76">
        <f t="shared" si="52"/>
        <v>7</v>
      </c>
      <c r="I115" s="76">
        <f t="shared" si="52"/>
        <v>9</v>
      </c>
      <c r="J115" s="76">
        <f t="shared" si="52"/>
        <v>9</v>
      </c>
      <c r="K115" s="76">
        <f t="shared" si="52"/>
        <v>4</v>
      </c>
      <c r="L115" s="76">
        <f t="shared" si="52"/>
        <v>11</v>
      </c>
      <c r="M115" s="76">
        <f t="shared" si="52"/>
        <v>11</v>
      </c>
      <c r="N115" s="76">
        <f t="shared" si="52"/>
        <v>13</v>
      </c>
      <c r="O115" s="76">
        <f t="shared" si="52"/>
        <v>14</v>
      </c>
      <c r="P115" s="76">
        <f t="shared" si="52"/>
        <v>14</v>
      </c>
      <c r="Q115" s="76">
        <f t="shared" si="52"/>
        <v>16</v>
      </c>
      <c r="R115" s="76">
        <f t="shared" si="52"/>
        <v>16</v>
      </c>
      <c r="S115" s="76">
        <f t="shared" si="52"/>
        <v>16</v>
      </c>
      <c r="T115" s="76">
        <f t="shared" si="52"/>
        <v>11</v>
      </c>
      <c r="U115" s="76">
        <f t="shared" si="52"/>
        <v>9</v>
      </c>
      <c r="V115" s="76">
        <f t="shared" si="52"/>
        <v>7</v>
      </c>
      <c r="W115" s="76">
        <f t="shared" si="52"/>
        <v>4</v>
      </c>
      <c r="X115" s="76">
        <f t="shared" si="52"/>
        <v>11</v>
      </c>
      <c r="Y115" s="76">
        <f t="shared" si="52"/>
        <v>20</v>
      </c>
      <c r="Z115" s="76">
        <f t="shared" si="52"/>
        <v>20</v>
      </c>
      <c r="AA115" s="76">
        <f t="shared" si="52"/>
        <v>18</v>
      </c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</row>
    <row r="116" ht="12.75" customHeight="1">
      <c r="A116" s="103"/>
      <c r="B116" s="76"/>
      <c r="D116" s="93">
        <f t="shared" ref="D116:AA116" si="53">SUM(D110:D115)</f>
        <v>0</v>
      </c>
      <c r="E116" s="93">
        <f t="shared" si="53"/>
        <v>0</v>
      </c>
      <c r="F116" s="93">
        <f t="shared" si="53"/>
        <v>0</v>
      </c>
      <c r="G116" s="93">
        <f t="shared" si="53"/>
        <v>129</v>
      </c>
      <c r="H116" s="93">
        <f t="shared" si="53"/>
        <v>129</v>
      </c>
      <c r="I116" s="93">
        <f t="shared" si="53"/>
        <v>161</v>
      </c>
      <c r="J116" s="93">
        <f t="shared" si="53"/>
        <v>161</v>
      </c>
      <c r="K116" s="93">
        <f t="shared" si="53"/>
        <v>65</v>
      </c>
      <c r="L116" s="93">
        <f t="shared" si="53"/>
        <v>193</v>
      </c>
      <c r="M116" s="93">
        <f t="shared" si="53"/>
        <v>193</v>
      </c>
      <c r="N116" s="93">
        <f t="shared" si="53"/>
        <v>226</v>
      </c>
      <c r="O116" s="93">
        <f t="shared" si="53"/>
        <v>257</v>
      </c>
      <c r="P116" s="93">
        <f t="shared" si="53"/>
        <v>257</v>
      </c>
      <c r="Q116" s="93">
        <f t="shared" si="53"/>
        <v>290</v>
      </c>
      <c r="R116" s="93">
        <f t="shared" si="53"/>
        <v>290</v>
      </c>
      <c r="S116" s="93">
        <f t="shared" si="53"/>
        <v>290</v>
      </c>
      <c r="T116" s="93">
        <f t="shared" si="53"/>
        <v>193</v>
      </c>
      <c r="U116" s="93">
        <f t="shared" si="53"/>
        <v>161</v>
      </c>
      <c r="V116" s="93">
        <f t="shared" si="53"/>
        <v>129</v>
      </c>
      <c r="W116" s="93">
        <f t="shared" si="53"/>
        <v>65</v>
      </c>
      <c r="X116" s="93">
        <f t="shared" si="53"/>
        <v>193</v>
      </c>
      <c r="Y116" s="93">
        <f t="shared" si="53"/>
        <v>354</v>
      </c>
      <c r="Z116" s="93">
        <f t="shared" si="53"/>
        <v>354</v>
      </c>
      <c r="AA116" s="93">
        <f t="shared" si="53"/>
        <v>322</v>
      </c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</row>
    <row r="117" ht="12.75" customHeight="1">
      <c r="A117" s="103"/>
      <c r="B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</row>
    <row r="118" ht="12.75" customHeight="1">
      <c r="A118" s="103"/>
      <c r="B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</row>
    <row r="119" ht="12.75" customHeight="1">
      <c r="A119" s="103"/>
      <c r="B119" s="76"/>
      <c r="C119" s="80" t="s">
        <v>163</v>
      </c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</row>
    <row r="120" ht="12.75" customHeight="1">
      <c r="A120" s="103"/>
      <c r="B120" s="76"/>
      <c r="C120" s="76"/>
      <c r="D120" s="76">
        <v>2024.0</v>
      </c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>
        <v>2025.0</v>
      </c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</row>
    <row r="121" ht="12.75" customHeight="1">
      <c r="A121" s="103"/>
      <c r="B121" s="76"/>
      <c r="C121" s="82" t="s">
        <v>159</v>
      </c>
      <c r="D121" s="76">
        <v>1.0</v>
      </c>
      <c r="E121" s="76">
        <v>2.0</v>
      </c>
      <c r="F121" s="76">
        <v>3.0</v>
      </c>
      <c r="G121" s="76">
        <v>4.0</v>
      </c>
      <c r="H121" s="76">
        <v>5.0</v>
      </c>
      <c r="I121" s="76">
        <v>6.0</v>
      </c>
      <c r="J121" s="76">
        <v>7.0</v>
      </c>
      <c r="K121" s="76">
        <v>8.0</v>
      </c>
      <c r="L121" s="76">
        <v>9.0</v>
      </c>
      <c r="M121" s="76">
        <v>10.0</v>
      </c>
      <c r="N121" s="76">
        <v>11.0</v>
      </c>
      <c r="O121" s="76">
        <v>12.0</v>
      </c>
      <c r="P121" s="76">
        <v>1.0</v>
      </c>
      <c r="Q121" s="76">
        <v>2.0</v>
      </c>
      <c r="R121" s="76">
        <v>3.0</v>
      </c>
      <c r="S121" s="76">
        <v>4.0</v>
      </c>
      <c r="T121" s="76">
        <v>5.0</v>
      </c>
      <c r="U121" s="76">
        <v>6.0</v>
      </c>
      <c r="V121" s="76">
        <v>7.0</v>
      </c>
      <c r="W121" s="76">
        <v>8.0</v>
      </c>
      <c r="X121" s="76">
        <v>9.0</v>
      </c>
      <c r="Y121" s="76">
        <v>10.0</v>
      </c>
      <c r="Z121" s="76">
        <v>11.0</v>
      </c>
      <c r="AA121" s="76">
        <v>12.0</v>
      </c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</row>
    <row r="122" ht="12.75" customHeight="1">
      <c r="A122" s="103"/>
      <c r="B122" s="76"/>
      <c r="C122" s="82" t="s">
        <v>164</v>
      </c>
      <c r="D122" s="107">
        <f t="shared" ref="D122:AA122" si="54">D123/24</f>
        <v>0</v>
      </c>
      <c r="E122" s="107">
        <f t="shared" si="54"/>
        <v>0</v>
      </c>
      <c r="F122" s="107">
        <f t="shared" si="54"/>
        <v>0</v>
      </c>
      <c r="G122" s="107">
        <f t="shared" si="54"/>
        <v>63.29166667</v>
      </c>
      <c r="H122" s="107">
        <f t="shared" si="54"/>
        <v>63.29166667</v>
      </c>
      <c r="I122" s="107">
        <f t="shared" si="54"/>
        <v>78.7594697</v>
      </c>
      <c r="J122" s="107">
        <f t="shared" si="54"/>
        <v>78.7594697</v>
      </c>
      <c r="K122" s="107">
        <f t="shared" si="54"/>
        <v>31.64583333</v>
      </c>
      <c r="L122" s="107">
        <f t="shared" si="54"/>
        <v>94.22727273</v>
      </c>
      <c r="M122" s="107">
        <f t="shared" si="54"/>
        <v>94.22727273</v>
      </c>
      <c r="N122" s="107">
        <f t="shared" si="54"/>
        <v>110.405303</v>
      </c>
      <c r="O122" s="107">
        <f t="shared" si="54"/>
        <v>125.8731061</v>
      </c>
      <c r="P122" s="107">
        <f t="shared" si="54"/>
        <v>125.8731061</v>
      </c>
      <c r="Q122" s="107">
        <f t="shared" si="54"/>
        <v>142.0511364</v>
      </c>
      <c r="R122" s="107">
        <f t="shared" si="54"/>
        <v>142.0511364</v>
      </c>
      <c r="S122" s="107">
        <f t="shared" si="54"/>
        <v>142.0511364</v>
      </c>
      <c r="T122" s="107">
        <f t="shared" si="54"/>
        <v>94.22727273</v>
      </c>
      <c r="U122" s="107">
        <f t="shared" si="54"/>
        <v>78.7594697</v>
      </c>
      <c r="V122" s="107">
        <f t="shared" si="54"/>
        <v>63.29166667</v>
      </c>
      <c r="W122" s="107">
        <f t="shared" si="54"/>
        <v>31.64583333</v>
      </c>
      <c r="X122" s="107">
        <f t="shared" si="54"/>
        <v>94.22727273</v>
      </c>
      <c r="Y122" s="107">
        <f t="shared" si="54"/>
        <v>172.9867424</v>
      </c>
      <c r="Z122" s="107">
        <f t="shared" si="54"/>
        <v>172.9867424</v>
      </c>
      <c r="AA122" s="107">
        <f t="shared" si="54"/>
        <v>157.5189394</v>
      </c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</row>
    <row r="123" ht="12.75" customHeight="1">
      <c r="A123" s="103"/>
      <c r="B123" s="76"/>
      <c r="C123" s="82" t="s">
        <v>165</v>
      </c>
      <c r="D123" s="108">
        <f t="shared" ref="D123:AA123" si="55">SUM(D124:D129)</f>
        <v>0</v>
      </c>
      <c r="E123" s="108">
        <f t="shared" si="55"/>
        <v>0</v>
      </c>
      <c r="F123" s="108">
        <f t="shared" si="55"/>
        <v>0</v>
      </c>
      <c r="G123" s="108">
        <f t="shared" si="55"/>
        <v>1519</v>
      </c>
      <c r="H123" s="108">
        <f t="shared" si="55"/>
        <v>1519</v>
      </c>
      <c r="I123" s="108">
        <f t="shared" si="55"/>
        <v>1890.227273</v>
      </c>
      <c r="J123" s="108">
        <f t="shared" si="55"/>
        <v>1890.227273</v>
      </c>
      <c r="K123" s="108">
        <f t="shared" si="55"/>
        <v>759.5</v>
      </c>
      <c r="L123" s="108">
        <f t="shared" si="55"/>
        <v>2261.454545</v>
      </c>
      <c r="M123" s="108">
        <f t="shared" si="55"/>
        <v>2261.454545</v>
      </c>
      <c r="N123" s="108">
        <f t="shared" si="55"/>
        <v>2649.727273</v>
      </c>
      <c r="O123" s="108">
        <f t="shared" si="55"/>
        <v>3020.954545</v>
      </c>
      <c r="P123" s="109">
        <f t="shared" si="55"/>
        <v>3020.954545</v>
      </c>
      <c r="Q123" s="109">
        <f t="shared" si="55"/>
        <v>3409.227273</v>
      </c>
      <c r="R123" s="109">
        <f t="shared" si="55"/>
        <v>3409.227273</v>
      </c>
      <c r="S123" s="109">
        <f t="shared" si="55"/>
        <v>3409.227273</v>
      </c>
      <c r="T123" s="109">
        <f t="shared" si="55"/>
        <v>2261.454545</v>
      </c>
      <c r="U123" s="109">
        <f t="shared" si="55"/>
        <v>1890.227273</v>
      </c>
      <c r="V123" s="109">
        <f t="shared" si="55"/>
        <v>1519</v>
      </c>
      <c r="W123" s="109">
        <f t="shared" si="55"/>
        <v>759.5</v>
      </c>
      <c r="X123" s="109">
        <f t="shared" si="55"/>
        <v>2261.454545</v>
      </c>
      <c r="Y123" s="109">
        <f t="shared" si="55"/>
        <v>4151.681818</v>
      </c>
      <c r="Z123" s="109">
        <f t="shared" si="55"/>
        <v>4151.681818</v>
      </c>
      <c r="AA123" s="109">
        <f t="shared" si="55"/>
        <v>3780.454545</v>
      </c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</row>
    <row r="124" ht="12.75" customHeight="1">
      <c r="A124" s="103"/>
      <c r="B124" s="595">
        <f>UNIT_PRICE_CLIENT_A</f>
        <v>5</v>
      </c>
      <c r="C124" s="76" t="s">
        <v>148</v>
      </c>
      <c r="D124" s="76">
        <f t="shared" ref="D124:AA124" si="56">D110*$B124</f>
        <v>0</v>
      </c>
      <c r="E124" s="76">
        <f t="shared" si="56"/>
        <v>0</v>
      </c>
      <c r="F124" s="76">
        <f t="shared" si="56"/>
        <v>0</v>
      </c>
      <c r="G124" s="76">
        <f t="shared" si="56"/>
        <v>140</v>
      </c>
      <c r="H124" s="76">
        <f t="shared" si="56"/>
        <v>140</v>
      </c>
      <c r="I124" s="76">
        <f t="shared" si="56"/>
        <v>175</v>
      </c>
      <c r="J124" s="76">
        <f t="shared" si="56"/>
        <v>175</v>
      </c>
      <c r="K124" s="76">
        <f t="shared" si="56"/>
        <v>70</v>
      </c>
      <c r="L124" s="76">
        <f t="shared" si="56"/>
        <v>210</v>
      </c>
      <c r="M124" s="76">
        <f t="shared" si="56"/>
        <v>210</v>
      </c>
      <c r="N124" s="76">
        <f t="shared" si="56"/>
        <v>245</v>
      </c>
      <c r="O124" s="76">
        <f t="shared" si="56"/>
        <v>280</v>
      </c>
      <c r="P124" s="76">
        <f t="shared" si="56"/>
        <v>280</v>
      </c>
      <c r="Q124" s="76">
        <f t="shared" si="56"/>
        <v>315</v>
      </c>
      <c r="R124" s="76">
        <f t="shared" si="56"/>
        <v>315</v>
      </c>
      <c r="S124" s="76">
        <f t="shared" si="56"/>
        <v>315</v>
      </c>
      <c r="T124" s="76">
        <f t="shared" si="56"/>
        <v>210</v>
      </c>
      <c r="U124" s="76">
        <f t="shared" si="56"/>
        <v>175</v>
      </c>
      <c r="V124" s="76">
        <f t="shared" si="56"/>
        <v>140</v>
      </c>
      <c r="W124" s="76">
        <f t="shared" si="56"/>
        <v>70</v>
      </c>
      <c r="X124" s="76">
        <f t="shared" si="56"/>
        <v>210</v>
      </c>
      <c r="Y124" s="76">
        <f t="shared" si="56"/>
        <v>385</v>
      </c>
      <c r="Z124" s="76">
        <f t="shared" si="56"/>
        <v>385</v>
      </c>
      <c r="AA124" s="76">
        <f t="shared" si="56"/>
        <v>350</v>
      </c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</row>
    <row r="125" ht="12.75" customHeight="1">
      <c r="A125" s="103"/>
      <c r="B125" s="595">
        <f>UNIT_PRICE_CLIENT_B</f>
        <v>9.181818182</v>
      </c>
      <c r="C125" s="76" t="s">
        <v>76</v>
      </c>
      <c r="D125" s="76">
        <f t="shared" ref="D125:AA125" si="57">D111*$B125</f>
        <v>0</v>
      </c>
      <c r="E125" s="76">
        <f t="shared" si="57"/>
        <v>0</v>
      </c>
      <c r="F125" s="76">
        <f t="shared" si="57"/>
        <v>0</v>
      </c>
      <c r="G125" s="76">
        <f t="shared" si="57"/>
        <v>238.7272727</v>
      </c>
      <c r="H125" s="76">
        <f t="shared" si="57"/>
        <v>238.7272727</v>
      </c>
      <c r="I125" s="76">
        <f t="shared" si="57"/>
        <v>293.8181818</v>
      </c>
      <c r="J125" s="76">
        <f t="shared" si="57"/>
        <v>293.8181818</v>
      </c>
      <c r="K125" s="76">
        <f t="shared" si="57"/>
        <v>119.3636364</v>
      </c>
      <c r="L125" s="76">
        <f t="shared" si="57"/>
        <v>348.9090909</v>
      </c>
      <c r="M125" s="76">
        <f t="shared" si="57"/>
        <v>348.9090909</v>
      </c>
      <c r="N125" s="76">
        <f t="shared" si="57"/>
        <v>413.1818182</v>
      </c>
      <c r="O125" s="76">
        <f t="shared" si="57"/>
        <v>468.2727273</v>
      </c>
      <c r="P125" s="76">
        <f t="shared" si="57"/>
        <v>468.2727273</v>
      </c>
      <c r="Q125" s="76">
        <f t="shared" si="57"/>
        <v>532.5454545</v>
      </c>
      <c r="R125" s="76">
        <f t="shared" si="57"/>
        <v>532.5454545</v>
      </c>
      <c r="S125" s="76">
        <f t="shared" si="57"/>
        <v>532.5454545</v>
      </c>
      <c r="T125" s="76">
        <f t="shared" si="57"/>
        <v>348.9090909</v>
      </c>
      <c r="U125" s="76">
        <f t="shared" si="57"/>
        <v>293.8181818</v>
      </c>
      <c r="V125" s="76">
        <f t="shared" si="57"/>
        <v>238.7272727</v>
      </c>
      <c r="W125" s="76">
        <f t="shared" si="57"/>
        <v>119.3636364</v>
      </c>
      <c r="X125" s="76">
        <f t="shared" si="57"/>
        <v>348.9090909</v>
      </c>
      <c r="Y125" s="76">
        <f t="shared" si="57"/>
        <v>642.7272727</v>
      </c>
      <c r="Z125" s="76">
        <f t="shared" si="57"/>
        <v>642.7272727</v>
      </c>
      <c r="AA125" s="76">
        <f t="shared" si="57"/>
        <v>587.6363636</v>
      </c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</row>
    <row r="126" ht="12.75" customHeight="1">
      <c r="A126" s="103"/>
      <c r="B126" s="595">
        <f>UNIT_PRICE_CLIENT_C</f>
        <v>12.72727273</v>
      </c>
      <c r="C126" s="76" t="s">
        <v>80</v>
      </c>
      <c r="D126" s="76">
        <f t="shared" ref="D126:AA126" si="58">D112*$B126</f>
        <v>0</v>
      </c>
      <c r="E126" s="76">
        <f t="shared" si="58"/>
        <v>0</v>
      </c>
      <c r="F126" s="76">
        <f t="shared" si="58"/>
        <v>0</v>
      </c>
      <c r="G126" s="76">
        <f t="shared" si="58"/>
        <v>229.0909091</v>
      </c>
      <c r="H126" s="76">
        <f t="shared" si="58"/>
        <v>229.0909091</v>
      </c>
      <c r="I126" s="76">
        <f t="shared" si="58"/>
        <v>292.7272727</v>
      </c>
      <c r="J126" s="76">
        <f t="shared" si="58"/>
        <v>292.7272727</v>
      </c>
      <c r="K126" s="76">
        <f t="shared" si="58"/>
        <v>114.5454545</v>
      </c>
      <c r="L126" s="76">
        <f t="shared" si="58"/>
        <v>356.3636364</v>
      </c>
      <c r="M126" s="76">
        <f t="shared" si="58"/>
        <v>356.3636364</v>
      </c>
      <c r="N126" s="76">
        <f t="shared" si="58"/>
        <v>407.2727273</v>
      </c>
      <c r="O126" s="76">
        <f t="shared" si="58"/>
        <v>470.9090909</v>
      </c>
      <c r="P126" s="76">
        <f t="shared" si="58"/>
        <v>470.9090909</v>
      </c>
      <c r="Q126" s="76">
        <f t="shared" si="58"/>
        <v>521.8181818</v>
      </c>
      <c r="R126" s="76">
        <f t="shared" si="58"/>
        <v>521.8181818</v>
      </c>
      <c r="S126" s="76">
        <f t="shared" si="58"/>
        <v>521.8181818</v>
      </c>
      <c r="T126" s="76">
        <f t="shared" si="58"/>
        <v>356.3636364</v>
      </c>
      <c r="U126" s="76">
        <f t="shared" si="58"/>
        <v>292.7272727</v>
      </c>
      <c r="V126" s="76">
        <f t="shared" si="58"/>
        <v>229.0909091</v>
      </c>
      <c r="W126" s="76">
        <f t="shared" si="58"/>
        <v>114.5454545</v>
      </c>
      <c r="X126" s="76">
        <f t="shared" si="58"/>
        <v>356.3636364</v>
      </c>
      <c r="Y126" s="76">
        <f t="shared" si="58"/>
        <v>649.0909091</v>
      </c>
      <c r="Z126" s="76">
        <f t="shared" si="58"/>
        <v>649.0909091</v>
      </c>
      <c r="AA126" s="76">
        <f t="shared" si="58"/>
        <v>585.4545455</v>
      </c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</row>
    <row r="127" ht="12.75" customHeight="1">
      <c r="A127" s="103"/>
      <c r="B127" s="595">
        <f>UNIT_PRICE_CLIENT_D</f>
        <v>16.36363636</v>
      </c>
      <c r="C127" s="76" t="s">
        <v>83</v>
      </c>
      <c r="D127" s="76">
        <f t="shared" ref="D127:AA127" si="59">D113*$B127</f>
        <v>0</v>
      </c>
      <c r="E127" s="76">
        <f t="shared" si="59"/>
        <v>0</v>
      </c>
      <c r="F127" s="76">
        <f t="shared" si="59"/>
        <v>0</v>
      </c>
      <c r="G127" s="76">
        <f t="shared" si="59"/>
        <v>458.1818182</v>
      </c>
      <c r="H127" s="76">
        <f t="shared" si="59"/>
        <v>458.1818182</v>
      </c>
      <c r="I127" s="76">
        <f t="shared" si="59"/>
        <v>572.7272727</v>
      </c>
      <c r="J127" s="76">
        <f t="shared" si="59"/>
        <v>572.7272727</v>
      </c>
      <c r="K127" s="76">
        <f t="shared" si="59"/>
        <v>229.0909091</v>
      </c>
      <c r="L127" s="76">
        <f t="shared" si="59"/>
        <v>687.2727273</v>
      </c>
      <c r="M127" s="76">
        <f t="shared" si="59"/>
        <v>687.2727273</v>
      </c>
      <c r="N127" s="76">
        <f t="shared" si="59"/>
        <v>801.8181818</v>
      </c>
      <c r="O127" s="76">
        <f t="shared" si="59"/>
        <v>916.3636364</v>
      </c>
      <c r="P127" s="76">
        <f t="shared" si="59"/>
        <v>916.3636364</v>
      </c>
      <c r="Q127" s="76">
        <f t="shared" si="59"/>
        <v>1030.909091</v>
      </c>
      <c r="R127" s="76">
        <f t="shared" si="59"/>
        <v>1030.909091</v>
      </c>
      <c r="S127" s="76">
        <f t="shared" si="59"/>
        <v>1030.909091</v>
      </c>
      <c r="T127" s="76">
        <f t="shared" si="59"/>
        <v>687.2727273</v>
      </c>
      <c r="U127" s="76">
        <f t="shared" si="59"/>
        <v>572.7272727</v>
      </c>
      <c r="V127" s="76">
        <f t="shared" si="59"/>
        <v>458.1818182</v>
      </c>
      <c r="W127" s="76">
        <f t="shared" si="59"/>
        <v>229.0909091</v>
      </c>
      <c r="X127" s="76">
        <f t="shared" si="59"/>
        <v>687.2727273</v>
      </c>
      <c r="Y127" s="76">
        <f t="shared" si="59"/>
        <v>1260</v>
      </c>
      <c r="Z127" s="76">
        <f t="shared" si="59"/>
        <v>1260</v>
      </c>
      <c r="AA127" s="76">
        <f t="shared" si="59"/>
        <v>1145.454545</v>
      </c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</row>
    <row r="128" ht="12.75" customHeight="1">
      <c r="A128" s="103"/>
      <c r="B128" s="595">
        <f>UNIT_PRICE_CLIENT_E</f>
        <v>20.59090909</v>
      </c>
      <c r="C128" s="76" t="s">
        <v>87</v>
      </c>
      <c r="D128" s="76">
        <f t="shared" ref="D128:AA128" si="60">D114*$B128</f>
        <v>0</v>
      </c>
      <c r="E128" s="76">
        <f t="shared" si="60"/>
        <v>0</v>
      </c>
      <c r="F128" s="76">
        <f t="shared" si="60"/>
        <v>0</v>
      </c>
      <c r="G128" s="76">
        <f t="shared" si="60"/>
        <v>453</v>
      </c>
      <c r="H128" s="76">
        <f t="shared" si="60"/>
        <v>453</v>
      </c>
      <c r="I128" s="76">
        <f t="shared" si="60"/>
        <v>555.9545455</v>
      </c>
      <c r="J128" s="76">
        <f t="shared" si="60"/>
        <v>555.9545455</v>
      </c>
      <c r="K128" s="76">
        <f t="shared" si="60"/>
        <v>226.5</v>
      </c>
      <c r="L128" s="76">
        <f t="shared" si="60"/>
        <v>658.9090909</v>
      </c>
      <c r="M128" s="76">
        <f t="shared" si="60"/>
        <v>658.9090909</v>
      </c>
      <c r="N128" s="76">
        <f t="shared" si="60"/>
        <v>782.4545455</v>
      </c>
      <c r="O128" s="76">
        <f t="shared" si="60"/>
        <v>885.4090909</v>
      </c>
      <c r="P128" s="76">
        <f t="shared" si="60"/>
        <v>885.4090909</v>
      </c>
      <c r="Q128" s="76">
        <f t="shared" si="60"/>
        <v>1008.954545</v>
      </c>
      <c r="R128" s="76">
        <f t="shared" si="60"/>
        <v>1008.954545</v>
      </c>
      <c r="S128" s="76">
        <f t="shared" si="60"/>
        <v>1008.954545</v>
      </c>
      <c r="T128" s="76">
        <f t="shared" si="60"/>
        <v>658.9090909</v>
      </c>
      <c r="U128" s="76">
        <f t="shared" si="60"/>
        <v>555.9545455</v>
      </c>
      <c r="V128" s="76">
        <f t="shared" si="60"/>
        <v>453</v>
      </c>
      <c r="W128" s="76">
        <f t="shared" si="60"/>
        <v>226.5</v>
      </c>
      <c r="X128" s="76">
        <f t="shared" si="60"/>
        <v>658.9090909</v>
      </c>
      <c r="Y128" s="76">
        <f t="shared" si="60"/>
        <v>1214.863636</v>
      </c>
      <c r="Z128" s="76">
        <f t="shared" si="60"/>
        <v>1214.863636</v>
      </c>
      <c r="AA128" s="76">
        <f t="shared" si="60"/>
        <v>1111.909091</v>
      </c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</row>
    <row r="129" ht="12.75" customHeight="1">
      <c r="A129" s="103"/>
      <c r="B129" s="595">
        <f>UNIT_PRICE_CLIENT_F</f>
        <v>0</v>
      </c>
      <c r="C129" s="76" t="s">
        <v>464</v>
      </c>
      <c r="D129" s="76">
        <f t="shared" ref="D129:AA129" si="61">D115*$B129</f>
        <v>0</v>
      </c>
      <c r="E129" s="76">
        <f t="shared" si="61"/>
        <v>0</v>
      </c>
      <c r="F129" s="76">
        <f t="shared" si="61"/>
        <v>0</v>
      </c>
      <c r="G129" s="76">
        <f t="shared" si="61"/>
        <v>0</v>
      </c>
      <c r="H129" s="76">
        <f t="shared" si="61"/>
        <v>0</v>
      </c>
      <c r="I129" s="76">
        <f t="shared" si="61"/>
        <v>0</v>
      </c>
      <c r="J129" s="76">
        <f t="shared" si="61"/>
        <v>0</v>
      </c>
      <c r="K129" s="76">
        <f t="shared" si="61"/>
        <v>0</v>
      </c>
      <c r="L129" s="76">
        <f t="shared" si="61"/>
        <v>0</v>
      </c>
      <c r="M129" s="76">
        <f t="shared" si="61"/>
        <v>0</v>
      </c>
      <c r="N129" s="76">
        <f t="shared" si="61"/>
        <v>0</v>
      </c>
      <c r="O129" s="76">
        <f t="shared" si="61"/>
        <v>0</v>
      </c>
      <c r="P129" s="76">
        <f t="shared" si="61"/>
        <v>0</v>
      </c>
      <c r="Q129" s="76">
        <f t="shared" si="61"/>
        <v>0</v>
      </c>
      <c r="R129" s="76">
        <f t="shared" si="61"/>
        <v>0</v>
      </c>
      <c r="S129" s="76">
        <f t="shared" si="61"/>
        <v>0</v>
      </c>
      <c r="T129" s="76">
        <f t="shared" si="61"/>
        <v>0</v>
      </c>
      <c r="U129" s="76">
        <f t="shared" si="61"/>
        <v>0</v>
      </c>
      <c r="V129" s="76">
        <f t="shared" si="61"/>
        <v>0</v>
      </c>
      <c r="W129" s="76">
        <f t="shared" si="61"/>
        <v>0</v>
      </c>
      <c r="X129" s="76">
        <f t="shared" si="61"/>
        <v>0</v>
      </c>
      <c r="Y129" s="76">
        <f t="shared" si="61"/>
        <v>0</v>
      </c>
      <c r="Z129" s="76">
        <f t="shared" si="61"/>
        <v>0</v>
      </c>
      <c r="AA129" s="76">
        <f t="shared" si="61"/>
        <v>0</v>
      </c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</row>
    <row r="130" ht="12.75" customHeight="1">
      <c r="A130" s="103"/>
      <c r="B130" s="76"/>
      <c r="D130" s="112">
        <f>SUM(D123:O123)</f>
        <v>17771.54545</v>
      </c>
      <c r="P130" s="113">
        <f>SUM(P123:AA123)</f>
        <v>34024.09091</v>
      </c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</row>
    <row r="131" ht="12.75" customHeight="1">
      <c r="A131" s="103"/>
      <c r="B131" s="76"/>
      <c r="C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</row>
    <row r="132" ht="12.75" customHeight="1">
      <c r="A132" s="103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115">
        <f>(P130-D130)/D130</f>
        <v>0.9145262856</v>
      </c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</row>
    <row r="133" ht="12.75" customHeight="1">
      <c r="A133" s="103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</row>
    <row r="134" ht="12.75" customHeight="1">
      <c r="A134" s="103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</row>
    <row r="135" ht="12.75" customHeight="1">
      <c r="A135" s="103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</row>
    <row r="136" ht="12.75" customHeight="1">
      <c r="A136" s="103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</row>
    <row r="137" ht="12.75" customHeight="1">
      <c r="A137" s="103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</row>
    <row r="138" ht="12.75" customHeight="1">
      <c r="A138" s="76"/>
      <c r="B138" s="117" t="s">
        <v>177</v>
      </c>
      <c r="C138" s="117" t="s">
        <v>178</v>
      </c>
      <c r="D138" s="117">
        <v>2024.0</v>
      </c>
      <c r="E138" s="117">
        <v>2025.0</v>
      </c>
      <c r="F138" s="117">
        <v>2026.0</v>
      </c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</row>
    <row r="139" ht="12.75" customHeight="1">
      <c r="A139" s="596" t="s">
        <v>179</v>
      </c>
      <c r="B139" s="117"/>
      <c r="C139" s="117"/>
      <c r="D139" s="117"/>
      <c r="E139" s="117"/>
      <c r="F139" s="117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</row>
    <row r="140" ht="12.75" customHeight="1">
      <c r="A140" s="76"/>
      <c r="B140" s="117">
        <v>8.0</v>
      </c>
      <c r="C140" s="117" t="s">
        <v>180</v>
      </c>
      <c r="D140" s="117">
        <v>10.0</v>
      </c>
      <c r="E140" s="117">
        <v>25.0</v>
      </c>
      <c r="F140" s="117">
        <v>30.0</v>
      </c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</row>
    <row r="141" ht="12.75" customHeight="1">
      <c r="A141" s="76"/>
      <c r="B141" s="117">
        <v>20.0</v>
      </c>
      <c r="C141" s="117" t="s">
        <v>181</v>
      </c>
      <c r="D141" s="117">
        <v>0.0</v>
      </c>
      <c r="E141" s="117">
        <v>10.0</v>
      </c>
      <c r="F141" s="117">
        <v>30.0</v>
      </c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</row>
    <row r="142" ht="12.75" customHeight="1">
      <c r="A142" s="76"/>
      <c r="B142" s="117">
        <v>15.0</v>
      </c>
      <c r="C142" s="117" t="s">
        <v>182</v>
      </c>
      <c r="D142" s="117">
        <v>0.0</v>
      </c>
      <c r="E142" s="117">
        <v>0.0</v>
      </c>
      <c r="F142" s="117">
        <v>10.0</v>
      </c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</row>
    <row r="143" ht="12.75" customHeight="1">
      <c r="A143" s="76"/>
      <c r="B143" s="117">
        <v>10.0</v>
      </c>
      <c r="C143" s="117" t="s">
        <v>183</v>
      </c>
      <c r="D143" s="117">
        <v>10.0</v>
      </c>
      <c r="E143" s="117">
        <v>25.0</v>
      </c>
      <c r="F143" s="117">
        <v>30.0</v>
      </c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</row>
    <row r="144" ht="12.75" customHeight="1">
      <c r="B144" s="119">
        <v>30.0</v>
      </c>
      <c r="C144" s="119" t="s">
        <v>184</v>
      </c>
      <c r="D144" s="117">
        <v>0.0</v>
      </c>
      <c r="E144" s="117">
        <v>0.0</v>
      </c>
      <c r="F144" s="117">
        <v>5.0</v>
      </c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</row>
    <row r="145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</row>
    <row r="146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</row>
    <row r="147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</row>
    <row r="148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</row>
    <row r="149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</row>
    <row r="150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</row>
    <row r="151" ht="12.75" customHeight="1">
      <c r="A151" s="600"/>
      <c r="B151" s="600"/>
      <c r="C151" s="600"/>
      <c r="D151" s="600"/>
      <c r="E151" s="600"/>
      <c r="F151" s="600"/>
      <c r="G151" s="600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</row>
    <row r="152" ht="12.75" customHeight="1">
      <c r="A152" s="601" t="s">
        <v>467</v>
      </c>
      <c r="B152" s="602" t="s">
        <v>468</v>
      </c>
      <c r="C152" s="602"/>
      <c r="D152" s="602">
        <v>2024.0</v>
      </c>
      <c r="E152" s="602">
        <v>2025.0</v>
      </c>
      <c r="F152" s="602">
        <v>2026.0</v>
      </c>
      <c r="G152" s="600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</row>
    <row r="153" ht="12.75" customHeight="1">
      <c r="A153" s="600"/>
      <c r="B153" s="602">
        <v>450.0</v>
      </c>
      <c r="C153" s="602" t="s">
        <v>469</v>
      </c>
      <c r="D153" s="602">
        <v>1.0</v>
      </c>
      <c r="E153" s="602">
        <v>2.0</v>
      </c>
      <c r="F153" s="602">
        <v>2.0</v>
      </c>
      <c r="G153" s="600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</row>
    <row r="154" ht="12.75" customHeight="1">
      <c r="A154" s="600"/>
      <c r="B154" s="602">
        <v>1000.0</v>
      </c>
      <c r="C154" s="602" t="s">
        <v>470</v>
      </c>
      <c r="D154" s="602"/>
      <c r="E154" s="602">
        <v>1.0</v>
      </c>
      <c r="F154" s="602">
        <v>2.0</v>
      </c>
      <c r="G154" s="600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</row>
    <row r="155" ht="12.75" customHeight="1">
      <c r="A155" s="600"/>
      <c r="B155" s="600"/>
      <c r="C155" s="600"/>
      <c r="D155" s="600"/>
      <c r="E155" s="600"/>
      <c r="F155" s="600"/>
      <c r="G155" s="600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</row>
    <row r="156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</row>
    <row r="159" ht="12.75" customHeight="1">
      <c r="A159" s="76"/>
      <c r="B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</row>
    <row r="160" ht="12.75" customHeight="1">
      <c r="A160" s="76"/>
      <c r="B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</row>
    <row r="711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</row>
    <row r="71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</row>
    <row r="713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</row>
    <row r="714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</row>
    <row r="715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</row>
    <row r="716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</row>
    <row r="717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</row>
    <row r="718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</row>
    <row r="719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</row>
    <row r="720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</row>
    <row r="721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</row>
    <row r="72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</row>
    <row r="723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</row>
    <row r="724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</row>
    <row r="725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</row>
    <row r="726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</row>
    <row r="727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</row>
    <row r="728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</row>
    <row r="729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</row>
    <row r="730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</row>
    <row r="731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</row>
    <row r="733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</row>
    <row r="734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</row>
    <row r="735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</row>
    <row r="736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</row>
    <row r="737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</row>
    <row r="738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</row>
    <row r="739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</row>
    <row r="740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</row>
    <row r="741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</row>
    <row r="74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</row>
    <row r="743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</row>
    <row r="744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</row>
    <row r="745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</row>
    <row r="746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</row>
    <row r="747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</row>
    <row r="748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</row>
    <row r="749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</row>
    <row r="750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</row>
    <row r="751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</row>
    <row r="75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</row>
    <row r="753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</row>
    <row r="754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</row>
    <row r="755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</row>
    <row r="756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</row>
    <row r="757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</row>
    <row r="758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</row>
    <row r="759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</row>
    <row r="760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</row>
    <row r="761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</row>
    <row r="76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</row>
    <row r="763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</row>
    <row r="764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</row>
    <row r="765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</row>
    <row r="766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</row>
    <row r="767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</row>
    <row r="768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</row>
    <row r="769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</row>
    <row r="770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</row>
    <row r="771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</row>
    <row r="77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</row>
    <row r="773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</row>
    <row r="774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</row>
    <row r="775" ht="12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</row>
    <row r="776" ht="12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</row>
    <row r="777" ht="12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</row>
    <row r="778" ht="12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</row>
    <row r="779" ht="12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</row>
    <row r="780" ht="12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</row>
    <row r="781" ht="12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</row>
    <row r="782" ht="12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</row>
    <row r="783" ht="12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</row>
    <row r="784" ht="12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</row>
    <row r="785" ht="12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</row>
    <row r="786" ht="12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</row>
    <row r="787" ht="12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</row>
    <row r="788" ht="12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</row>
    <row r="789" ht="12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</row>
    <row r="790" ht="12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</row>
    <row r="791" ht="12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</row>
    <row r="792" ht="12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</row>
    <row r="793" ht="12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</row>
    <row r="794" ht="12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</row>
    <row r="795" ht="12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</row>
    <row r="796" ht="12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</row>
    <row r="797" ht="12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</row>
    <row r="798" ht="12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</row>
    <row r="799" ht="12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</row>
    <row r="800" ht="12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</row>
    <row r="801" ht="12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</row>
    <row r="802" ht="12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</row>
    <row r="803" ht="12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</row>
    <row r="804" ht="12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</row>
    <row r="805" ht="12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</row>
    <row r="806" ht="12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</row>
    <row r="807" ht="12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</row>
    <row r="808" ht="12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</row>
    <row r="809" ht="12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</row>
    <row r="810" ht="12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</row>
    <row r="811" ht="12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</row>
    <row r="812" ht="12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</row>
    <row r="813" ht="12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</row>
    <row r="814" ht="12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</row>
    <row r="815" ht="12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</row>
    <row r="816" ht="12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</row>
    <row r="817" ht="12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</row>
    <row r="818" ht="12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</row>
    <row r="819" ht="12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</row>
    <row r="820" ht="12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</row>
    <row r="821" ht="12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</row>
    <row r="822" ht="12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</row>
    <row r="823" ht="12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</row>
    <row r="824" ht="12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</row>
    <row r="825" ht="12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</row>
    <row r="826" ht="12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</row>
    <row r="827" ht="12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</row>
    <row r="828" ht="12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</row>
    <row r="829" ht="12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</row>
    <row r="830" ht="12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</row>
    <row r="831" ht="12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</row>
    <row r="832" ht="12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</row>
    <row r="833" ht="12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</row>
    <row r="834" ht="12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</row>
    <row r="835" ht="12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</row>
    <row r="836" ht="12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</row>
    <row r="837" ht="12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</row>
    <row r="838" ht="12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</row>
    <row r="839" ht="12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</row>
    <row r="840" ht="12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</row>
    <row r="841" ht="12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</row>
    <row r="842" ht="12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</row>
    <row r="843" ht="12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</row>
    <row r="844" ht="12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</row>
    <row r="845" ht="12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</row>
    <row r="846" ht="12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</row>
    <row r="847" ht="12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</row>
    <row r="848" ht="12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</row>
    <row r="849" ht="12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</row>
    <row r="850" ht="12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</row>
    <row r="851" ht="12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</row>
    <row r="852" ht="12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</row>
    <row r="853" ht="12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</row>
    <row r="854" ht="12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</row>
    <row r="855" ht="12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</row>
    <row r="856" ht="12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</row>
    <row r="857" ht="12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</row>
  </sheetData>
  <autoFilter ref="$C$36:$AA$46"/>
  <mergeCells count="8">
    <mergeCell ref="D60:O61"/>
    <mergeCell ref="P60:AA61"/>
    <mergeCell ref="AB60:AM61"/>
    <mergeCell ref="AN60:AY61"/>
    <mergeCell ref="O62:P63"/>
    <mergeCell ref="D130:O131"/>
    <mergeCell ref="P130:AA131"/>
    <mergeCell ref="O132:P13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10DD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 outlineLevelCol="1" outlineLevelRow="1"/>
  <cols>
    <col customWidth="1" min="1" max="1" width="3.88"/>
    <col customWidth="1" min="2" max="2" width="46.88"/>
    <col customWidth="1" min="3" max="3" width="15.38"/>
    <col customWidth="1" min="4" max="8" width="10.88" outlineLevel="1"/>
    <col customWidth="1" min="9" max="9" width="11.88"/>
    <col customWidth="1" min="10" max="13" width="10.88" outlineLevel="1"/>
    <col customWidth="1" min="14" max="16" width="11.88"/>
    <col customWidth="1" min="17" max="17" width="8.38"/>
    <col customWidth="1" min="18" max="27" width="11.38"/>
  </cols>
  <sheetData>
    <row r="1" ht="6.75" customHeight="1">
      <c r="A1" s="612"/>
      <c r="B1" s="613"/>
      <c r="C1" s="614"/>
      <c r="D1" s="612"/>
      <c r="E1" s="612"/>
      <c r="F1" s="479"/>
      <c r="G1" s="612"/>
      <c r="H1" s="612"/>
      <c r="I1" s="612"/>
      <c r="J1" s="615"/>
      <c r="K1" s="612"/>
      <c r="L1" s="612"/>
      <c r="M1" s="612"/>
      <c r="N1" s="616"/>
      <c r="O1" s="612"/>
      <c r="P1" s="612"/>
      <c r="Q1" s="617"/>
      <c r="R1" s="612"/>
      <c r="S1" s="612"/>
      <c r="T1" s="612"/>
      <c r="U1" s="612"/>
      <c r="V1" s="612"/>
      <c r="W1" s="612"/>
      <c r="X1" s="612"/>
      <c r="Y1" s="612"/>
      <c r="Z1" s="612"/>
      <c r="AA1" s="612"/>
    </row>
    <row r="2" ht="24.75" customHeight="1">
      <c r="A2" s="482"/>
      <c r="B2" s="34" t="s">
        <v>491</v>
      </c>
      <c r="C2" s="35"/>
      <c r="D2" s="618"/>
      <c r="E2" s="37"/>
      <c r="F2" s="37"/>
      <c r="G2" s="37"/>
      <c r="H2" s="37"/>
      <c r="I2" s="37"/>
      <c r="J2" s="37"/>
      <c r="K2" s="37"/>
      <c r="L2" s="619"/>
      <c r="M2" s="37"/>
      <c r="N2" s="37"/>
      <c r="O2" s="37"/>
      <c r="P2" s="619"/>
      <c r="Q2" s="620"/>
      <c r="R2" s="482"/>
      <c r="S2" s="482"/>
      <c r="T2" s="482"/>
      <c r="U2" s="482"/>
      <c r="V2" s="482"/>
      <c r="W2" s="482"/>
      <c r="X2" s="482"/>
      <c r="Y2" s="482"/>
      <c r="Z2" s="482"/>
      <c r="AA2" s="482"/>
    </row>
    <row r="3" ht="5.25" customHeight="1">
      <c r="A3" s="621"/>
      <c r="B3" s="622"/>
      <c r="C3" s="622"/>
      <c r="D3" s="621"/>
      <c r="E3" s="621"/>
      <c r="F3" s="621"/>
      <c r="G3" s="621"/>
      <c r="H3" s="621"/>
      <c r="I3" s="621"/>
      <c r="J3" s="621"/>
      <c r="K3" s="621"/>
      <c r="L3" s="623"/>
      <c r="M3" s="621"/>
      <c r="N3" s="621"/>
      <c r="O3" s="621"/>
      <c r="P3" s="621"/>
      <c r="Q3" s="621"/>
      <c r="R3" s="621"/>
      <c r="S3" s="621"/>
      <c r="T3" s="621"/>
      <c r="U3" s="621"/>
      <c r="V3" s="621"/>
      <c r="W3" s="621"/>
      <c r="X3" s="621"/>
      <c r="Y3" s="621"/>
      <c r="Z3" s="621"/>
      <c r="AA3" s="621"/>
    </row>
    <row r="4" ht="31.5" customHeight="1">
      <c r="A4" s="621"/>
      <c r="B4" s="621"/>
      <c r="C4" s="624"/>
      <c r="D4" s="625">
        <f>YEAR(EDATE(date_début,-12))</f>
        <v>2024</v>
      </c>
      <c r="E4" s="626">
        <f>YEAR(date_début)</f>
        <v>2025</v>
      </c>
      <c r="F4" s="123"/>
      <c r="G4" s="123"/>
      <c r="H4" s="123"/>
      <c r="I4" s="121"/>
      <c r="J4" s="626">
        <f>YEAR(EDATE(date_début,12))</f>
        <v>2026</v>
      </c>
      <c r="K4" s="123"/>
      <c r="L4" s="123"/>
      <c r="M4" s="123"/>
      <c r="N4" s="121"/>
      <c r="O4" s="625">
        <f>YEAR(EDATE(date_début,24))</f>
        <v>2027</v>
      </c>
      <c r="P4" s="625">
        <f>YEAR(EDATE(date_début,36))</f>
        <v>2028</v>
      </c>
      <c r="Q4" s="621"/>
      <c r="R4" s="621"/>
      <c r="S4" s="621"/>
      <c r="T4" s="621"/>
      <c r="U4" s="621"/>
      <c r="V4" s="621"/>
      <c r="W4" s="621"/>
      <c r="X4" s="621"/>
      <c r="Y4" s="621"/>
      <c r="Z4" s="621"/>
      <c r="AA4" s="621"/>
    </row>
    <row r="5" ht="21.0" customHeight="1">
      <c r="A5" s="621"/>
      <c r="B5" s="177"/>
      <c r="C5" s="621"/>
      <c r="D5" s="627"/>
      <c r="E5" s="628" t="s">
        <v>492</v>
      </c>
      <c r="F5" s="629" t="s">
        <v>493</v>
      </c>
      <c r="G5" s="629" t="s">
        <v>494</v>
      </c>
      <c r="H5" s="629" t="s">
        <v>495</v>
      </c>
      <c r="I5" s="630"/>
      <c r="J5" s="628" t="s">
        <v>492</v>
      </c>
      <c r="K5" s="629" t="s">
        <v>493</v>
      </c>
      <c r="L5" s="629" t="s">
        <v>494</v>
      </c>
      <c r="M5" s="629" t="s">
        <v>495</v>
      </c>
      <c r="N5" s="630"/>
      <c r="O5" s="630"/>
      <c r="P5" s="630"/>
      <c r="Q5" s="621"/>
      <c r="R5" s="621"/>
      <c r="S5" s="621"/>
      <c r="T5" s="621"/>
      <c r="U5" s="621"/>
      <c r="V5" s="621"/>
      <c r="W5" s="621"/>
      <c r="X5" s="621"/>
      <c r="Y5" s="621"/>
      <c r="Z5" s="621"/>
      <c r="AA5" s="621"/>
    </row>
    <row r="6" ht="24.75" customHeight="1">
      <c r="A6" s="496"/>
      <c r="B6" s="181" t="s">
        <v>496</v>
      </c>
      <c r="C6" s="181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621"/>
      <c r="R6" s="496"/>
      <c r="S6" s="496"/>
      <c r="T6" s="496"/>
      <c r="U6" s="496"/>
      <c r="V6" s="496"/>
      <c r="W6" s="496"/>
      <c r="X6" s="496"/>
      <c r="Y6" s="496"/>
      <c r="Z6" s="496"/>
      <c r="AA6" s="496"/>
    </row>
    <row r="7" ht="24.0" customHeight="1">
      <c r="A7" s="496"/>
      <c r="B7" s="631" t="s">
        <v>497</v>
      </c>
      <c r="C7" s="631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3"/>
      <c r="R7" s="496"/>
      <c r="S7" s="496"/>
      <c r="T7" s="496"/>
      <c r="U7" s="496"/>
      <c r="V7" s="496"/>
      <c r="W7" s="496"/>
      <c r="X7" s="496"/>
      <c r="Y7" s="496"/>
      <c r="Z7" s="496"/>
      <c r="AA7" s="496"/>
    </row>
    <row r="8" ht="15.0" customHeight="1" outlineLevel="1">
      <c r="A8" s="498"/>
      <c r="B8" s="293" t="s">
        <v>498</v>
      </c>
      <c r="C8" s="634"/>
      <c r="D8" s="635"/>
      <c r="E8" s="636"/>
      <c r="F8" s="501"/>
      <c r="G8" s="501"/>
      <c r="H8" s="637"/>
      <c r="I8" s="638">
        <f t="shared" ref="I8:I27" si="1">SUM(E8:H8)</f>
        <v>0</v>
      </c>
      <c r="J8" s="501"/>
      <c r="K8" s="501"/>
      <c r="L8" s="501"/>
      <c r="M8" s="637"/>
      <c r="N8" s="638">
        <f t="shared" ref="N8:N15" si="2">SUM(J8:M8)</f>
        <v>0</v>
      </c>
      <c r="O8" s="639"/>
      <c r="P8" s="501"/>
      <c r="Q8" s="406"/>
      <c r="R8" s="498"/>
      <c r="S8" s="498"/>
      <c r="T8" s="498"/>
      <c r="U8" s="498"/>
      <c r="V8" s="498"/>
      <c r="W8" s="498"/>
      <c r="X8" s="498"/>
      <c r="Y8" s="498"/>
      <c r="Z8" s="498"/>
      <c r="AA8" s="498"/>
    </row>
    <row r="9" ht="15.0" customHeight="1" outlineLevel="1">
      <c r="A9" s="498"/>
      <c r="B9" s="640" t="s">
        <v>499</v>
      </c>
      <c r="C9" s="641">
        <v>60.0</v>
      </c>
      <c r="D9" s="642"/>
      <c r="E9" s="643">
        <f>E8*3/$C9</f>
        <v>0</v>
      </c>
      <c r="F9" s="644">
        <f>(E8+F8)*3/$C9</f>
        <v>0</v>
      </c>
      <c r="G9" s="644">
        <f>(E8+F8+G8)*3/$C9</f>
        <v>0</v>
      </c>
      <c r="H9" s="645">
        <f>(E8+F8+G8+H8)*3/$C9</f>
        <v>0</v>
      </c>
      <c r="I9" s="646">
        <f t="shared" si="1"/>
        <v>0</v>
      </c>
      <c r="J9" s="644">
        <f>(I8+J8)*3/$C9</f>
        <v>0</v>
      </c>
      <c r="K9" s="644">
        <f>(I8+J8+K8)*3/$C9</f>
        <v>0</v>
      </c>
      <c r="L9" s="644">
        <f>(I8+J8+K8+L8)*3/$C9</f>
        <v>0</v>
      </c>
      <c r="M9" s="645">
        <f>(I8+J8+K8+L8+M8)*3/$C9</f>
        <v>0</v>
      </c>
      <c r="N9" s="647">
        <f t="shared" si="2"/>
        <v>0</v>
      </c>
      <c r="O9" s="647">
        <f>(I8+N8+(O8/2))*12/$C9</f>
        <v>0</v>
      </c>
      <c r="P9" s="644">
        <f>(I8+N8+O8+(P8/2))*12/$C9</f>
        <v>0</v>
      </c>
      <c r="Q9" s="406"/>
      <c r="R9" s="498"/>
      <c r="S9" s="498"/>
      <c r="T9" s="498"/>
      <c r="U9" s="498"/>
      <c r="V9" s="498"/>
      <c r="W9" s="498"/>
      <c r="X9" s="498"/>
      <c r="Y9" s="498"/>
      <c r="Z9" s="498"/>
      <c r="AA9" s="498"/>
    </row>
    <row r="10" ht="15.0" customHeight="1" outlineLevel="1">
      <c r="A10" s="498"/>
      <c r="B10" s="293" t="s">
        <v>500</v>
      </c>
      <c r="C10" s="648"/>
      <c r="D10" s="649"/>
      <c r="E10" s="650">
        <f>-SUM(Personnel!D77:F77)</f>
        <v>0</v>
      </c>
      <c r="F10" s="651">
        <f>-SUM(Personnel!G77:I77)</f>
        <v>0</v>
      </c>
      <c r="G10" s="651">
        <f>-SUM(Personnel!J77:L77)</f>
        <v>0</v>
      </c>
      <c r="H10" s="652">
        <f>-SUM(Personnel!M77:O77)</f>
        <v>0</v>
      </c>
      <c r="I10" s="638">
        <f t="shared" si="1"/>
        <v>0</v>
      </c>
      <c r="J10" s="651">
        <f>-SUM(Personnel!Q77:S77)</f>
        <v>0</v>
      </c>
      <c r="K10" s="651">
        <f>-SUM(Personnel!T77:V77)</f>
        <v>0</v>
      </c>
      <c r="L10" s="651">
        <f>-SUM(Personnel!W77:Y77)</f>
        <v>0</v>
      </c>
      <c r="M10" s="652">
        <f>-SUM(Personnel!Z77:AB77)</f>
        <v>0</v>
      </c>
      <c r="N10" s="638">
        <f t="shared" si="2"/>
        <v>0</v>
      </c>
      <c r="O10" s="638">
        <f>-Personnel!AD77</f>
        <v>0</v>
      </c>
      <c r="P10" s="651">
        <f>-Personnel!AE77</f>
        <v>0</v>
      </c>
      <c r="Q10" s="406"/>
      <c r="R10" s="498"/>
      <c r="S10" s="498"/>
      <c r="T10" s="498"/>
      <c r="U10" s="498"/>
      <c r="V10" s="498"/>
      <c r="W10" s="498"/>
      <c r="X10" s="498"/>
      <c r="Y10" s="498"/>
      <c r="Z10" s="498"/>
      <c r="AA10" s="498"/>
    </row>
    <row r="11" ht="15.0" customHeight="1" outlineLevel="1">
      <c r="A11" s="498"/>
      <c r="B11" s="640" t="s">
        <v>499</v>
      </c>
      <c r="C11" s="641">
        <v>60.0</v>
      </c>
      <c r="D11" s="642"/>
      <c r="E11" s="643">
        <f>E10*3/$C11</f>
        <v>0</v>
      </c>
      <c r="F11" s="644">
        <f>(E10+F10)*3/$C11</f>
        <v>0</v>
      </c>
      <c r="G11" s="644">
        <f>(E10+F10+G10)*3/$C11</f>
        <v>0</v>
      </c>
      <c r="H11" s="645">
        <f>(E10+F10+G10+H10)*3/$C11</f>
        <v>0</v>
      </c>
      <c r="I11" s="646">
        <f t="shared" si="1"/>
        <v>0</v>
      </c>
      <c r="J11" s="644">
        <f>(I10+J10)*3/$C11</f>
        <v>0</v>
      </c>
      <c r="K11" s="644">
        <f>(I10+J10+K10)*3/$C11</f>
        <v>0</v>
      </c>
      <c r="L11" s="644">
        <f>(I10+J10+K10+L10)*3/$C11</f>
        <v>0</v>
      </c>
      <c r="M11" s="645">
        <f>(I10+J10+K10+L10+M10)*3/$C11</f>
        <v>0</v>
      </c>
      <c r="N11" s="647">
        <f t="shared" si="2"/>
        <v>0</v>
      </c>
      <c r="O11" s="647">
        <f>(I10+N10+(O10/2))*12/$C11</f>
        <v>0</v>
      </c>
      <c r="P11" s="644">
        <f>(I10+N10+O10+(P10/2))*12/$C11</f>
        <v>0</v>
      </c>
      <c r="Q11" s="406"/>
      <c r="R11" s="498"/>
      <c r="S11" s="498"/>
      <c r="T11" s="498"/>
      <c r="U11" s="498"/>
      <c r="V11" s="498"/>
      <c r="W11" s="498"/>
      <c r="X11" s="498"/>
      <c r="Y11" s="498"/>
      <c r="Z11" s="498"/>
      <c r="AA11" s="498"/>
    </row>
    <row r="12" ht="15.0" customHeight="1" outlineLevel="1">
      <c r="A12" s="498"/>
      <c r="B12" s="293" t="s">
        <v>501</v>
      </c>
      <c r="C12" s="653"/>
      <c r="D12" s="635"/>
      <c r="E12" s="654"/>
      <c r="F12" s="501"/>
      <c r="G12" s="501"/>
      <c r="H12" s="502"/>
      <c r="I12" s="638">
        <f t="shared" si="1"/>
        <v>0</v>
      </c>
      <c r="J12" s="501"/>
      <c r="K12" s="501"/>
      <c r="L12" s="501"/>
      <c r="M12" s="502"/>
      <c r="N12" s="638">
        <f t="shared" si="2"/>
        <v>0</v>
      </c>
      <c r="O12" s="639"/>
      <c r="P12" s="501"/>
      <c r="Q12" s="406"/>
      <c r="R12" s="498"/>
      <c r="S12" s="498"/>
      <c r="T12" s="498"/>
      <c r="U12" s="498"/>
      <c r="V12" s="498"/>
      <c r="W12" s="498"/>
      <c r="X12" s="498"/>
      <c r="Y12" s="498"/>
      <c r="Z12" s="498"/>
      <c r="AA12" s="498"/>
    </row>
    <row r="13" ht="15.0" customHeight="1" outlineLevel="1">
      <c r="A13" s="498"/>
      <c r="B13" s="640" t="s">
        <v>499</v>
      </c>
      <c r="C13" s="641">
        <v>60.0</v>
      </c>
      <c r="D13" s="642"/>
      <c r="E13" s="643">
        <f>E12*3/$C13</f>
        <v>0</v>
      </c>
      <c r="F13" s="644">
        <f>(E12+F12)*3/$C13</f>
        <v>0</v>
      </c>
      <c r="G13" s="644">
        <f>(E12+F12+G12)*3/$C13</f>
        <v>0</v>
      </c>
      <c r="H13" s="645">
        <f>(E12+F12+G12+H12)*3/$C13</f>
        <v>0</v>
      </c>
      <c r="I13" s="646">
        <f t="shared" si="1"/>
        <v>0</v>
      </c>
      <c r="J13" s="644">
        <f>(I12+J12)*3/$C13</f>
        <v>0</v>
      </c>
      <c r="K13" s="644">
        <f>(I12+J12+K12)*3/$C13</f>
        <v>0</v>
      </c>
      <c r="L13" s="644">
        <f>(I12+J12+K12+L12)*3/$C13</f>
        <v>0</v>
      </c>
      <c r="M13" s="645">
        <f>(I12+J12+K12+L12+M12)*3/$C13</f>
        <v>0</v>
      </c>
      <c r="N13" s="647">
        <f t="shared" si="2"/>
        <v>0</v>
      </c>
      <c r="O13" s="647">
        <f>(I12+N12+(O12/2))*12/$C13</f>
        <v>0</v>
      </c>
      <c r="P13" s="644">
        <f>(I12+N12+O12+(P12/2))*12/$C13</f>
        <v>0</v>
      </c>
      <c r="Q13" s="406"/>
      <c r="R13" s="498"/>
      <c r="S13" s="498"/>
      <c r="T13" s="498"/>
      <c r="U13" s="498"/>
      <c r="V13" s="498"/>
      <c r="W13" s="498"/>
      <c r="X13" s="498"/>
      <c r="Y13" s="498"/>
      <c r="Z13" s="498"/>
      <c r="AA13" s="498"/>
    </row>
    <row r="14" ht="15.0" customHeight="1" outlineLevel="1">
      <c r="A14" s="498"/>
      <c r="B14" s="256" t="s">
        <v>385</v>
      </c>
      <c r="C14" s="653"/>
      <c r="D14" s="655"/>
      <c r="E14" s="636">
        <f>SUM('Détail investissements'!C8:E16)</f>
        <v>0</v>
      </c>
      <c r="F14" s="501"/>
      <c r="G14" s="501"/>
      <c r="H14" s="502"/>
      <c r="I14" s="638">
        <f t="shared" si="1"/>
        <v>0</v>
      </c>
      <c r="J14" s="501"/>
      <c r="K14" s="501"/>
      <c r="L14" s="501"/>
      <c r="M14" s="502"/>
      <c r="N14" s="638">
        <f t="shared" si="2"/>
        <v>0</v>
      </c>
      <c r="O14" s="639"/>
      <c r="P14" s="501"/>
      <c r="Q14" s="406"/>
      <c r="R14" s="498"/>
      <c r="S14" s="498"/>
      <c r="T14" s="498"/>
      <c r="U14" s="498"/>
      <c r="V14" s="498"/>
      <c r="W14" s="498"/>
      <c r="X14" s="498"/>
      <c r="Y14" s="498"/>
      <c r="Z14" s="498"/>
      <c r="AA14" s="498"/>
    </row>
    <row r="15" ht="15.0" customHeight="1" outlineLevel="1">
      <c r="A15" s="498"/>
      <c r="B15" s="640" t="s">
        <v>499</v>
      </c>
      <c r="C15" s="656">
        <v>12.0</v>
      </c>
      <c r="D15" s="642"/>
      <c r="E15" s="643">
        <f>E14*3/$C15</f>
        <v>0</v>
      </c>
      <c r="F15" s="644">
        <f>(E14+F14)*3/$C15</f>
        <v>0</v>
      </c>
      <c r="G15" s="644">
        <f>(E14+F14+G14)*3/$C15</f>
        <v>0</v>
      </c>
      <c r="H15" s="645">
        <f>(E14+F14+G14+H14)*3/$C15</f>
        <v>0</v>
      </c>
      <c r="I15" s="646">
        <f t="shared" si="1"/>
        <v>0</v>
      </c>
      <c r="J15" s="644">
        <f>(I14+J14)*3/$C15</f>
        <v>0</v>
      </c>
      <c r="K15" s="644">
        <f>(I14+J14+K14)*3/$C15</f>
        <v>0</v>
      </c>
      <c r="L15" s="644">
        <f>(I14+J14+K14+L14)*3/$C15</f>
        <v>0</v>
      </c>
      <c r="M15" s="645">
        <f>(I14+J14+K14+L14+M14)*3/$C15</f>
        <v>0</v>
      </c>
      <c r="N15" s="647">
        <f t="shared" si="2"/>
        <v>0</v>
      </c>
      <c r="O15" s="647">
        <f>(I14+N14+(O14/2))*12/$C15</f>
        <v>0</v>
      </c>
      <c r="P15" s="644">
        <f>(I14+N14+O14+(P14/2))*12/$C15</f>
        <v>0</v>
      </c>
      <c r="Q15" s="406"/>
      <c r="R15" s="498"/>
      <c r="S15" s="498"/>
      <c r="T15" s="498"/>
      <c r="U15" s="498"/>
      <c r="V15" s="498"/>
      <c r="W15" s="498"/>
      <c r="X15" s="498"/>
      <c r="Y15" s="498"/>
      <c r="Z15" s="498"/>
      <c r="AA15" s="498"/>
    </row>
    <row r="16" ht="15.0" customHeight="1" outlineLevel="1">
      <c r="A16" s="498"/>
      <c r="B16" s="657" t="s">
        <v>389</v>
      </c>
      <c r="C16" s="653"/>
      <c r="D16" s="655"/>
      <c r="E16" s="636">
        <f>SUM('Détail investissements'!C17:E27)</f>
        <v>0</v>
      </c>
      <c r="F16" s="658"/>
      <c r="G16" s="658"/>
      <c r="H16" s="659"/>
      <c r="I16" s="638">
        <f t="shared" si="1"/>
        <v>0</v>
      </c>
      <c r="J16" s="658"/>
      <c r="K16" s="658"/>
      <c r="L16" s="658"/>
      <c r="M16" s="659"/>
      <c r="N16" s="660"/>
      <c r="O16" s="661"/>
      <c r="P16" s="658"/>
      <c r="Q16" s="406"/>
      <c r="R16" s="498"/>
      <c r="S16" s="498"/>
      <c r="T16" s="498"/>
      <c r="U16" s="498"/>
      <c r="V16" s="498"/>
      <c r="W16" s="498"/>
      <c r="X16" s="498"/>
      <c r="Y16" s="498"/>
      <c r="Z16" s="498"/>
      <c r="AA16" s="498"/>
    </row>
    <row r="17" ht="15.0" customHeight="1" outlineLevel="1">
      <c r="A17" s="498"/>
      <c r="B17" s="640" t="s">
        <v>499</v>
      </c>
      <c r="C17" s="656">
        <v>36.0</v>
      </c>
      <c r="D17" s="642"/>
      <c r="E17" s="643">
        <f>E16*3/$C17</f>
        <v>0</v>
      </c>
      <c r="F17" s="644">
        <f>(E16+F16)*3/$C17</f>
        <v>0</v>
      </c>
      <c r="G17" s="644">
        <f>(E16+F16+G16)*3/$C17</f>
        <v>0</v>
      </c>
      <c r="H17" s="645">
        <f>(E16+F16+G16+H16)*3/$C17</f>
        <v>0</v>
      </c>
      <c r="I17" s="646">
        <f t="shared" si="1"/>
        <v>0</v>
      </c>
      <c r="J17" s="644">
        <f>(I16+J16)*3/$C17</f>
        <v>0</v>
      </c>
      <c r="K17" s="644">
        <f>(I16+J16+K16)*3/$C17</f>
        <v>0</v>
      </c>
      <c r="L17" s="644">
        <f>(I16+J16+K16+L16)*3/$C17</f>
        <v>0</v>
      </c>
      <c r="M17" s="645">
        <f>(I16+J16+K16+L16+M16)*3/$C17</f>
        <v>0</v>
      </c>
      <c r="N17" s="647">
        <f>SUM(J17:M17)</f>
        <v>0</v>
      </c>
      <c r="O17" s="647">
        <f>(I16+N16+(O16/2))*12/$C17</f>
        <v>0</v>
      </c>
      <c r="P17" s="644">
        <f>(I16+N16+O16+(P16/2))*12/$C17</f>
        <v>0</v>
      </c>
      <c r="Q17" s="406"/>
      <c r="R17" s="498"/>
      <c r="S17" s="498"/>
      <c r="T17" s="498"/>
      <c r="U17" s="498"/>
      <c r="V17" s="498"/>
      <c r="W17" s="498"/>
      <c r="X17" s="498"/>
      <c r="Y17" s="498"/>
      <c r="Z17" s="498"/>
      <c r="AA17" s="498"/>
    </row>
    <row r="18" ht="15.0" customHeight="1" outlineLevel="1">
      <c r="A18" s="498"/>
      <c r="B18" s="657" t="s">
        <v>399</v>
      </c>
      <c r="C18" s="653"/>
      <c r="D18" s="655"/>
      <c r="E18" s="636">
        <f>SUM('Détail investissements'!C28:E34)</f>
        <v>0</v>
      </c>
      <c r="F18" s="658"/>
      <c r="G18" s="658"/>
      <c r="H18" s="659"/>
      <c r="I18" s="638">
        <f t="shared" si="1"/>
        <v>0</v>
      </c>
      <c r="J18" s="658"/>
      <c r="K18" s="658"/>
      <c r="L18" s="658"/>
      <c r="M18" s="659"/>
      <c r="N18" s="660"/>
      <c r="O18" s="661"/>
      <c r="P18" s="658"/>
      <c r="Q18" s="406"/>
      <c r="R18" s="498"/>
      <c r="S18" s="498"/>
      <c r="T18" s="498"/>
      <c r="U18" s="498"/>
      <c r="V18" s="498"/>
      <c r="W18" s="498"/>
      <c r="X18" s="498"/>
      <c r="Y18" s="498"/>
      <c r="Z18" s="498"/>
      <c r="AA18" s="498"/>
    </row>
    <row r="19" ht="15.0" customHeight="1" outlineLevel="1">
      <c r="A19" s="498"/>
      <c r="B19" s="640" t="s">
        <v>499</v>
      </c>
      <c r="C19" s="656">
        <v>36.0</v>
      </c>
      <c r="D19" s="642"/>
      <c r="E19" s="643">
        <f>E18*3/$C19</f>
        <v>0</v>
      </c>
      <c r="F19" s="644">
        <f>(E18+F18)*3/$C19</f>
        <v>0</v>
      </c>
      <c r="G19" s="644">
        <f>(E18+F18+G18)*3/$C19</f>
        <v>0</v>
      </c>
      <c r="H19" s="645">
        <f>(E18+F18+G18+H18)*3/$C19</f>
        <v>0</v>
      </c>
      <c r="I19" s="646">
        <f t="shared" si="1"/>
        <v>0</v>
      </c>
      <c r="J19" s="644">
        <f>(I18+J18)*3/$C19</f>
        <v>0</v>
      </c>
      <c r="K19" s="644">
        <f>(I18+J18+K18)*3/$C19</f>
        <v>0</v>
      </c>
      <c r="L19" s="644">
        <f>(I18+J18+K18+L18)*3/$C19</f>
        <v>0</v>
      </c>
      <c r="M19" s="645">
        <f>(I18+J18+K18+L18+M18)*3/$C19</f>
        <v>0</v>
      </c>
      <c r="N19" s="647">
        <f>SUM(J19:M19)</f>
        <v>0</v>
      </c>
      <c r="O19" s="647">
        <f>(I18+N18+(O18/2))*12/$C19</f>
        <v>0</v>
      </c>
      <c r="P19" s="644">
        <f>(I18+N18+O18+(P18/2))*12/$C19</f>
        <v>0</v>
      </c>
      <c r="Q19" s="406"/>
      <c r="R19" s="498"/>
      <c r="S19" s="498"/>
      <c r="T19" s="498"/>
      <c r="U19" s="498"/>
      <c r="V19" s="498"/>
      <c r="W19" s="498"/>
      <c r="X19" s="498"/>
      <c r="Y19" s="498"/>
      <c r="Z19" s="498"/>
      <c r="AA19" s="498"/>
    </row>
    <row r="20" ht="15.0" customHeight="1" outlineLevel="1">
      <c r="A20" s="498"/>
      <c r="B20" s="657" t="s">
        <v>404</v>
      </c>
      <c r="C20" s="653"/>
      <c r="D20" s="655"/>
      <c r="E20" s="636">
        <f>SUM('Détail investissements'!C35:E38)</f>
        <v>0</v>
      </c>
      <c r="F20" s="658"/>
      <c r="G20" s="658"/>
      <c r="H20" s="659"/>
      <c r="I20" s="638">
        <f t="shared" si="1"/>
        <v>0</v>
      </c>
      <c r="J20" s="658"/>
      <c r="K20" s="658"/>
      <c r="L20" s="658"/>
      <c r="M20" s="659"/>
      <c r="N20" s="660"/>
      <c r="O20" s="661"/>
      <c r="P20" s="658"/>
      <c r="Q20" s="406"/>
      <c r="R20" s="498"/>
      <c r="S20" s="498"/>
      <c r="T20" s="498"/>
      <c r="U20" s="498"/>
      <c r="V20" s="498"/>
      <c r="W20" s="498"/>
      <c r="X20" s="498"/>
      <c r="Y20" s="498"/>
      <c r="Z20" s="498"/>
      <c r="AA20" s="498"/>
    </row>
    <row r="21" ht="15.0" customHeight="1" outlineLevel="1">
      <c r="A21" s="498"/>
      <c r="B21" s="640" t="s">
        <v>499</v>
      </c>
      <c r="C21" s="656">
        <v>120.0</v>
      </c>
      <c r="D21" s="642"/>
      <c r="E21" s="643">
        <f>E20*3/$C21</f>
        <v>0</v>
      </c>
      <c r="F21" s="644">
        <f>(E20+F20)*3/$C21</f>
        <v>0</v>
      </c>
      <c r="G21" s="644">
        <f>(E20+F20+G20)*3/$C21</f>
        <v>0</v>
      </c>
      <c r="H21" s="645">
        <f>(E20+F20+G20+H20)*3/$C21</f>
        <v>0</v>
      </c>
      <c r="I21" s="646">
        <f t="shared" si="1"/>
        <v>0</v>
      </c>
      <c r="J21" s="644">
        <f>(I20+J20)*3/$C21</f>
        <v>0</v>
      </c>
      <c r="K21" s="644">
        <f>(I20+J20+K20)*3/$C21</f>
        <v>0</v>
      </c>
      <c r="L21" s="644">
        <f>(I20+J20+K20+L20)*3/$C21</f>
        <v>0</v>
      </c>
      <c r="M21" s="645">
        <f>(I20+J20+K20+L20+M20)*3/$C21</f>
        <v>0</v>
      </c>
      <c r="N21" s="647">
        <f>SUM(J21:M21)</f>
        <v>0</v>
      </c>
      <c r="O21" s="647">
        <f>(I20+N20+(O20/2))*12/$C21</f>
        <v>0</v>
      </c>
      <c r="P21" s="644">
        <f>(I20+N20+O20+(P20/2))*12/$C21</f>
        <v>0</v>
      </c>
      <c r="Q21" s="406"/>
      <c r="R21" s="498"/>
      <c r="S21" s="498"/>
      <c r="T21" s="498"/>
      <c r="U21" s="498"/>
      <c r="V21" s="498"/>
      <c r="W21" s="498"/>
      <c r="X21" s="498"/>
      <c r="Y21" s="498"/>
      <c r="Z21" s="498"/>
      <c r="AA21" s="498"/>
    </row>
    <row r="22" ht="15.0" customHeight="1" outlineLevel="1">
      <c r="A22" s="498"/>
      <c r="B22" s="657" t="s">
        <v>406</v>
      </c>
      <c r="C22" s="653"/>
      <c r="D22" s="655"/>
      <c r="E22" s="636">
        <f>SUM('Détail investissements'!C42:E52)</f>
        <v>0</v>
      </c>
      <c r="F22" s="658"/>
      <c r="G22" s="658"/>
      <c r="H22" s="659"/>
      <c r="I22" s="638">
        <f t="shared" si="1"/>
        <v>0</v>
      </c>
      <c r="J22" s="658"/>
      <c r="K22" s="658"/>
      <c r="L22" s="658"/>
      <c r="M22" s="659"/>
      <c r="N22" s="660"/>
      <c r="O22" s="661"/>
      <c r="P22" s="658"/>
      <c r="Q22" s="406"/>
      <c r="R22" s="498"/>
      <c r="S22" s="498"/>
      <c r="T22" s="498"/>
      <c r="U22" s="498"/>
      <c r="V22" s="498"/>
      <c r="W22" s="498"/>
      <c r="X22" s="498"/>
      <c r="Y22" s="498"/>
      <c r="Z22" s="498"/>
      <c r="AA22" s="498"/>
    </row>
    <row r="23" ht="15.0" customHeight="1" outlineLevel="1">
      <c r="A23" s="498"/>
      <c r="B23" s="640" t="s">
        <v>499</v>
      </c>
      <c r="C23" s="656">
        <v>36.0</v>
      </c>
      <c r="D23" s="642"/>
      <c r="E23" s="643">
        <f>E22*3/$C23</f>
        <v>0</v>
      </c>
      <c r="F23" s="644">
        <f>(E22+F22)*3/$C23</f>
        <v>0</v>
      </c>
      <c r="G23" s="644">
        <f>(E22+F22+G22)*3/$C23</f>
        <v>0</v>
      </c>
      <c r="H23" s="645">
        <f>(E22+F22+G22+H22)*3/$C23</f>
        <v>0</v>
      </c>
      <c r="I23" s="646">
        <f t="shared" si="1"/>
        <v>0</v>
      </c>
      <c r="J23" s="644">
        <f>(I22+J22)*3/$C23</f>
        <v>0</v>
      </c>
      <c r="K23" s="644">
        <f>(I22+J22+K22)*3/$C23</f>
        <v>0</v>
      </c>
      <c r="L23" s="644">
        <f>(I22+J22+K22+L22)*3/$C23</f>
        <v>0</v>
      </c>
      <c r="M23" s="645">
        <f>(I22+J22+K22+L22+M22)*3/$C23</f>
        <v>0</v>
      </c>
      <c r="N23" s="647">
        <f>SUM(J23:M23)</f>
        <v>0</v>
      </c>
      <c r="O23" s="647">
        <f>(I22+N22+(O22/2))*12/$C23</f>
        <v>0</v>
      </c>
      <c r="P23" s="644">
        <f>(I22+N22+O22+(P22/2))*12/$C23</f>
        <v>0</v>
      </c>
      <c r="Q23" s="406"/>
      <c r="R23" s="498"/>
      <c r="S23" s="498"/>
      <c r="T23" s="498"/>
      <c r="U23" s="498"/>
      <c r="V23" s="498"/>
      <c r="W23" s="498"/>
      <c r="X23" s="498"/>
      <c r="Y23" s="498"/>
      <c r="Z23" s="498"/>
      <c r="AA23" s="498"/>
    </row>
    <row r="24" ht="15.0" customHeight="1" outlineLevel="1">
      <c r="A24" s="498"/>
      <c r="B24" s="271" t="s">
        <v>405</v>
      </c>
      <c r="C24" s="653"/>
      <c r="D24" s="655"/>
      <c r="E24" s="636">
        <f>SUM('Détail investissements'!C39:E41)</f>
        <v>0</v>
      </c>
      <c r="F24" s="658"/>
      <c r="G24" s="658"/>
      <c r="H24" s="659"/>
      <c r="I24" s="638">
        <f t="shared" si="1"/>
        <v>0</v>
      </c>
      <c r="J24" s="658"/>
      <c r="K24" s="658"/>
      <c r="L24" s="658"/>
      <c r="M24" s="659"/>
      <c r="N24" s="660"/>
      <c r="O24" s="661"/>
      <c r="P24" s="658"/>
      <c r="Q24" s="406"/>
      <c r="R24" s="498"/>
      <c r="S24" s="498"/>
      <c r="T24" s="498"/>
      <c r="U24" s="498"/>
      <c r="V24" s="498"/>
      <c r="W24" s="498"/>
      <c r="X24" s="498"/>
      <c r="Y24" s="498"/>
      <c r="Z24" s="498"/>
      <c r="AA24" s="498"/>
    </row>
    <row r="25" ht="15.0" customHeight="1" outlineLevel="1">
      <c r="A25" s="498"/>
      <c r="B25" s="640" t="s">
        <v>499</v>
      </c>
      <c r="C25" s="656">
        <v>36.0</v>
      </c>
      <c r="D25" s="642"/>
      <c r="E25" s="643">
        <f>E24*3/$C25</f>
        <v>0</v>
      </c>
      <c r="F25" s="644">
        <f>(E24+F24)*3/$C25</f>
        <v>0</v>
      </c>
      <c r="G25" s="644">
        <f>(E24+F24+G24)*3/$C25</f>
        <v>0</v>
      </c>
      <c r="H25" s="645">
        <f>(E24+F24+G24+H24)*3/$C25</f>
        <v>0</v>
      </c>
      <c r="I25" s="646">
        <f t="shared" si="1"/>
        <v>0</v>
      </c>
      <c r="J25" s="644">
        <f>(I24+J24)*3/$C25</f>
        <v>0</v>
      </c>
      <c r="K25" s="644">
        <f>(I24+J24+K24)*3/$C25</f>
        <v>0</v>
      </c>
      <c r="L25" s="644">
        <f>(I24+J24+K24+L24)*3/$C25</f>
        <v>0</v>
      </c>
      <c r="M25" s="645">
        <f>(I24+J24+K24+L24+M24)*3/$C25</f>
        <v>0</v>
      </c>
      <c r="N25" s="647">
        <f>SUM(J25:M25)</f>
        <v>0</v>
      </c>
      <c r="O25" s="647">
        <f>(I24+N24+(O24/2))*12/$C25</f>
        <v>0</v>
      </c>
      <c r="P25" s="644">
        <f>(I24+N24+O24+(P24/2))*12/$C25</f>
        <v>0</v>
      </c>
      <c r="Q25" s="406"/>
      <c r="R25" s="498"/>
      <c r="S25" s="498"/>
      <c r="T25" s="498"/>
      <c r="U25" s="498"/>
      <c r="V25" s="498"/>
      <c r="W25" s="498"/>
      <c r="X25" s="498"/>
      <c r="Y25" s="498"/>
      <c r="Z25" s="498"/>
      <c r="AA25" s="498"/>
    </row>
    <row r="26" ht="15.0" customHeight="1" outlineLevel="1">
      <c r="A26" s="498"/>
      <c r="B26" s="662"/>
      <c r="C26" s="663"/>
      <c r="D26" s="664"/>
      <c r="E26" s="665"/>
      <c r="F26" s="658"/>
      <c r="G26" s="658"/>
      <c r="H26" s="659"/>
      <c r="I26" s="638">
        <f t="shared" si="1"/>
        <v>0</v>
      </c>
      <c r="J26" s="658"/>
      <c r="K26" s="658"/>
      <c r="L26" s="658"/>
      <c r="M26" s="659"/>
      <c r="N26" s="660"/>
      <c r="O26" s="661"/>
      <c r="P26" s="658"/>
      <c r="Q26" s="406"/>
      <c r="R26" s="498"/>
      <c r="S26" s="498"/>
      <c r="T26" s="498"/>
      <c r="U26" s="498"/>
      <c r="V26" s="498"/>
      <c r="W26" s="498"/>
      <c r="X26" s="498"/>
      <c r="Y26" s="498"/>
      <c r="Z26" s="498"/>
      <c r="AA26" s="498"/>
    </row>
    <row r="27" ht="15.0" customHeight="1" outlineLevel="1">
      <c r="A27" s="498"/>
      <c r="B27" s="666" t="s">
        <v>499</v>
      </c>
      <c r="C27" s="656">
        <v>36.0</v>
      </c>
      <c r="D27" s="642"/>
      <c r="E27" s="643">
        <f>E26*3/$C27</f>
        <v>0</v>
      </c>
      <c r="F27" s="644">
        <f>(E26+F26)*3/$C27</f>
        <v>0</v>
      </c>
      <c r="G27" s="644">
        <f>(E26+F26+G26)*3/$C27</f>
        <v>0</v>
      </c>
      <c r="H27" s="645">
        <f>(E26+F26+G26+H26)*3/$C27</f>
        <v>0</v>
      </c>
      <c r="I27" s="646">
        <f t="shared" si="1"/>
        <v>0</v>
      </c>
      <c r="J27" s="644">
        <f>(I26+J26)*3/$C27</f>
        <v>0</v>
      </c>
      <c r="K27" s="644">
        <f>(I26+J26+K26)*3/$C27</f>
        <v>0</v>
      </c>
      <c r="L27" s="644">
        <f>(I26+J26+K26+L26)*3/$C27</f>
        <v>0</v>
      </c>
      <c r="M27" s="645">
        <f>(I26+J26+K26+L26+M26)*3/$C27</f>
        <v>0</v>
      </c>
      <c r="N27" s="647">
        <f>SUM(J27:M27)</f>
        <v>0</v>
      </c>
      <c r="O27" s="647">
        <f>(I26+N26+(O26/2))*12/$C27</f>
        <v>0</v>
      </c>
      <c r="P27" s="644">
        <f>(I26+N26+O26+(P26/2))*12/$C27</f>
        <v>0</v>
      </c>
      <c r="Q27" s="406"/>
      <c r="R27" s="498"/>
      <c r="S27" s="498"/>
      <c r="T27" s="498"/>
      <c r="U27" s="498"/>
      <c r="V27" s="498"/>
      <c r="W27" s="498"/>
      <c r="X27" s="498"/>
      <c r="Y27" s="498"/>
      <c r="Z27" s="498"/>
      <c r="AA27" s="498"/>
    </row>
    <row r="28" ht="15.0" customHeight="1">
      <c r="A28" s="498"/>
      <c r="B28" s="667" t="s">
        <v>502</v>
      </c>
      <c r="C28" s="668"/>
      <c r="D28" s="669"/>
      <c r="E28" s="670">
        <f t="shared" ref="E28:P28" si="3">SUMIF($B8:$B27,"&lt;&gt;Amortissement",E8:E27)</f>
        <v>0</v>
      </c>
      <c r="F28" s="545">
        <f t="shared" si="3"/>
        <v>0</v>
      </c>
      <c r="G28" s="545">
        <f t="shared" si="3"/>
        <v>0</v>
      </c>
      <c r="H28" s="546">
        <f t="shared" si="3"/>
        <v>0</v>
      </c>
      <c r="I28" s="547">
        <f t="shared" si="3"/>
        <v>0</v>
      </c>
      <c r="J28" s="545">
        <f t="shared" si="3"/>
        <v>0</v>
      </c>
      <c r="K28" s="545">
        <f t="shared" si="3"/>
        <v>0</v>
      </c>
      <c r="L28" s="545">
        <f t="shared" si="3"/>
        <v>0</v>
      </c>
      <c r="M28" s="546">
        <f t="shared" si="3"/>
        <v>0</v>
      </c>
      <c r="N28" s="20">
        <f t="shared" si="3"/>
        <v>0</v>
      </c>
      <c r="O28" s="548">
        <f t="shared" si="3"/>
        <v>0</v>
      </c>
      <c r="P28" s="20">
        <f t="shared" si="3"/>
        <v>0</v>
      </c>
      <c r="Q28" s="2"/>
      <c r="R28" s="498"/>
      <c r="S28" s="498"/>
      <c r="T28" s="498"/>
      <c r="U28" s="498"/>
      <c r="V28" s="498"/>
      <c r="W28" s="498"/>
      <c r="X28" s="498"/>
      <c r="Y28" s="498"/>
      <c r="Z28" s="498"/>
      <c r="AA28" s="498"/>
    </row>
    <row r="29" ht="15.0" customHeight="1">
      <c r="A29" s="498"/>
      <c r="B29" s="671" t="s">
        <v>503</v>
      </c>
      <c r="C29" s="672"/>
      <c r="D29" s="673"/>
      <c r="E29" s="674">
        <f t="shared" ref="E29:P29" si="4">SUMIF($B8:$B27,"Amortissement",E8:E27)</f>
        <v>0</v>
      </c>
      <c r="F29" s="675">
        <f t="shared" si="4"/>
        <v>0</v>
      </c>
      <c r="G29" s="675">
        <f t="shared" si="4"/>
        <v>0</v>
      </c>
      <c r="H29" s="676">
        <f t="shared" si="4"/>
        <v>0</v>
      </c>
      <c r="I29" s="677">
        <f t="shared" si="4"/>
        <v>0</v>
      </c>
      <c r="J29" s="675">
        <f t="shared" si="4"/>
        <v>0</v>
      </c>
      <c r="K29" s="675">
        <f t="shared" si="4"/>
        <v>0</v>
      </c>
      <c r="L29" s="675">
        <f t="shared" si="4"/>
        <v>0</v>
      </c>
      <c r="M29" s="676">
        <f t="shared" si="4"/>
        <v>0</v>
      </c>
      <c r="N29" s="677">
        <f t="shared" si="4"/>
        <v>0</v>
      </c>
      <c r="O29" s="677">
        <f t="shared" si="4"/>
        <v>0</v>
      </c>
      <c r="P29" s="678">
        <f t="shared" si="4"/>
        <v>0</v>
      </c>
      <c r="Q29" s="2"/>
      <c r="R29" s="498"/>
      <c r="S29" s="498"/>
      <c r="T29" s="498"/>
      <c r="U29" s="498"/>
      <c r="V29" s="498"/>
      <c r="W29" s="498"/>
      <c r="X29" s="498"/>
      <c r="Y29" s="498"/>
      <c r="Z29" s="498"/>
      <c r="AA29" s="498"/>
    </row>
    <row r="30" ht="24.0" customHeight="1">
      <c r="A30" s="496"/>
      <c r="B30" s="679" t="s">
        <v>504</v>
      </c>
      <c r="C30" s="679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33"/>
      <c r="R30" s="496"/>
      <c r="S30" s="496"/>
      <c r="T30" s="496"/>
      <c r="U30" s="496"/>
      <c r="V30" s="496"/>
      <c r="W30" s="496"/>
      <c r="X30" s="496"/>
      <c r="Y30" s="496"/>
      <c r="Z30" s="496"/>
      <c r="AA30" s="496"/>
    </row>
    <row r="31" ht="15.0" customHeight="1" outlineLevel="1">
      <c r="A31" s="498"/>
      <c r="B31" s="441" t="s">
        <v>416</v>
      </c>
      <c r="C31" s="634"/>
      <c r="D31" s="655"/>
      <c r="E31" s="636">
        <f>SUM('Détail investissements'!C56:E60)</f>
        <v>0</v>
      </c>
      <c r="F31" s="501"/>
      <c r="G31" s="501"/>
      <c r="H31" s="637"/>
      <c r="I31" s="638">
        <f t="shared" ref="I31:I44" si="5">E31+F31+G31+H31</f>
        <v>0</v>
      </c>
      <c r="J31" s="500"/>
      <c r="K31" s="501"/>
      <c r="L31" s="501">
        <f t="array" ref="L31">(Personnel!AB71-Personnel!AD71)*EMPLOYEE_KIT_COST</f>
        <v>0</v>
      </c>
      <c r="M31" s="637"/>
      <c r="N31" s="638">
        <f t="shared" ref="N31:N32" si="6">J31+K31+L31+M31</f>
        <v>0</v>
      </c>
      <c r="O31" s="681"/>
      <c r="P31" s="500"/>
      <c r="Q31" s="406"/>
      <c r="R31" s="498"/>
      <c r="S31" s="498"/>
      <c r="T31" s="498"/>
      <c r="U31" s="498"/>
      <c r="V31" s="498"/>
      <c r="W31" s="498"/>
      <c r="X31" s="498"/>
      <c r="Y31" s="498"/>
      <c r="Z31" s="498"/>
      <c r="AA31" s="498"/>
    </row>
    <row r="32" ht="15.0" customHeight="1" outlineLevel="1">
      <c r="A32" s="498"/>
      <c r="B32" s="640" t="s">
        <v>499</v>
      </c>
      <c r="C32" s="656">
        <v>120.0</v>
      </c>
      <c r="D32" s="642"/>
      <c r="E32" s="643">
        <f>E31*3/$C32</f>
        <v>0</v>
      </c>
      <c r="F32" s="644">
        <f>(E31+F31)*3/$C32</f>
        <v>0</v>
      </c>
      <c r="G32" s="644">
        <f>(E31+F31+G31)*3/$C32</f>
        <v>0</v>
      </c>
      <c r="H32" s="645">
        <f>(E31+F31+G31+H31)*3/$C32</f>
        <v>0</v>
      </c>
      <c r="I32" s="646">
        <f t="shared" si="5"/>
        <v>0</v>
      </c>
      <c r="J32" s="644">
        <f>(I31+J31)*3/$C32</f>
        <v>0</v>
      </c>
      <c r="K32" s="644">
        <f>(I31+J31+K31)*3/$C32</f>
        <v>0</v>
      </c>
      <c r="L32" s="644">
        <f>(I31+J31+K31+L31)*3/$C32</f>
        <v>0</v>
      </c>
      <c r="M32" s="645">
        <f>(I31+J31+K31+L31+M31)*3/$C32</f>
        <v>0</v>
      </c>
      <c r="N32" s="647">
        <f t="shared" si="6"/>
        <v>0</v>
      </c>
      <c r="O32" s="647">
        <f>(I31+N31+(O31/2))*12/$C32</f>
        <v>0</v>
      </c>
      <c r="P32" s="644">
        <f>(I31+N31+O31+(P31/2))*12/$C32</f>
        <v>0</v>
      </c>
      <c r="Q32" s="406"/>
      <c r="R32" s="498"/>
      <c r="S32" s="498"/>
      <c r="T32" s="498"/>
      <c r="U32" s="498"/>
      <c r="V32" s="498"/>
      <c r="W32" s="498"/>
      <c r="X32" s="498"/>
      <c r="Y32" s="498"/>
      <c r="Z32" s="498"/>
      <c r="AA32" s="498"/>
    </row>
    <row r="33" ht="15.0" customHeight="1" outlineLevel="1">
      <c r="A33" s="498"/>
      <c r="B33" s="188" t="s">
        <v>420</v>
      </c>
      <c r="C33" s="653"/>
      <c r="D33" s="655"/>
      <c r="E33" s="636">
        <f>SUM('Détail investissements'!C61:E69)</f>
        <v>0</v>
      </c>
      <c r="F33" s="501"/>
      <c r="G33" s="501"/>
      <c r="H33" s="502"/>
      <c r="I33" s="638">
        <f t="shared" si="5"/>
        <v>0</v>
      </c>
      <c r="J33" s="500"/>
      <c r="K33" s="501"/>
      <c r="L33" s="501"/>
      <c r="M33" s="502"/>
      <c r="N33" s="638">
        <f>SUM(J33:M33)</f>
        <v>0</v>
      </c>
      <c r="O33" s="639"/>
      <c r="P33" s="500"/>
      <c r="Q33" s="406"/>
      <c r="R33" s="498"/>
      <c r="S33" s="498"/>
      <c r="T33" s="498"/>
      <c r="U33" s="498"/>
      <c r="V33" s="498"/>
      <c r="W33" s="498"/>
      <c r="X33" s="498"/>
      <c r="Y33" s="498"/>
      <c r="Z33" s="498"/>
      <c r="AA33" s="498"/>
    </row>
    <row r="34" ht="15.0" customHeight="1" outlineLevel="1">
      <c r="A34" s="498"/>
      <c r="B34" s="640" t="s">
        <v>499</v>
      </c>
      <c r="C34" s="656">
        <v>60.0</v>
      </c>
      <c r="D34" s="642"/>
      <c r="E34" s="643">
        <f>E33*3/$C34</f>
        <v>0</v>
      </c>
      <c r="F34" s="644">
        <f>(E33+F33)*3/$C34</f>
        <v>0</v>
      </c>
      <c r="G34" s="644">
        <f>(E33+F33+G33)*3/$C34</f>
        <v>0</v>
      </c>
      <c r="H34" s="645">
        <f>(E33+F33+G33+H33)*3/$C34</f>
        <v>0</v>
      </c>
      <c r="I34" s="646">
        <f t="shared" si="5"/>
        <v>0</v>
      </c>
      <c r="J34" s="644">
        <f>(I33+J33)*3/$C34</f>
        <v>0</v>
      </c>
      <c r="K34" s="644">
        <f>(I33+J33+K33)*3/$C34</f>
        <v>0</v>
      </c>
      <c r="L34" s="644">
        <f>(I33+J33+K33+L33)*3/$C34</f>
        <v>0</v>
      </c>
      <c r="M34" s="645">
        <f>(I33+J33+K33+L33+M33)*3/$C34</f>
        <v>0</v>
      </c>
      <c r="N34" s="647">
        <f>J34+K34+L34+M34</f>
        <v>0</v>
      </c>
      <c r="O34" s="647">
        <f>(I33+N33+(O33/2))*12/$C34</f>
        <v>0</v>
      </c>
      <c r="P34" s="644">
        <f>(I33+N33+O33+(P33/2))*12/$C34</f>
        <v>0</v>
      </c>
      <c r="Q34" s="406"/>
      <c r="R34" s="498"/>
      <c r="S34" s="498"/>
      <c r="T34" s="498"/>
      <c r="U34" s="498"/>
      <c r="V34" s="498"/>
      <c r="W34" s="498"/>
      <c r="X34" s="498"/>
      <c r="Y34" s="498"/>
      <c r="Z34" s="498"/>
      <c r="AA34" s="498"/>
    </row>
    <row r="35" ht="15.0" customHeight="1" outlineLevel="1">
      <c r="A35" s="498"/>
      <c r="B35" s="682" t="s">
        <v>427</v>
      </c>
      <c r="C35" s="653"/>
      <c r="D35" s="655"/>
      <c r="E35" s="636">
        <f>SUM('Détail investissements'!C70:E87)</f>
        <v>0</v>
      </c>
      <c r="F35" s="501"/>
      <c r="G35" s="501"/>
      <c r="H35" s="502"/>
      <c r="I35" s="638">
        <f t="shared" si="5"/>
        <v>0</v>
      </c>
      <c r="J35" s="500"/>
      <c r="K35" s="501"/>
      <c r="L35" s="501"/>
      <c r="M35" s="502"/>
      <c r="N35" s="638">
        <f>SUM(J35:M35)</f>
        <v>0</v>
      </c>
      <c r="O35" s="639"/>
      <c r="P35" s="500"/>
      <c r="Q35" s="406"/>
      <c r="R35" s="498"/>
      <c r="S35" s="498"/>
      <c r="T35" s="498"/>
      <c r="U35" s="498"/>
      <c r="V35" s="498"/>
      <c r="W35" s="498"/>
      <c r="X35" s="498"/>
      <c r="Y35" s="498"/>
      <c r="Z35" s="498"/>
      <c r="AA35" s="498"/>
    </row>
    <row r="36" ht="15.0" customHeight="1" outlineLevel="1">
      <c r="A36" s="498"/>
      <c r="B36" s="640" t="s">
        <v>499</v>
      </c>
      <c r="C36" s="656">
        <v>36.0</v>
      </c>
      <c r="D36" s="642"/>
      <c r="E36" s="643">
        <f>E35*3/$C36</f>
        <v>0</v>
      </c>
      <c r="F36" s="644">
        <f>(E35+F35)*3/$C36</f>
        <v>0</v>
      </c>
      <c r="G36" s="644">
        <f>(E35+F35+G35)*3/$C36</f>
        <v>0</v>
      </c>
      <c r="H36" s="645">
        <f>(E35+F35+G35+H35)*3/$C36</f>
        <v>0</v>
      </c>
      <c r="I36" s="646">
        <f t="shared" si="5"/>
        <v>0</v>
      </c>
      <c r="J36" s="644">
        <f>(I35+J35)*3/$C36</f>
        <v>0</v>
      </c>
      <c r="K36" s="644">
        <f>(I35+J35+K35)*3/$C36</f>
        <v>0</v>
      </c>
      <c r="L36" s="644">
        <f>(I35+J35+K35+L35)*3/$C36</f>
        <v>0</v>
      </c>
      <c r="M36" s="645">
        <f>(I35+J35+K35+L35+M35)*3/$C36</f>
        <v>0</v>
      </c>
      <c r="N36" s="647">
        <f>J36+K36+L36+M36</f>
        <v>0</v>
      </c>
      <c r="O36" s="647">
        <f>(I35+N35+(O35/2))*12/$C36</f>
        <v>0</v>
      </c>
      <c r="P36" s="644">
        <f>(I35+N35+O35+(P35/2))*12/$C36</f>
        <v>0</v>
      </c>
      <c r="Q36" s="406"/>
      <c r="R36" s="498"/>
      <c r="S36" s="498"/>
      <c r="T36" s="498"/>
      <c r="U36" s="498"/>
      <c r="V36" s="498"/>
      <c r="W36" s="498"/>
      <c r="X36" s="498"/>
      <c r="Y36" s="498"/>
      <c r="Z36" s="498"/>
      <c r="AA36" s="498"/>
    </row>
    <row r="37" ht="15.0" customHeight="1" outlineLevel="1">
      <c r="A37" s="498"/>
      <c r="B37" s="682" t="s">
        <v>442</v>
      </c>
      <c r="C37" s="653"/>
      <c r="D37" s="635"/>
      <c r="E37" s="636">
        <f>SUM('Détail investissements'!C88:E95)</f>
        <v>0</v>
      </c>
      <c r="F37" s="658"/>
      <c r="G37" s="658"/>
      <c r="H37" s="659"/>
      <c r="I37" s="660">
        <f t="shared" si="5"/>
        <v>0</v>
      </c>
      <c r="J37" s="658"/>
      <c r="K37" s="658"/>
      <c r="L37" s="658"/>
      <c r="M37" s="659"/>
      <c r="N37" s="660">
        <f>SUM(J37:M37)</f>
        <v>0</v>
      </c>
      <c r="O37" s="683"/>
      <c r="P37" s="684"/>
      <c r="Q37" s="406"/>
      <c r="R37" s="498"/>
      <c r="S37" s="498"/>
      <c r="T37" s="498"/>
      <c r="U37" s="498"/>
      <c r="V37" s="498"/>
      <c r="W37" s="498"/>
      <c r="X37" s="498"/>
      <c r="Y37" s="498"/>
      <c r="Z37" s="498"/>
      <c r="AA37" s="498"/>
    </row>
    <row r="38" ht="15.0" customHeight="1" outlineLevel="1">
      <c r="A38" s="498"/>
      <c r="B38" s="685" t="s">
        <v>499</v>
      </c>
      <c r="C38" s="656">
        <v>60.0</v>
      </c>
      <c r="D38" s="642"/>
      <c r="E38" s="643">
        <f>E37*3/$C38</f>
        <v>0</v>
      </c>
      <c r="F38" s="644">
        <f>(E37+F37)*3/$C38</f>
        <v>0</v>
      </c>
      <c r="G38" s="644">
        <f>(E37+F37+G37)*3/$C38</f>
        <v>0</v>
      </c>
      <c r="H38" s="645">
        <f>(E37+F37+G37+H37)*3/$C38</f>
        <v>0</v>
      </c>
      <c r="I38" s="646">
        <f t="shared" si="5"/>
        <v>0</v>
      </c>
      <c r="J38" s="644">
        <f>(I37+J37)*3/$C38</f>
        <v>0</v>
      </c>
      <c r="K38" s="644">
        <f>(I37+J37+K37)*3/$C38</f>
        <v>0</v>
      </c>
      <c r="L38" s="644">
        <f>(I37+J37+K37+L37)*3/$C38</f>
        <v>0</v>
      </c>
      <c r="M38" s="645">
        <f>(I37+J37+K37+L37+M37)*3/$C38</f>
        <v>0</v>
      </c>
      <c r="N38" s="647">
        <f>J38+K38+L38+M38</f>
        <v>0</v>
      </c>
      <c r="O38" s="647">
        <f>(I37+N37+(O37/2))*12/$C38</f>
        <v>0</v>
      </c>
      <c r="P38" s="644">
        <f>(I37+N37+O37+(P37/2))*12/$C38</f>
        <v>0</v>
      </c>
      <c r="Q38" s="686"/>
      <c r="R38" s="498"/>
      <c r="S38" s="498"/>
      <c r="T38" s="498"/>
      <c r="U38" s="498"/>
      <c r="V38" s="498"/>
      <c r="W38" s="498"/>
      <c r="X38" s="498"/>
      <c r="Y38" s="498"/>
      <c r="Z38" s="498"/>
      <c r="AA38" s="498"/>
    </row>
    <row r="39" ht="15.0" customHeight="1" outlineLevel="1">
      <c r="A39" s="498"/>
      <c r="B39" s="682" t="s">
        <v>447</v>
      </c>
      <c r="C39" s="653"/>
      <c r="D39" s="655"/>
      <c r="E39" s="636">
        <f>SUM('Détail investissements'!C96:E97)</f>
        <v>0</v>
      </c>
      <c r="F39" s="687"/>
      <c r="G39" s="687"/>
      <c r="H39" s="688"/>
      <c r="I39" s="689">
        <f t="shared" si="5"/>
        <v>0</v>
      </c>
      <c r="J39" s="690"/>
      <c r="K39" s="687"/>
      <c r="L39" s="687"/>
      <c r="M39" s="688"/>
      <c r="N39" s="689">
        <f>SUM(J39:M39)</f>
        <v>0</v>
      </c>
      <c r="O39" s="691"/>
      <c r="P39" s="690"/>
      <c r="Q39" s="406"/>
      <c r="R39" s="498"/>
      <c r="S39" s="498"/>
      <c r="T39" s="498"/>
      <c r="U39" s="498"/>
      <c r="V39" s="498"/>
      <c r="W39" s="498"/>
      <c r="X39" s="498"/>
      <c r="Y39" s="498"/>
      <c r="Z39" s="498"/>
      <c r="AA39" s="498"/>
    </row>
    <row r="40" ht="15.0" customHeight="1" outlineLevel="1">
      <c r="A40" s="498"/>
      <c r="B40" s="640" t="s">
        <v>499</v>
      </c>
      <c r="C40" s="656">
        <v>60.0</v>
      </c>
      <c r="D40" s="642"/>
      <c r="E40" s="643">
        <f>E39*3/$C40</f>
        <v>0</v>
      </c>
      <c r="F40" s="644">
        <f>(E39+F39)*3/$C40</f>
        <v>0</v>
      </c>
      <c r="G40" s="644">
        <f>(E39+F39+G39)*3/$C40</f>
        <v>0</v>
      </c>
      <c r="H40" s="645">
        <f>(E39+F39+G39+H39)*3/$C40</f>
        <v>0</v>
      </c>
      <c r="I40" s="646">
        <f t="shared" si="5"/>
        <v>0</v>
      </c>
      <c r="J40" s="644">
        <f>(I39+J39)*3/$C40</f>
        <v>0</v>
      </c>
      <c r="K40" s="644">
        <f>(I39+J39+K39)*3/$C40</f>
        <v>0</v>
      </c>
      <c r="L40" s="644">
        <f>(I39+J39+K39+L39)*3/$C40</f>
        <v>0</v>
      </c>
      <c r="M40" s="645">
        <f>(I39+J39+K39+L39+M39)*3/$C40</f>
        <v>0</v>
      </c>
      <c r="N40" s="647">
        <f>J40+K40+L40+M40</f>
        <v>0</v>
      </c>
      <c r="O40" s="647">
        <f>(I39+N39+(O39/2))*12/$C40</f>
        <v>0</v>
      </c>
      <c r="P40" s="644">
        <f>(I39+N39+O39+(P39/2))*12/$C40</f>
        <v>0</v>
      </c>
      <c r="Q40" s="406"/>
      <c r="R40" s="498"/>
      <c r="S40" s="498"/>
      <c r="T40" s="498"/>
      <c r="U40" s="498"/>
      <c r="V40" s="498"/>
      <c r="W40" s="498"/>
      <c r="X40" s="498"/>
      <c r="Y40" s="498"/>
      <c r="Z40" s="498"/>
      <c r="AA40" s="498"/>
    </row>
    <row r="41" ht="15.0" customHeight="1" outlineLevel="1">
      <c r="A41" s="498"/>
      <c r="B41" s="682" t="s">
        <v>448</v>
      </c>
      <c r="C41" s="653"/>
      <c r="D41" s="655"/>
      <c r="E41" s="636">
        <f>SUM('Détail investissements'!C98:E99)</f>
        <v>0</v>
      </c>
      <c r="F41" s="501"/>
      <c r="G41" s="501"/>
      <c r="H41" s="502"/>
      <c r="I41" s="638">
        <f t="shared" si="5"/>
        <v>0</v>
      </c>
      <c r="J41" s="500"/>
      <c r="K41" s="501"/>
      <c r="L41" s="501"/>
      <c r="M41" s="502"/>
      <c r="N41" s="638">
        <f>SUM(J41:M41)</f>
        <v>0</v>
      </c>
      <c r="O41" s="639"/>
      <c r="P41" s="500"/>
      <c r="Q41" s="498"/>
      <c r="R41" s="498"/>
      <c r="S41" s="498"/>
      <c r="T41" s="498"/>
      <c r="U41" s="498"/>
      <c r="V41" s="498"/>
      <c r="W41" s="498"/>
      <c r="X41" s="498"/>
      <c r="Y41" s="498"/>
      <c r="Z41" s="498"/>
      <c r="AA41" s="498"/>
    </row>
    <row r="42" ht="14.25" customHeight="1" outlineLevel="1">
      <c r="A42" s="498"/>
      <c r="B42" s="640" t="s">
        <v>499</v>
      </c>
      <c r="C42" s="656">
        <v>60.0</v>
      </c>
      <c r="D42" s="642"/>
      <c r="E42" s="643">
        <f>E41*3/$C42</f>
        <v>0</v>
      </c>
      <c r="F42" s="644">
        <f>(E41+F41)*3/$C42</f>
        <v>0</v>
      </c>
      <c r="G42" s="644">
        <f>(E41+F41+G41)*3/$C42</f>
        <v>0</v>
      </c>
      <c r="H42" s="645">
        <f>(E41+F41+G41+H41)*3/$C42</f>
        <v>0</v>
      </c>
      <c r="I42" s="646">
        <f t="shared" si="5"/>
        <v>0</v>
      </c>
      <c r="J42" s="644">
        <f>(I41+J41)*3/$C42</f>
        <v>0</v>
      </c>
      <c r="K42" s="644">
        <f>(I41+J41+K41)*3/$C42</f>
        <v>0</v>
      </c>
      <c r="L42" s="644">
        <f>(I41+J41+K41+L41)*3/$C42</f>
        <v>0</v>
      </c>
      <c r="M42" s="645">
        <f>(I41+J41+K41+L41+M41)*3/$C42</f>
        <v>0</v>
      </c>
      <c r="N42" s="647">
        <f>J42+K42+L42+M42</f>
        <v>0</v>
      </c>
      <c r="O42" s="647">
        <f>(I41+N41+(O41/2))*12/$C42</f>
        <v>0</v>
      </c>
      <c r="P42" s="644">
        <f>(I41+N41+O41+(P41/2))*12/$C42</f>
        <v>0</v>
      </c>
      <c r="Q42" s="498"/>
      <c r="R42" s="498"/>
      <c r="S42" s="498"/>
      <c r="T42" s="498"/>
      <c r="U42" s="498"/>
      <c r="V42" s="498"/>
      <c r="W42" s="498"/>
      <c r="X42" s="498"/>
      <c r="Y42" s="498"/>
      <c r="Z42" s="498"/>
      <c r="AA42" s="498"/>
    </row>
    <row r="43" ht="15.0" customHeight="1" outlineLevel="1">
      <c r="A43" s="498"/>
      <c r="B43" s="293" t="s">
        <v>505</v>
      </c>
      <c r="C43" s="653"/>
      <c r="D43" s="635"/>
      <c r="E43" s="636"/>
      <c r="F43" s="501"/>
      <c r="G43" s="501"/>
      <c r="H43" s="502"/>
      <c r="I43" s="638">
        <f t="shared" si="5"/>
        <v>0</v>
      </c>
      <c r="J43" s="501"/>
      <c r="K43" s="501"/>
      <c r="L43" s="501"/>
      <c r="M43" s="502"/>
      <c r="N43" s="638">
        <f>SUM(J43:M43)</f>
        <v>0</v>
      </c>
      <c r="O43" s="639"/>
      <c r="P43" s="501"/>
      <c r="Q43" s="498"/>
      <c r="R43" s="498"/>
      <c r="S43" s="498"/>
      <c r="T43" s="498"/>
      <c r="U43" s="498"/>
      <c r="V43" s="498"/>
      <c r="W43" s="498"/>
      <c r="X43" s="498"/>
      <c r="Y43" s="498"/>
      <c r="Z43" s="498"/>
      <c r="AA43" s="498"/>
    </row>
    <row r="44" ht="15.0" customHeight="1" outlineLevel="1">
      <c r="A44" s="498"/>
      <c r="B44" s="692" t="s">
        <v>499</v>
      </c>
      <c r="C44" s="656">
        <v>60.0</v>
      </c>
      <c r="D44" s="642"/>
      <c r="E44" s="643">
        <f>E43*3/$C44</f>
        <v>0</v>
      </c>
      <c r="F44" s="644">
        <f>(E43+F43)*3/$C44</f>
        <v>0</v>
      </c>
      <c r="G44" s="644">
        <f>(E43+F43+G43)*3/$C44</f>
        <v>0</v>
      </c>
      <c r="H44" s="645">
        <f>(E43+F43+G43+H43)*3/$C44</f>
        <v>0</v>
      </c>
      <c r="I44" s="646">
        <f t="shared" si="5"/>
        <v>0</v>
      </c>
      <c r="J44" s="644">
        <f>(I43+J43)*3/$C44</f>
        <v>0</v>
      </c>
      <c r="K44" s="644">
        <f>(I43+J43+K43)*3/$C44</f>
        <v>0</v>
      </c>
      <c r="L44" s="644">
        <f>(I43+J43+K43+L43)*3/$C44</f>
        <v>0</v>
      </c>
      <c r="M44" s="645">
        <f>(I43+J43+K43+L43+M43)*3/$C44</f>
        <v>0</v>
      </c>
      <c r="N44" s="647">
        <f>J44+K44+L44+M44</f>
        <v>0</v>
      </c>
      <c r="O44" s="647">
        <f>(I43+N43+(O43/2))*12/$C44</f>
        <v>0</v>
      </c>
      <c r="P44" s="644">
        <f>(I43+N43+O43+(P43/2))*12/$C44</f>
        <v>0</v>
      </c>
      <c r="Q44" s="498"/>
      <c r="R44" s="498"/>
      <c r="S44" s="498"/>
      <c r="T44" s="498"/>
      <c r="U44" s="498"/>
      <c r="V44" s="498"/>
      <c r="W44" s="498"/>
      <c r="X44" s="498"/>
      <c r="Y44" s="498"/>
      <c r="Z44" s="498"/>
      <c r="AA44" s="498"/>
    </row>
    <row r="45" ht="15.0" customHeight="1">
      <c r="A45" s="498"/>
      <c r="B45" s="667" t="s">
        <v>506</v>
      </c>
      <c r="C45" s="668"/>
      <c r="D45" s="669"/>
      <c r="E45" s="670">
        <f t="shared" ref="E45:P45" si="7">SUMIF($B31:$B44,"&lt;&gt;Amortissement",E31:E44)</f>
        <v>0</v>
      </c>
      <c r="F45" s="545">
        <f t="shared" si="7"/>
        <v>0</v>
      </c>
      <c r="G45" s="545">
        <f t="shared" si="7"/>
        <v>0</v>
      </c>
      <c r="H45" s="546">
        <f t="shared" si="7"/>
        <v>0</v>
      </c>
      <c r="I45" s="547">
        <f t="shared" si="7"/>
        <v>0</v>
      </c>
      <c r="J45" s="545">
        <f t="shared" si="7"/>
        <v>0</v>
      </c>
      <c r="K45" s="545">
        <f t="shared" si="7"/>
        <v>0</v>
      </c>
      <c r="L45" s="545">
        <f t="shared" si="7"/>
        <v>0</v>
      </c>
      <c r="M45" s="546">
        <f t="shared" si="7"/>
        <v>0</v>
      </c>
      <c r="N45" s="20">
        <f t="shared" si="7"/>
        <v>0</v>
      </c>
      <c r="O45" s="548">
        <f t="shared" si="7"/>
        <v>0</v>
      </c>
      <c r="P45" s="20">
        <f t="shared" si="7"/>
        <v>0</v>
      </c>
      <c r="Q45" s="2"/>
      <c r="R45" s="498"/>
      <c r="S45" s="498"/>
      <c r="T45" s="498"/>
      <c r="U45" s="498"/>
      <c r="V45" s="498"/>
      <c r="W45" s="498"/>
      <c r="X45" s="498"/>
      <c r="Y45" s="498"/>
      <c r="Z45" s="498"/>
      <c r="AA45" s="498"/>
    </row>
    <row r="46" ht="15.0" customHeight="1">
      <c r="A46" s="498"/>
      <c r="B46" s="671" t="s">
        <v>507</v>
      </c>
      <c r="C46" s="672"/>
      <c r="D46" s="673"/>
      <c r="E46" s="674">
        <f t="shared" ref="E46:P46" si="8">SUMIF($B31:$B44,"Amortissement",E31:E44)</f>
        <v>0</v>
      </c>
      <c r="F46" s="675">
        <f t="shared" si="8"/>
        <v>0</v>
      </c>
      <c r="G46" s="675">
        <f t="shared" si="8"/>
        <v>0</v>
      </c>
      <c r="H46" s="676">
        <f t="shared" si="8"/>
        <v>0</v>
      </c>
      <c r="I46" s="677">
        <f t="shared" si="8"/>
        <v>0</v>
      </c>
      <c r="J46" s="675">
        <f t="shared" si="8"/>
        <v>0</v>
      </c>
      <c r="K46" s="675">
        <f t="shared" si="8"/>
        <v>0</v>
      </c>
      <c r="L46" s="675">
        <f t="shared" si="8"/>
        <v>0</v>
      </c>
      <c r="M46" s="676">
        <f t="shared" si="8"/>
        <v>0</v>
      </c>
      <c r="N46" s="677">
        <f t="shared" si="8"/>
        <v>0</v>
      </c>
      <c r="O46" s="677">
        <f t="shared" si="8"/>
        <v>0</v>
      </c>
      <c r="P46" s="678">
        <f t="shared" si="8"/>
        <v>0</v>
      </c>
      <c r="Q46" s="498"/>
      <c r="R46" s="498"/>
      <c r="S46" s="498"/>
      <c r="T46" s="498"/>
      <c r="U46" s="498"/>
      <c r="V46" s="498"/>
      <c r="W46" s="498"/>
      <c r="X46" s="498"/>
      <c r="Y46" s="498"/>
      <c r="Z46" s="498"/>
      <c r="AA46" s="498"/>
    </row>
    <row r="47" ht="24.0" customHeight="1">
      <c r="A47" s="496"/>
      <c r="B47" s="679" t="s">
        <v>508</v>
      </c>
      <c r="C47" s="679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680"/>
      <c r="Q47" s="633"/>
      <c r="R47" s="496"/>
      <c r="S47" s="496"/>
      <c r="T47" s="496"/>
      <c r="U47" s="496"/>
      <c r="V47" s="496"/>
      <c r="W47" s="496"/>
      <c r="X47" s="496"/>
      <c r="Y47" s="496"/>
      <c r="Z47" s="496"/>
      <c r="AA47" s="496"/>
    </row>
    <row r="48" ht="15.0" customHeight="1" outlineLevel="1">
      <c r="A48" s="693"/>
      <c r="B48" s="271" t="s">
        <v>509</v>
      </c>
      <c r="C48" s="694"/>
      <c r="D48" s="695"/>
      <c r="E48" s="636">
        <f>SUM('Détail investissements'!C103:E106)</f>
        <v>0</v>
      </c>
      <c r="F48" s="658"/>
      <c r="G48" s="658"/>
      <c r="H48" s="696"/>
      <c r="I48" s="660">
        <f t="shared" ref="I48:I50" si="9">SUM(E48:H48)</f>
        <v>0</v>
      </c>
      <c r="J48" s="697"/>
      <c r="K48" s="658"/>
      <c r="L48" s="658"/>
      <c r="M48" s="696"/>
      <c r="N48" s="660">
        <f t="shared" ref="N48:N50" si="10">SUM(J48:M48)</f>
        <v>0</v>
      </c>
      <c r="O48" s="698"/>
      <c r="P48" s="697"/>
      <c r="Q48" s="699"/>
      <c r="R48" s="693"/>
      <c r="S48" s="693"/>
      <c r="T48" s="693"/>
      <c r="U48" s="693"/>
      <c r="V48" s="693"/>
      <c r="W48" s="693"/>
      <c r="X48" s="693"/>
      <c r="Y48" s="693"/>
      <c r="Z48" s="693"/>
      <c r="AA48" s="693"/>
    </row>
    <row r="49" ht="15.0" customHeight="1" outlineLevel="1">
      <c r="A49" s="693"/>
      <c r="B49" s="700" t="s">
        <v>454</v>
      </c>
      <c r="C49" s="701"/>
      <c r="D49" s="695"/>
      <c r="E49" s="636">
        <f>SUM('Détail investissements'!C107:E112)</f>
        <v>0</v>
      </c>
      <c r="F49" s="635"/>
      <c r="G49" s="635"/>
      <c r="H49" s="635"/>
      <c r="I49" s="702">
        <f t="shared" si="9"/>
        <v>0</v>
      </c>
      <c r="J49" s="635"/>
      <c r="K49" s="635"/>
      <c r="L49" s="635"/>
      <c r="M49" s="635"/>
      <c r="N49" s="702">
        <f t="shared" si="10"/>
        <v>0</v>
      </c>
      <c r="O49" s="703"/>
      <c r="P49" s="635"/>
      <c r="Q49" s="699"/>
      <c r="R49" s="693"/>
      <c r="S49" s="693"/>
      <c r="T49" s="693"/>
      <c r="U49" s="693"/>
      <c r="V49" s="693"/>
      <c r="W49" s="693"/>
      <c r="X49" s="693"/>
      <c r="Y49" s="693"/>
      <c r="Z49" s="693"/>
      <c r="AA49" s="693"/>
    </row>
    <row r="50" ht="15.0" customHeight="1" outlineLevel="1">
      <c r="A50" s="693"/>
      <c r="B50" s="704"/>
      <c r="C50" s="705"/>
      <c r="D50" s="706"/>
      <c r="E50" s="707"/>
      <c r="F50" s="708"/>
      <c r="G50" s="708"/>
      <c r="H50" s="709"/>
      <c r="I50" s="710">
        <f t="shared" si="9"/>
        <v>0</v>
      </c>
      <c r="J50" s="708"/>
      <c r="K50" s="708"/>
      <c r="L50" s="708"/>
      <c r="M50" s="709"/>
      <c r="N50" s="710">
        <f t="shared" si="10"/>
        <v>0</v>
      </c>
      <c r="O50" s="711"/>
      <c r="P50" s="708"/>
      <c r="Q50" s="712"/>
      <c r="R50" s="693"/>
      <c r="S50" s="693"/>
      <c r="T50" s="693"/>
      <c r="U50" s="693"/>
      <c r="V50" s="693"/>
      <c r="W50" s="693"/>
      <c r="X50" s="693"/>
      <c r="Y50" s="693"/>
      <c r="Z50" s="693"/>
      <c r="AA50" s="693"/>
    </row>
    <row r="51" ht="15.0" customHeight="1">
      <c r="A51" s="498"/>
      <c r="B51" s="385" t="s">
        <v>510</v>
      </c>
      <c r="C51" s="713"/>
      <c r="D51" s="714"/>
      <c r="E51" s="715">
        <f t="shared" ref="E51:P51" si="11">SUM(E48:E50)</f>
        <v>0</v>
      </c>
      <c r="F51" s="716">
        <f t="shared" si="11"/>
        <v>0</v>
      </c>
      <c r="G51" s="716">
        <f t="shared" si="11"/>
        <v>0</v>
      </c>
      <c r="H51" s="717">
        <f t="shared" si="11"/>
        <v>0</v>
      </c>
      <c r="I51" s="718">
        <f t="shared" si="11"/>
        <v>0</v>
      </c>
      <c r="J51" s="716">
        <f t="shared" si="11"/>
        <v>0</v>
      </c>
      <c r="K51" s="716">
        <f t="shared" si="11"/>
        <v>0</v>
      </c>
      <c r="L51" s="716">
        <f t="shared" si="11"/>
        <v>0</v>
      </c>
      <c r="M51" s="717">
        <f t="shared" si="11"/>
        <v>0</v>
      </c>
      <c r="N51" s="719">
        <f t="shared" si="11"/>
        <v>0</v>
      </c>
      <c r="O51" s="720">
        <f t="shared" si="11"/>
        <v>0</v>
      </c>
      <c r="P51" s="719">
        <f t="shared" si="11"/>
        <v>0</v>
      </c>
      <c r="Q51" s="2"/>
      <c r="R51" s="498"/>
      <c r="S51" s="498"/>
      <c r="T51" s="498"/>
      <c r="U51" s="498"/>
      <c r="V51" s="498"/>
      <c r="W51" s="498"/>
      <c r="X51" s="498"/>
      <c r="Y51" s="498"/>
      <c r="Z51" s="498"/>
      <c r="AA51" s="498"/>
    </row>
    <row r="52" ht="24.0" customHeight="1">
      <c r="A52" s="496"/>
      <c r="B52" s="679" t="s">
        <v>511</v>
      </c>
      <c r="C52" s="679"/>
      <c r="D52" s="680"/>
      <c r="E52" s="680"/>
      <c r="F52" s="680"/>
      <c r="G52" s="680"/>
      <c r="H52" s="680"/>
      <c r="I52" s="680"/>
      <c r="J52" s="680"/>
      <c r="K52" s="680"/>
      <c r="L52" s="680"/>
      <c r="M52" s="680"/>
      <c r="N52" s="680"/>
      <c r="O52" s="680"/>
      <c r="P52" s="680"/>
      <c r="Q52" s="633"/>
      <c r="R52" s="496"/>
      <c r="S52" s="496"/>
      <c r="T52" s="496"/>
      <c r="U52" s="496"/>
      <c r="V52" s="496"/>
      <c r="W52" s="496"/>
      <c r="X52" s="496"/>
      <c r="Y52" s="496"/>
      <c r="Z52" s="496"/>
      <c r="AA52" s="496"/>
    </row>
    <row r="53" ht="15.75" customHeight="1">
      <c r="A53" s="498"/>
      <c r="B53" s="385" t="s">
        <v>512</v>
      </c>
      <c r="C53" s="713"/>
      <c r="D53" s="714"/>
      <c r="E53" s="715">
        <f t="shared" ref="E53:P53" si="12">E28+E45+E51</f>
        <v>0</v>
      </c>
      <c r="F53" s="716">
        <f t="shared" si="12"/>
        <v>0</v>
      </c>
      <c r="G53" s="716">
        <f t="shared" si="12"/>
        <v>0</v>
      </c>
      <c r="H53" s="721">
        <f t="shared" si="12"/>
        <v>0</v>
      </c>
      <c r="I53" s="718">
        <f t="shared" si="12"/>
        <v>0</v>
      </c>
      <c r="J53" s="716">
        <f t="shared" si="12"/>
        <v>0</v>
      </c>
      <c r="K53" s="716">
        <f t="shared" si="12"/>
        <v>0</v>
      </c>
      <c r="L53" s="716">
        <f t="shared" si="12"/>
        <v>0</v>
      </c>
      <c r="M53" s="721">
        <f t="shared" si="12"/>
        <v>0</v>
      </c>
      <c r="N53" s="719">
        <f t="shared" si="12"/>
        <v>0</v>
      </c>
      <c r="O53" s="720">
        <f t="shared" si="12"/>
        <v>0</v>
      </c>
      <c r="P53" s="719">
        <f t="shared" si="12"/>
        <v>0</v>
      </c>
      <c r="Q53" s="498"/>
      <c r="R53" s="498"/>
      <c r="S53" s="498"/>
      <c r="T53" s="498"/>
      <c r="U53" s="498"/>
      <c r="V53" s="498"/>
      <c r="W53" s="498"/>
      <c r="X53" s="498"/>
      <c r="Y53" s="498"/>
      <c r="Z53" s="498"/>
      <c r="AA53" s="498"/>
    </row>
    <row r="54" ht="13.5" customHeight="1">
      <c r="A54" s="498"/>
      <c r="B54" s="671" t="s">
        <v>513</v>
      </c>
      <c r="C54" s="722"/>
      <c r="D54" s="673"/>
      <c r="E54" s="674">
        <f t="shared" ref="E54:P54" si="13">E29+E46</f>
        <v>0</v>
      </c>
      <c r="F54" s="675">
        <f t="shared" si="13"/>
        <v>0</v>
      </c>
      <c r="G54" s="675">
        <f t="shared" si="13"/>
        <v>0</v>
      </c>
      <c r="H54" s="676">
        <f t="shared" si="13"/>
        <v>0</v>
      </c>
      <c r="I54" s="677">
        <f t="shared" si="13"/>
        <v>0</v>
      </c>
      <c r="J54" s="675">
        <f t="shared" si="13"/>
        <v>0</v>
      </c>
      <c r="K54" s="675">
        <f t="shared" si="13"/>
        <v>0</v>
      </c>
      <c r="L54" s="675">
        <f t="shared" si="13"/>
        <v>0</v>
      </c>
      <c r="M54" s="676">
        <f t="shared" si="13"/>
        <v>0</v>
      </c>
      <c r="N54" s="677">
        <f t="shared" si="13"/>
        <v>0</v>
      </c>
      <c r="O54" s="723">
        <f t="shared" si="13"/>
        <v>0</v>
      </c>
      <c r="P54" s="678">
        <f t="shared" si="13"/>
        <v>0</v>
      </c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8"/>
    </row>
    <row r="55" ht="21.0" customHeight="1">
      <c r="A55" s="498"/>
      <c r="B55" s="187"/>
      <c r="C55" s="2"/>
      <c r="D55" s="724"/>
      <c r="E55" s="724"/>
      <c r="F55" s="724"/>
      <c r="G55" s="724"/>
      <c r="H55" s="724"/>
      <c r="I55" s="724"/>
      <c r="J55" s="724"/>
      <c r="K55" s="724"/>
      <c r="L55" s="724"/>
      <c r="M55" s="724"/>
      <c r="N55" s="724"/>
      <c r="O55" s="724"/>
      <c r="P55" s="724"/>
      <c r="Q55" s="498"/>
      <c r="R55" s="498"/>
      <c r="S55" s="498"/>
      <c r="T55" s="498"/>
      <c r="U55" s="498"/>
      <c r="V55" s="498"/>
      <c r="W55" s="498"/>
      <c r="X55" s="498"/>
      <c r="Y55" s="498"/>
      <c r="Z55" s="498"/>
      <c r="AA55" s="498"/>
    </row>
    <row r="56" ht="15.0" customHeight="1">
      <c r="A56" s="498"/>
      <c r="B56" s="343"/>
      <c r="C56" s="542"/>
      <c r="D56" s="725"/>
      <c r="E56" s="725"/>
      <c r="F56" s="725"/>
      <c r="G56" s="725"/>
      <c r="H56" s="725"/>
      <c r="I56" s="726"/>
      <c r="J56" s="726"/>
      <c r="K56" s="726"/>
      <c r="L56" s="726"/>
      <c r="M56" s="727"/>
      <c r="N56" s="726"/>
      <c r="O56" s="728"/>
      <c r="P56" s="728"/>
      <c r="Q56" s="549"/>
      <c r="R56" s="498"/>
      <c r="S56" s="498"/>
      <c r="T56" s="498"/>
      <c r="U56" s="498"/>
      <c r="V56" s="498"/>
      <c r="W56" s="498"/>
      <c r="X56" s="498"/>
      <c r="Y56" s="498"/>
      <c r="Z56" s="498"/>
      <c r="AA56" s="498"/>
    </row>
    <row r="57" ht="15.0" customHeight="1">
      <c r="A57" s="498"/>
      <c r="B57" s="308"/>
      <c r="C57" s="498"/>
      <c r="D57" s="725"/>
      <c r="E57" s="725"/>
      <c r="F57" s="728"/>
      <c r="G57" s="728"/>
      <c r="H57" s="729"/>
      <c r="I57" s="549"/>
      <c r="J57" s="549"/>
      <c r="K57" s="549"/>
      <c r="L57" s="549"/>
      <c r="M57" s="729"/>
      <c r="N57" s="549"/>
      <c r="O57" s="549"/>
      <c r="P57" s="549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8"/>
    </row>
    <row r="58" ht="15.0" customHeight="1">
      <c r="A58" s="498"/>
      <c r="B58" s="308"/>
      <c r="C58" s="498"/>
      <c r="D58" s="498"/>
      <c r="E58" s="498"/>
      <c r="F58" s="498"/>
      <c r="G58" s="498"/>
      <c r="H58" s="498"/>
      <c r="I58" s="498"/>
      <c r="J58" s="498"/>
      <c r="K58" s="498"/>
      <c r="L58" s="498"/>
      <c r="M58" s="498"/>
      <c r="N58" s="498"/>
      <c r="O58" s="498"/>
      <c r="P58" s="498"/>
      <c r="Q58" s="730"/>
      <c r="R58" s="498"/>
      <c r="S58" s="498"/>
      <c r="T58" s="498"/>
      <c r="U58" s="498"/>
      <c r="V58" s="498"/>
      <c r="W58" s="498"/>
      <c r="X58" s="498"/>
      <c r="Y58" s="498"/>
      <c r="Z58" s="498"/>
      <c r="AA58" s="498"/>
    </row>
    <row r="59" ht="15.0" customHeight="1">
      <c r="A59" s="498"/>
      <c r="B59" s="308"/>
      <c r="C59" s="308"/>
      <c r="D59" s="498"/>
      <c r="E59" s="498"/>
      <c r="F59" s="498"/>
      <c r="G59" s="498"/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8"/>
    </row>
    <row r="60" ht="15.0" customHeight="1">
      <c r="A60" s="498"/>
      <c r="B60" s="308"/>
      <c r="C60" s="308"/>
      <c r="D60" s="498"/>
      <c r="E60" s="498"/>
      <c r="F60" s="498"/>
      <c r="G60" s="498"/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8"/>
    </row>
    <row r="61" ht="15.0" customHeight="1">
      <c r="A61" s="612"/>
      <c r="B61" s="682" t="s">
        <v>514</v>
      </c>
      <c r="C61" s="612"/>
      <c r="D61" s="612"/>
      <c r="E61" s="612"/>
      <c r="F61" s="612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Q61" s="612"/>
      <c r="R61" s="612"/>
      <c r="S61" s="612"/>
      <c r="T61" s="612"/>
      <c r="U61" s="612"/>
      <c r="V61" s="612"/>
      <c r="W61" s="612"/>
      <c r="X61" s="612"/>
      <c r="Y61" s="612"/>
      <c r="Z61" s="612"/>
      <c r="AA61" s="612"/>
    </row>
    <row r="62" ht="15.0" customHeight="1">
      <c r="A62" s="612"/>
      <c r="B62" s="682" t="s">
        <v>515</v>
      </c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612"/>
    </row>
    <row r="63" ht="15.0" customHeight="1">
      <c r="A63" s="612"/>
      <c r="B63" s="682" t="s">
        <v>427</v>
      </c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2"/>
      <c r="N63" s="612"/>
      <c r="O63" s="612"/>
      <c r="P63" s="612"/>
      <c r="Q63" s="612"/>
      <c r="R63" s="612"/>
      <c r="S63" s="612"/>
      <c r="T63" s="612"/>
      <c r="U63" s="612"/>
      <c r="V63" s="612"/>
      <c r="W63" s="612"/>
      <c r="X63" s="612"/>
      <c r="Y63" s="612"/>
      <c r="Z63" s="612"/>
      <c r="AA63" s="612"/>
    </row>
    <row r="64" ht="15.0" customHeight="1">
      <c r="A64" s="612"/>
      <c r="B64" s="682" t="s">
        <v>442</v>
      </c>
      <c r="C64" s="612"/>
      <c r="D64" s="612"/>
      <c r="E64" s="612"/>
      <c r="F64" s="612"/>
      <c r="G64" s="612"/>
      <c r="H64" s="612"/>
      <c r="I64" s="612"/>
      <c r="J64" s="612"/>
      <c r="K64" s="612"/>
      <c r="L64" s="612"/>
      <c r="M64" s="612"/>
      <c r="N64" s="612"/>
      <c r="O64" s="612"/>
      <c r="P64" s="612"/>
      <c r="Q64" s="612"/>
      <c r="R64" s="612"/>
      <c r="S64" s="612"/>
      <c r="T64" s="612"/>
      <c r="U64" s="612"/>
      <c r="V64" s="612"/>
      <c r="W64" s="612"/>
      <c r="X64" s="612"/>
      <c r="Y64" s="612"/>
      <c r="Z64" s="612"/>
      <c r="AA64" s="612"/>
    </row>
    <row r="65" ht="15.0" customHeight="1">
      <c r="A65" s="612"/>
      <c r="B65" s="682" t="s">
        <v>447</v>
      </c>
      <c r="C65" s="612"/>
      <c r="D65" s="612"/>
      <c r="E65" s="612"/>
      <c r="F65" s="612"/>
      <c r="G65" s="612"/>
      <c r="H65" s="612"/>
      <c r="I65" s="612"/>
      <c r="J65" s="612"/>
      <c r="K65" s="612"/>
      <c r="L65" s="612"/>
      <c r="M65" s="612"/>
      <c r="N65" s="612"/>
      <c r="O65" s="612"/>
      <c r="P65" s="612"/>
      <c r="Q65" s="612"/>
      <c r="R65" s="612"/>
      <c r="S65" s="612"/>
      <c r="T65" s="612"/>
      <c r="U65" s="612"/>
      <c r="V65" s="612"/>
      <c r="W65" s="612"/>
      <c r="X65" s="612"/>
      <c r="Y65" s="612"/>
      <c r="Z65" s="612"/>
      <c r="AA65" s="612"/>
    </row>
    <row r="66" ht="15.0" customHeight="1">
      <c r="A66" s="612"/>
      <c r="B66" s="682" t="s">
        <v>448</v>
      </c>
      <c r="C66" s="612"/>
      <c r="D66" s="612"/>
      <c r="E66" s="612"/>
      <c r="F66" s="612"/>
      <c r="G66" s="612"/>
      <c r="H66" s="612"/>
      <c r="I66" s="612"/>
      <c r="J66" s="612"/>
      <c r="K66" s="612"/>
      <c r="L66" s="612"/>
      <c r="M66" s="612"/>
      <c r="N66" s="612"/>
      <c r="O66" s="612"/>
      <c r="P66" s="612"/>
      <c r="Q66" s="612"/>
      <c r="R66" s="612"/>
      <c r="S66" s="612"/>
      <c r="T66" s="612"/>
      <c r="U66" s="612"/>
      <c r="V66" s="612"/>
      <c r="W66" s="612"/>
      <c r="X66" s="612"/>
      <c r="Y66" s="612"/>
      <c r="Z66" s="612"/>
      <c r="AA66" s="612"/>
    </row>
    <row r="67" ht="15.0" customHeight="1">
      <c r="A67" s="612"/>
      <c r="B67" s="682"/>
      <c r="C67" s="612"/>
      <c r="D67" s="612"/>
      <c r="E67" s="612"/>
      <c r="F67" s="612"/>
      <c r="G67" s="612"/>
      <c r="H67" s="612"/>
      <c r="I67" s="612"/>
      <c r="J67" s="612"/>
      <c r="K67" s="612"/>
      <c r="L67" s="612"/>
      <c r="M67" s="612"/>
      <c r="N67" s="612"/>
      <c r="O67" s="612"/>
      <c r="P67" s="612"/>
      <c r="Q67" s="731"/>
      <c r="R67" s="612"/>
      <c r="S67" s="612"/>
      <c r="T67" s="612"/>
      <c r="U67" s="612"/>
      <c r="V67" s="612"/>
      <c r="W67" s="612"/>
      <c r="X67" s="612"/>
      <c r="Y67" s="612"/>
      <c r="Z67" s="612"/>
      <c r="AA67" s="612"/>
    </row>
    <row r="68" ht="15.0" customHeight="1">
      <c r="A68" s="612"/>
      <c r="B68" s="682"/>
      <c r="C68" s="612"/>
      <c r="D68" s="612"/>
      <c r="E68" s="612"/>
      <c r="F68" s="612"/>
      <c r="G68" s="612"/>
      <c r="H68" s="612"/>
      <c r="I68" s="612"/>
      <c r="J68" s="612"/>
      <c r="K68" s="612"/>
      <c r="L68" s="612"/>
      <c r="M68" s="612"/>
      <c r="N68" s="612"/>
      <c r="O68" s="612"/>
      <c r="P68" s="612"/>
      <c r="Q68" s="731"/>
      <c r="R68" s="612"/>
      <c r="S68" s="612"/>
      <c r="T68" s="612"/>
      <c r="U68" s="612"/>
      <c r="V68" s="612"/>
      <c r="W68" s="612"/>
      <c r="X68" s="612"/>
      <c r="Y68" s="612"/>
      <c r="Z68" s="612"/>
      <c r="AA68" s="612"/>
    </row>
    <row r="69" ht="15.0" customHeight="1">
      <c r="A69" s="612"/>
      <c r="B69" s="682"/>
      <c r="C69" s="612"/>
      <c r="D69" s="612"/>
      <c r="E69" s="612"/>
      <c r="F69" s="612"/>
      <c r="G69" s="612"/>
      <c r="H69" s="612"/>
      <c r="I69" s="612"/>
      <c r="J69" s="612"/>
      <c r="K69" s="612"/>
      <c r="L69" s="612"/>
      <c r="M69" s="612"/>
      <c r="N69" s="612"/>
      <c r="O69" s="612"/>
      <c r="P69" s="612"/>
      <c r="Q69" s="731"/>
      <c r="R69" s="612"/>
      <c r="S69" s="612"/>
      <c r="T69" s="612"/>
      <c r="U69" s="612"/>
      <c r="V69" s="612"/>
      <c r="W69" s="612"/>
      <c r="X69" s="612"/>
      <c r="Y69" s="612"/>
      <c r="Z69" s="612"/>
      <c r="AA69" s="612"/>
    </row>
    <row r="70" ht="15.0" customHeight="1">
      <c r="A70" s="612"/>
      <c r="B70" s="682"/>
      <c r="C70" s="612"/>
      <c r="D70" s="612"/>
      <c r="E70" s="612"/>
      <c r="F70" s="612"/>
      <c r="G70" s="612"/>
      <c r="H70" s="612"/>
      <c r="I70" s="612"/>
      <c r="J70" s="612"/>
      <c r="K70" s="612"/>
      <c r="L70" s="612"/>
      <c r="M70" s="612"/>
      <c r="N70" s="612"/>
      <c r="O70" s="612"/>
      <c r="P70" s="612"/>
      <c r="Q70" s="731"/>
      <c r="R70" s="612"/>
      <c r="S70" s="612"/>
      <c r="T70" s="612"/>
      <c r="U70" s="612"/>
      <c r="V70" s="612"/>
      <c r="W70" s="612"/>
      <c r="X70" s="612"/>
      <c r="Y70" s="612"/>
      <c r="Z70" s="612"/>
      <c r="AA70" s="612"/>
    </row>
    <row r="71" ht="15.0" customHeight="1">
      <c r="A71" s="612"/>
      <c r="B71" s="682"/>
      <c r="C71" s="612"/>
      <c r="D71" s="612"/>
      <c r="E71" s="612"/>
      <c r="F71" s="612"/>
      <c r="G71" s="612"/>
      <c r="H71" s="612"/>
      <c r="I71" s="612"/>
      <c r="J71" s="612"/>
      <c r="K71" s="612"/>
      <c r="L71" s="612"/>
      <c r="M71" s="612"/>
      <c r="N71" s="612"/>
      <c r="O71" s="612"/>
      <c r="P71" s="612"/>
      <c r="R71" s="612"/>
      <c r="S71" s="612"/>
      <c r="T71" s="612"/>
      <c r="U71" s="612"/>
      <c r="V71" s="612"/>
      <c r="W71" s="612"/>
      <c r="X71" s="612"/>
      <c r="Y71" s="612"/>
      <c r="Z71" s="612"/>
      <c r="AA71" s="612"/>
    </row>
    <row r="72" ht="15.0" customHeight="1">
      <c r="A72" s="612"/>
      <c r="B72" s="68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612"/>
    </row>
    <row r="73" ht="15.0" customHeight="1">
      <c r="A73" s="612"/>
      <c r="B73" s="682"/>
      <c r="C73" s="612"/>
      <c r="D73" s="612"/>
      <c r="E73" s="612"/>
      <c r="F73" s="612"/>
      <c r="G73" s="612"/>
      <c r="H73" s="612"/>
      <c r="I73" s="612"/>
      <c r="J73" s="612"/>
      <c r="K73" s="612"/>
      <c r="L73" s="612"/>
      <c r="M73" s="612"/>
      <c r="N73" s="612"/>
      <c r="O73" s="612"/>
      <c r="P73" s="612"/>
      <c r="Q73" s="612"/>
      <c r="R73" s="612"/>
      <c r="S73" s="612"/>
      <c r="T73" s="612"/>
      <c r="U73" s="612"/>
      <c r="V73" s="612"/>
      <c r="W73" s="612"/>
      <c r="X73" s="612"/>
      <c r="Y73" s="612"/>
      <c r="Z73" s="612"/>
      <c r="AA73" s="612"/>
    </row>
    <row r="74" ht="15.0" customHeight="1">
      <c r="A74" s="612"/>
      <c r="B74" s="682"/>
      <c r="C74" s="612"/>
      <c r="D74" s="612"/>
      <c r="E74" s="612"/>
      <c r="F74" s="612"/>
      <c r="G74" s="612"/>
      <c r="H74" s="612"/>
      <c r="I74" s="612"/>
      <c r="J74" s="612"/>
      <c r="K74" s="612"/>
      <c r="L74" s="612"/>
      <c r="M74" s="612"/>
      <c r="N74" s="612"/>
      <c r="O74" s="612"/>
      <c r="P74" s="612"/>
      <c r="Q74" s="612"/>
      <c r="R74" s="612"/>
      <c r="S74" s="612"/>
      <c r="T74" s="612"/>
      <c r="U74" s="612"/>
      <c r="V74" s="612"/>
      <c r="W74" s="612"/>
      <c r="X74" s="612"/>
      <c r="Y74" s="612"/>
      <c r="Z74" s="612"/>
      <c r="AA74" s="612"/>
    </row>
    <row r="75" ht="15.0" customHeight="1">
      <c r="A75" s="612"/>
      <c r="B75" s="682"/>
      <c r="C75" s="612"/>
      <c r="D75" s="612"/>
      <c r="E75" s="612"/>
      <c r="F75" s="612"/>
      <c r="G75" s="612"/>
      <c r="H75" s="612"/>
      <c r="I75" s="612"/>
      <c r="J75" s="612"/>
      <c r="K75" s="612"/>
      <c r="L75" s="612"/>
      <c r="M75" s="612"/>
      <c r="N75" s="612"/>
      <c r="O75" s="612"/>
      <c r="P75" s="612"/>
      <c r="R75" s="612"/>
      <c r="S75" s="612"/>
      <c r="T75" s="612"/>
      <c r="U75" s="612"/>
      <c r="V75" s="612"/>
      <c r="W75" s="612"/>
      <c r="X75" s="612"/>
      <c r="Y75" s="612"/>
      <c r="Z75" s="612"/>
      <c r="AA75" s="612"/>
    </row>
    <row r="76" ht="15.0" customHeight="1">
      <c r="A76" s="612"/>
      <c r="B76" s="682"/>
      <c r="C76" s="612"/>
      <c r="D76" s="612"/>
      <c r="E76" s="612"/>
      <c r="F76" s="612"/>
      <c r="G76" s="612"/>
      <c r="H76" s="612"/>
      <c r="I76" s="612"/>
      <c r="J76" s="612"/>
      <c r="K76" s="612"/>
      <c r="L76" s="612"/>
      <c r="M76" s="612"/>
      <c r="N76" s="612"/>
      <c r="O76" s="612"/>
      <c r="P76" s="612"/>
      <c r="Q76" s="732"/>
      <c r="R76" s="612"/>
      <c r="S76" s="612"/>
      <c r="T76" s="612"/>
      <c r="U76" s="612"/>
      <c r="V76" s="612"/>
      <c r="W76" s="612"/>
      <c r="X76" s="612"/>
      <c r="Y76" s="612"/>
      <c r="Z76" s="612"/>
      <c r="AA76" s="612"/>
    </row>
    <row r="77" ht="15.0" customHeight="1">
      <c r="A77" s="612"/>
      <c r="B77" s="68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2"/>
      <c r="P77" s="612"/>
      <c r="Q77" s="612"/>
      <c r="R77" s="612"/>
      <c r="S77" s="612"/>
      <c r="T77" s="612"/>
      <c r="U77" s="612"/>
      <c r="V77" s="612"/>
      <c r="W77" s="612"/>
      <c r="X77" s="612"/>
      <c r="Y77" s="612"/>
      <c r="Z77" s="612"/>
      <c r="AA77" s="612"/>
    </row>
    <row r="78" ht="15.0" customHeight="1">
      <c r="A78" s="612"/>
      <c r="B78" s="733"/>
      <c r="C78" s="734"/>
      <c r="D78" s="735"/>
      <c r="E78" s="735"/>
      <c r="F78" s="735"/>
      <c r="G78" s="735"/>
      <c r="H78" s="736"/>
      <c r="I78" s="737"/>
      <c r="J78" s="736"/>
      <c r="K78" s="738"/>
      <c r="L78" s="738"/>
      <c r="M78" s="738"/>
      <c r="N78" s="736"/>
      <c r="O78" s="736"/>
      <c r="P78" s="736"/>
      <c r="Q78" s="612"/>
      <c r="R78" s="612"/>
      <c r="S78" s="612"/>
      <c r="T78" s="612"/>
      <c r="U78" s="612"/>
      <c r="V78" s="612"/>
      <c r="W78" s="612"/>
      <c r="X78" s="612"/>
      <c r="Y78" s="612"/>
      <c r="Z78" s="612"/>
      <c r="AA78" s="612"/>
    </row>
    <row r="79" ht="15.0" customHeight="1">
      <c r="A79" s="612"/>
      <c r="B79" s="68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612"/>
    </row>
    <row r="80" ht="15.0" customHeight="1">
      <c r="A80" s="612"/>
      <c r="B80" s="682"/>
      <c r="C80" s="612"/>
      <c r="D80" s="612"/>
      <c r="E80" s="612"/>
      <c r="F80" s="612"/>
      <c r="G80" s="612"/>
      <c r="H80" s="612"/>
      <c r="I80" s="612"/>
      <c r="J80" s="612"/>
      <c r="K80" s="612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12"/>
      <c r="Y80" s="612"/>
      <c r="Z80" s="612"/>
      <c r="AA80" s="612"/>
    </row>
    <row r="81" ht="15.0" customHeight="1">
      <c r="A81" s="612"/>
      <c r="B81" s="682"/>
      <c r="C81" s="612"/>
      <c r="D81" s="612"/>
      <c r="E81" s="612"/>
      <c r="F81" s="612"/>
      <c r="G81" s="612"/>
      <c r="H81" s="612"/>
      <c r="I81" s="612"/>
      <c r="J81" s="612"/>
      <c r="K81" s="612"/>
      <c r="L81" s="612"/>
      <c r="M81" s="612"/>
      <c r="N81" s="612"/>
      <c r="O81" s="612"/>
      <c r="P81" s="612"/>
      <c r="Q81" s="612"/>
      <c r="R81" s="612"/>
      <c r="S81" s="612"/>
      <c r="T81" s="612"/>
      <c r="U81" s="612"/>
      <c r="V81" s="612"/>
      <c r="W81" s="612"/>
      <c r="X81" s="612"/>
      <c r="Y81" s="612"/>
      <c r="Z81" s="612"/>
      <c r="AA81" s="612"/>
    </row>
    <row r="82" ht="15.0" customHeight="1">
      <c r="A82" s="612"/>
      <c r="B82" s="68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2"/>
      <c r="P82" s="612"/>
      <c r="Q82" s="612"/>
      <c r="R82" s="612"/>
      <c r="S82" s="612"/>
      <c r="T82" s="612"/>
      <c r="U82" s="612"/>
      <c r="V82" s="612"/>
      <c r="W82" s="612"/>
      <c r="X82" s="612"/>
      <c r="Y82" s="612"/>
      <c r="Z82" s="612"/>
      <c r="AA82" s="612"/>
    </row>
    <row r="83" ht="13.5" customHeight="1">
      <c r="A83" s="612"/>
      <c r="B83" s="68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2"/>
      <c r="N83" s="612"/>
      <c r="O83" s="612"/>
      <c r="P83" s="612"/>
      <c r="Q83" s="612"/>
      <c r="R83" s="612"/>
      <c r="S83" s="612"/>
      <c r="T83" s="612"/>
      <c r="U83" s="612"/>
      <c r="V83" s="612"/>
      <c r="W83" s="612"/>
      <c r="X83" s="612"/>
      <c r="Y83" s="612"/>
      <c r="Z83" s="612"/>
      <c r="AA83" s="612"/>
    </row>
    <row r="84" ht="13.5" customHeight="1">
      <c r="A84" s="612"/>
      <c r="B84" s="68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612"/>
    </row>
    <row r="85" ht="13.5" customHeight="1">
      <c r="A85" s="612"/>
      <c r="B85" s="682"/>
      <c r="C85" s="612"/>
      <c r="D85" s="612"/>
      <c r="E85" s="612"/>
      <c r="F85" s="612"/>
      <c r="G85" s="612"/>
      <c r="H85" s="612"/>
      <c r="I85" s="612"/>
      <c r="J85" s="612"/>
      <c r="K85" s="612"/>
      <c r="L85" s="612"/>
      <c r="M85" s="612"/>
      <c r="N85" s="612"/>
      <c r="O85" s="612"/>
      <c r="P85" s="612"/>
      <c r="Q85" s="612"/>
      <c r="R85" s="612"/>
      <c r="S85" s="612"/>
      <c r="T85" s="612"/>
      <c r="U85" s="612"/>
      <c r="V85" s="612"/>
      <c r="W85" s="612"/>
      <c r="X85" s="612"/>
      <c r="Y85" s="612"/>
      <c r="Z85" s="612"/>
      <c r="AA85" s="612"/>
    </row>
    <row r="86" ht="13.5" customHeight="1">
      <c r="A86" s="612"/>
      <c r="B86" s="682"/>
      <c r="C86" s="612"/>
      <c r="D86" s="612"/>
      <c r="E86" s="612"/>
      <c r="F86" s="612"/>
      <c r="G86" s="612"/>
      <c r="H86" s="612"/>
      <c r="I86" s="612"/>
      <c r="J86" s="612"/>
      <c r="K86" s="612"/>
      <c r="L86" s="612"/>
      <c r="M86" s="612"/>
      <c r="N86" s="612"/>
      <c r="O86" s="612"/>
      <c r="P86" s="612"/>
      <c r="Q86" s="612"/>
      <c r="R86" s="612"/>
      <c r="S86" s="612"/>
      <c r="T86" s="612"/>
      <c r="U86" s="612"/>
      <c r="V86" s="612"/>
      <c r="W86" s="612"/>
      <c r="X86" s="612"/>
      <c r="Y86" s="612"/>
      <c r="Z86" s="612"/>
      <c r="AA86" s="612"/>
    </row>
    <row r="87" ht="13.5" customHeight="1">
      <c r="A87" s="612"/>
      <c r="B87" s="682"/>
      <c r="C87" s="612"/>
      <c r="D87" s="612"/>
      <c r="E87" s="612"/>
      <c r="F87" s="612"/>
      <c r="G87" s="612"/>
      <c r="H87" s="612"/>
      <c r="I87" s="612"/>
      <c r="J87" s="612"/>
      <c r="K87" s="612"/>
      <c r="L87" s="612"/>
      <c r="M87" s="612"/>
      <c r="N87" s="612"/>
      <c r="O87" s="612"/>
      <c r="P87" s="612"/>
      <c r="Q87" s="612"/>
      <c r="R87" s="612"/>
      <c r="S87" s="612"/>
      <c r="T87" s="612"/>
      <c r="U87" s="612"/>
      <c r="V87" s="612"/>
      <c r="W87" s="612"/>
      <c r="X87" s="612"/>
      <c r="Y87" s="612"/>
      <c r="Z87" s="612"/>
      <c r="AA87" s="612"/>
    </row>
    <row r="88" ht="13.5" customHeight="1">
      <c r="A88" s="612"/>
      <c r="B88" s="682"/>
      <c r="C88" s="612"/>
      <c r="D88" s="612"/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2"/>
      <c r="P88" s="612"/>
      <c r="Q88" s="612"/>
      <c r="R88" s="612"/>
      <c r="S88" s="612"/>
      <c r="T88" s="612"/>
      <c r="U88" s="612"/>
      <c r="V88" s="612"/>
      <c r="W88" s="612"/>
      <c r="X88" s="612"/>
      <c r="Y88" s="612"/>
      <c r="Z88" s="612"/>
      <c r="AA88" s="612"/>
    </row>
    <row r="89" ht="13.5" customHeight="1">
      <c r="A89" s="612"/>
      <c r="B89" s="682"/>
      <c r="C89" s="612"/>
      <c r="D89" s="612"/>
      <c r="E89" s="612"/>
      <c r="F89" s="612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612"/>
      <c r="R89" s="612"/>
      <c r="S89" s="612"/>
      <c r="T89" s="612"/>
      <c r="U89" s="612"/>
      <c r="V89" s="612"/>
      <c r="W89" s="612"/>
      <c r="X89" s="612"/>
      <c r="Y89" s="612"/>
      <c r="Z89" s="612"/>
      <c r="AA89" s="612"/>
    </row>
    <row r="90" ht="13.5" customHeight="1">
      <c r="A90" s="612"/>
      <c r="B90" s="68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612"/>
    </row>
    <row r="91" ht="13.5" customHeight="1">
      <c r="A91" s="612"/>
      <c r="B91" s="682"/>
      <c r="C91" s="612"/>
      <c r="D91" s="612"/>
      <c r="E91" s="612"/>
      <c r="F91" s="612"/>
      <c r="G91" s="612"/>
      <c r="H91" s="612"/>
      <c r="I91" s="612"/>
      <c r="J91" s="612"/>
      <c r="K91" s="612"/>
      <c r="L91" s="612"/>
      <c r="M91" s="612"/>
      <c r="N91" s="612"/>
      <c r="O91" s="612"/>
      <c r="P91" s="612"/>
      <c r="Q91" s="612"/>
      <c r="R91" s="612"/>
      <c r="S91" s="612"/>
      <c r="T91" s="612"/>
      <c r="U91" s="612"/>
      <c r="V91" s="612"/>
      <c r="W91" s="612"/>
      <c r="X91" s="612"/>
      <c r="Y91" s="612"/>
      <c r="Z91" s="612"/>
      <c r="AA91" s="612"/>
    </row>
    <row r="92" ht="13.5" customHeight="1">
      <c r="A92" s="612"/>
      <c r="B92" s="682"/>
      <c r="C92" s="612"/>
      <c r="D92" s="612"/>
      <c r="E92" s="612"/>
      <c r="F92" s="612"/>
      <c r="G92" s="612"/>
      <c r="H92" s="612"/>
      <c r="I92" s="612"/>
      <c r="J92" s="612"/>
      <c r="K92" s="612"/>
      <c r="L92" s="612"/>
      <c r="M92" s="612"/>
      <c r="N92" s="612"/>
      <c r="O92" s="612"/>
      <c r="P92" s="612"/>
      <c r="Q92" s="612"/>
      <c r="R92" s="612"/>
      <c r="S92" s="612"/>
      <c r="T92" s="612"/>
      <c r="U92" s="612"/>
      <c r="V92" s="612"/>
      <c r="W92" s="612"/>
      <c r="X92" s="612"/>
      <c r="Y92" s="612"/>
      <c r="Z92" s="612"/>
      <c r="AA92" s="612"/>
    </row>
    <row r="93" ht="13.5" customHeight="1">
      <c r="A93" s="612"/>
      <c r="B93" s="682"/>
      <c r="C93" s="612"/>
      <c r="D93" s="612"/>
      <c r="E93" s="612"/>
      <c r="F93" s="612"/>
      <c r="G93" s="612"/>
      <c r="H93" s="612"/>
      <c r="I93" s="612"/>
      <c r="J93" s="612"/>
      <c r="K93" s="612"/>
      <c r="L93" s="612"/>
      <c r="M93" s="612"/>
      <c r="N93" s="612"/>
      <c r="O93" s="612"/>
      <c r="P93" s="612"/>
      <c r="Q93" s="612"/>
      <c r="R93" s="612"/>
      <c r="S93" s="612"/>
      <c r="T93" s="612"/>
      <c r="U93" s="612"/>
      <c r="V93" s="612"/>
      <c r="W93" s="612"/>
      <c r="X93" s="612"/>
      <c r="Y93" s="612"/>
      <c r="Z93" s="612"/>
      <c r="AA93" s="612"/>
    </row>
    <row r="94" ht="13.5" customHeight="1">
      <c r="A94" s="612"/>
      <c r="B94" s="682"/>
      <c r="C94" s="612"/>
      <c r="D94" s="612"/>
      <c r="E94" s="612"/>
      <c r="F94" s="612"/>
      <c r="G94" s="612"/>
      <c r="H94" s="612"/>
      <c r="I94" s="612"/>
      <c r="J94" s="612"/>
      <c r="K94" s="612"/>
      <c r="L94" s="612"/>
      <c r="M94" s="612"/>
      <c r="N94" s="612"/>
      <c r="O94" s="612"/>
      <c r="P94" s="612"/>
      <c r="Q94" s="612"/>
      <c r="R94" s="612"/>
      <c r="S94" s="612"/>
      <c r="T94" s="612"/>
      <c r="U94" s="612"/>
      <c r="V94" s="612"/>
      <c r="W94" s="612"/>
      <c r="X94" s="612"/>
      <c r="Y94" s="612"/>
      <c r="Z94" s="612"/>
      <c r="AA94" s="612"/>
    </row>
    <row r="95" ht="13.5" customHeight="1">
      <c r="A95" s="612"/>
      <c r="B95" s="682"/>
      <c r="C95" s="612"/>
      <c r="D95" s="612"/>
      <c r="E95" s="612"/>
      <c r="F95" s="612"/>
      <c r="G95" s="612"/>
      <c r="H95" s="612"/>
      <c r="I95" s="612"/>
      <c r="J95" s="612"/>
      <c r="K95" s="612"/>
      <c r="L95" s="612"/>
      <c r="M95" s="612"/>
      <c r="N95" s="612"/>
      <c r="O95" s="612"/>
      <c r="P95" s="612"/>
      <c r="Q95" s="612"/>
      <c r="R95" s="612"/>
      <c r="S95" s="612"/>
      <c r="T95" s="612"/>
      <c r="U95" s="612"/>
      <c r="V95" s="612"/>
      <c r="W95" s="612"/>
      <c r="X95" s="612"/>
      <c r="Y95" s="612"/>
      <c r="Z95" s="612"/>
      <c r="AA95" s="612"/>
    </row>
    <row r="96" ht="13.5" customHeight="1">
      <c r="A96" s="612"/>
      <c r="B96" s="68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2"/>
      <c r="P96" s="612"/>
      <c r="Q96" s="612"/>
      <c r="R96" s="612"/>
      <c r="S96" s="612"/>
      <c r="T96" s="612"/>
      <c r="U96" s="612"/>
      <c r="V96" s="612"/>
      <c r="W96" s="612"/>
      <c r="X96" s="612"/>
      <c r="Y96" s="612"/>
      <c r="Z96" s="612"/>
      <c r="AA96" s="612"/>
    </row>
    <row r="97" ht="13.5" customHeight="1">
      <c r="A97" s="612"/>
      <c r="B97" s="68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612"/>
    </row>
    <row r="98" ht="13.5" customHeight="1">
      <c r="A98" s="612"/>
      <c r="B98" s="682"/>
      <c r="C98" s="612"/>
      <c r="D98" s="612"/>
      <c r="E98" s="612"/>
      <c r="F98" s="612"/>
      <c r="G98" s="612"/>
      <c r="H98" s="612"/>
      <c r="I98" s="612"/>
      <c r="J98" s="612"/>
      <c r="K98" s="612"/>
      <c r="L98" s="612"/>
      <c r="M98" s="612"/>
      <c r="N98" s="612"/>
      <c r="O98" s="612"/>
      <c r="P98" s="612"/>
      <c r="Q98" s="612"/>
      <c r="R98" s="612"/>
      <c r="S98" s="612"/>
      <c r="T98" s="612"/>
      <c r="U98" s="612"/>
      <c r="V98" s="612"/>
      <c r="W98" s="612"/>
      <c r="X98" s="612"/>
      <c r="Y98" s="612"/>
      <c r="Z98" s="612"/>
      <c r="AA98" s="612"/>
    </row>
    <row r="99" ht="13.5" customHeight="1">
      <c r="A99" s="612"/>
      <c r="B99" s="682"/>
      <c r="C99" s="612"/>
      <c r="D99" s="612"/>
      <c r="E99" s="612"/>
      <c r="F99" s="612"/>
      <c r="G99" s="612"/>
      <c r="H99" s="612"/>
      <c r="I99" s="612"/>
      <c r="J99" s="612"/>
      <c r="K99" s="612"/>
      <c r="L99" s="612"/>
      <c r="M99" s="612"/>
      <c r="N99" s="612"/>
      <c r="O99" s="612"/>
      <c r="P99" s="612"/>
      <c r="Q99" s="612"/>
      <c r="R99" s="612"/>
      <c r="S99" s="612"/>
      <c r="T99" s="612"/>
      <c r="U99" s="612"/>
      <c r="V99" s="612"/>
      <c r="W99" s="612"/>
      <c r="X99" s="612"/>
      <c r="Y99" s="612"/>
      <c r="Z99" s="612"/>
      <c r="AA99" s="612"/>
    </row>
    <row r="100" ht="13.5" customHeight="1">
      <c r="A100" s="612"/>
      <c r="B100" s="682"/>
      <c r="C100" s="612"/>
      <c r="D100" s="612"/>
      <c r="E100" s="612"/>
      <c r="F100" s="612"/>
      <c r="G100" s="612"/>
      <c r="H100" s="612"/>
      <c r="I100" s="612"/>
      <c r="J100" s="612"/>
      <c r="K100" s="612"/>
      <c r="L100" s="612"/>
      <c r="M100" s="612"/>
      <c r="N100" s="612"/>
      <c r="O100" s="612"/>
      <c r="P100" s="612"/>
      <c r="Q100" s="612"/>
      <c r="R100" s="612"/>
      <c r="S100" s="612"/>
      <c r="T100" s="612"/>
      <c r="U100" s="612"/>
      <c r="V100" s="612"/>
      <c r="W100" s="612"/>
      <c r="X100" s="612"/>
      <c r="Y100" s="612"/>
      <c r="Z100" s="612"/>
      <c r="AA100" s="612"/>
    </row>
    <row r="101" ht="13.5" customHeight="1">
      <c r="A101" s="612"/>
      <c r="B101" s="682"/>
      <c r="C101" s="612"/>
      <c r="D101" s="612"/>
      <c r="E101" s="612"/>
      <c r="F101" s="612"/>
      <c r="G101" s="612"/>
      <c r="H101" s="612"/>
      <c r="I101" s="612"/>
      <c r="J101" s="612"/>
      <c r="K101" s="612"/>
      <c r="L101" s="612"/>
      <c r="M101" s="612"/>
      <c r="N101" s="612"/>
      <c r="O101" s="612"/>
      <c r="P101" s="612"/>
      <c r="Q101" s="612"/>
      <c r="R101" s="612"/>
      <c r="S101" s="612"/>
      <c r="T101" s="612"/>
      <c r="U101" s="612"/>
      <c r="V101" s="612"/>
      <c r="W101" s="612"/>
      <c r="X101" s="612"/>
      <c r="Y101" s="612"/>
      <c r="Z101" s="612"/>
      <c r="AA101" s="612"/>
    </row>
    <row r="102" ht="13.5" customHeight="1">
      <c r="A102" s="612"/>
      <c r="B102" s="682"/>
      <c r="C102" s="612"/>
      <c r="D102" s="612"/>
      <c r="E102" s="612"/>
      <c r="F102" s="612"/>
      <c r="G102" s="612"/>
      <c r="H102" s="612"/>
      <c r="I102" s="612"/>
      <c r="J102" s="612"/>
      <c r="K102" s="612"/>
      <c r="L102" s="612"/>
      <c r="M102" s="612"/>
      <c r="N102" s="612"/>
      <c r="O102" s="612"/>
      <c r="P102" s="612"/>
      <c r="Q102" s="612"/>
      <c r="R102" s="612"/>
      <c r="S102" s="612"/>
      <c r="T102" s="612"/>
      <c r="U102" s="612"/>
      <c r="V102" s="612"/>
      <c r="W102" s="612"/>
      <c r="X102" s="612"/>
      <c r="Y102" s="612"/>
      <c r="Z102" s="612"/>
      <c r="AA102" s="612"/>
    </row>
    <row r="103" ht="13.5" customHeight="1">
      <c r="A103" s="612"/>
      <c r="B103" s="68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2"/>
      <c r="O103" s="612"/>
      <c r="P103" s="612"/>
      <c r="Q103" s="612"/>
      <c r="R103" s="612"/>
      <c r="S103" s="612"/>
      <c r="T103" s="612"/>
      <c r="U103" s="612"/>
      <c r="V103" s="612"/>
      <c r="W103" s="612"/>
      <c r="X103" s="612"/>
      <c r="Y103" s="612"/>
      <c r="Z103" s="612"/>
      <c r="AA103" s="612"/>
    </row>
    <row r="104" ht="13.5" customHeight="1">
      <c r="A104" s="612"/>
      <c r="B104" s="682"/>
      <c r="C104" s="612"/>
      <c r="D104" s="612"/>
      <c r="E104" s="612"/>
      <c r="F104" s="612"/>
      <c r="G104" s="612"/>
      <c r="H104" s="612"/>
      <c r="I104" s="612"/>
      <c r="J104" s="612"/>
      <c r="K104" s="612"/>
      <c r="L104" s="612"/>
      <c r="M104" s="612"/>
      <c r="N104" s="612"/>
      <c r="O104" s="612"/>
      <c r="P104" s="612"/>
      <c r="Q104" s="612"/>
      <c r="R104" s="612"/>
      <c r="S104" s="612"/>
      <c r="T104" s="612"/>
      <c r="U104" s="612"/>
      <c r="V104" s="612"/>
      <c r="W104" s="612"/>
      <c r="X104" s="612"/>
      <c r="Y104" s="612"/>
      <c r="Z104" s="612"/>
      <c r="AA104" s="612"/>
    </row>
    <row r="105" ht="13.5" customHeight="1">
      <c r="A105" s="612"/>
      <c r="B105" s="68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  <c r="AA105" s="612"/>
    </row>
    <row r="106" ht="13.5" customHeight="1">
      <c r="A106" s="612"/>
      <c r="B106" s="682"/>
      <c r="C106" s="612"/>
      <c r="D106" s="612"/>
      <c r="E106" s="612"/>
      <c r="F106" s="612"/>
      <c r="G106" s="612"/>
      <c r="H106" s="612"/>
      <c r="I106" s="612"/>
      <c r="J106" s="612"/>
      <c r="K106" s="612"/>
      <c r="L106" s="612"/>
      <c r="M106" s="612"/>
      <c r="N106" s="612"/>
      <c r="O106" s="612"/>
      <c r="P106" s="612"/>
      <c r="Q106" s="612"/>
      <c r="R106" s="612"/>
      <c r="S106" s="612"/>
      <c r="T106" s="612"/>
      <c r="U106" s="612"/>
      <c r="V106" s="612"/>
      <c r="W106" s="612"/>
      <c r="X106" s="612"/>
      <c r="Y106" s="612"/>
      <c r="Z106" s="612"/>
      <c r="AA106" s="612"/>
    </row>
    <row r="107" ht="13.5" customHeight="1">
      <c r="A107" s="612"/>
      <c r="B107" s="682"/>
      <c r="C107" s="612"/>
      <c r="D107" s="612"/>
      <c r="E107" s="612"/>
      <c r="F107" s="612"/>
      <c r="G107" s="612"/>
      <c r="H107" s="612"/>
      <c r="I107" s="612"/>
      <c r="J107" s="612"/>
      <c r="K107" s="612"/>
      <c r="L107" s="612"/>
      <c r="M107" s="612"/>
      <c r="N107" s="612"/>
      <c r="O107" s="612"/>
      <c r="P107" s="612"/>
      <c r="Q107" s="612"/>
      <c r="R107" s="612"/>
      <c r="S107" s="612"/>
      <c r="T107" s="612"/>
      <c r="U107" s="612"/>
      <c r="V107" s="612"/>
      <c r="W107" s="612"/>
      <c r="X107" s="612"/>
      <c r="Y107" s="612"/>
      <c r="Z107" s="612"/>
      <c r="AA107" s="612"/>
    </row>
    <row r="108" ht="13.5" customHeight="1">
      <c r="A108" s="612"/>
      <c r="B108" s="682"/>
      <c r="C108" s="612"/>
      <c r="D108" s="612"/>
      <c r="E108" s="612"/>
      <c r="F108" s="612"/>
      <c r="G108" s="612"/>
      <c r="H108" s="612"/>
      <c r="I108" s="612"/>
      <c r="J108" s="612"/>
      <c r="K108" s="612"/>
      <c r="L108" s="612"/>
      <c r="M108" s="612"/>
      <c r="N108" s="612"/>
      <c r="O108" s="612"/>
      <c r="P108" s="612"/>
      <c r="Q108" s="612"/>
      <c r="R108" s="612"/>
      <c r="S108" s="612"/>
      <c r="T108" s="612"/>
      <c r="U108" s="612"/>
      <c r="V108" s="612"/>
      <c r="W108" s="612"/>
      <c r="X108" s="612"/>
      <c r="Y108" s="612"/>
      <c r="Z108" s="612"/>
      <c r="AA108" s="612"/>
    </row>
    <row r="109" ht="13.5" customHeight="1">
      <c r="A109" s="612"/>
      <c r="B109" s="682"/>
      <c r="C109" s="612"/>
      <c r="D109" s="612"/>
      <c r="E109" s="612"/>
      <c r="F109" s="612"/>
      <c r="G109" s="612"/>
      <c r="H109" s="612"/>
      <c r="I109" s="612"/>
      <c r="J109" s="612"/>
      <c r="K109" s="612"/>
      <c r="L109" s="612"/>
      <c r="M109" s="612"/>
      <c r="N109" s="612"/>
      <c r="O109" s="612"/>
      <c r="P109" s="612"/>
      <c r="Q109" s="612"/>
      <c r="R109" s="612"/>
      <c r="S109" s="612"/>
      <c r="T109" s="612"/>
      <c r="U109" s="612"/>
      <c r="V109" s="612"/>
      <c r="W109" s="612"/>
      <c r="X109" s="612"/>
      <c r="Y109" s="612"/>
      <c r="Z109" s="612"/>
      <c r="AA109" s="612"/>
    </row>
    <row r="110" ht="13.5" customHeight="1">
      <c r="A110" s="612"/>
      <c r="B110" s="682"/>
      <c r="C110" s="612"/>
      <c r="D110" s="612"/>
      <c r="E110" s="612"/>
      <c r="F110" s="612"/>
      <c r="G110" s="612"/>
      <c r="H110" s="612"/>
      <c r="I110" s="612"/>
      <c r="J110" s="612"/>
      <c r="K110" s="612"/>
      <c r="L110" s="612"/>
      <c r="M110" s="612"/>
      <c r="N110" s="612"/>
      <c r="O110" s="612"/>
      <c r="P110" s="612"/>
      <c r="Q110" s="612"/>
      <c r="R110" s="612"/>
      <c r="S110" s="612"/>
      <c r="T110" s="612"/>
      <c r="U110" s="612"/>
      <c r="V110" s="612"/>
      <c r="W110" s="612"/>
      <c r="X110" s="612"/>
      <c r="Y110" s="612"/>
      <c r="Z110" s="612"/>
      <c r="AA110" s="612"/>
    </row>
    <row r="111" ht="13.5" customHeight="1">
      <c r="A111" s="612"/>
      <c r="B111" s="682"/>
      <c r="C111" s="612"/>
      <c r="D111" s="612"/>
      <c r="E111" s="612"/>
      <c r="F111" s="612"/>
      <c r="G111" s="612"/>
      <c r="H111" s="612"/>
      <c r="I111" s="612"/>
      <c r="J111" s="612"/>
      <c r="K111" s="612"/>
      <c r="L111" s="612"/>
      <c r="M111" s="612"/>
      <c r="N111" s="612"/>
      <c r="O111" s="612"/>
      <c r="P111" s="612"/>
      <c r="Q111" s="612"/>
      <c r="R111" s="612"/>
      <c r="S111" s="612"/>
      <c r="T111" s="612"/>
      <c r="U111" s="612"/>
      <c r="V111" s="612"/>
      <c r="W111" s="612"/>
      <c r="X111" s="612"/>
      <c r="Y111" s="612"/>
      <c r="Z111" s="612"/>
      <c r="AA111" s="612"/>
    </row>
    <row r="112" ht="13.5" customHeight="1">
      <c r="A112" s="612"/>
      <c r="B112" s="682"/>
      <c r="C112" s="612"/>
      <c r="D112" s="612"/>
      <c r="E112" s="612"/>
      <c r="F112" s="612"/>
      <c r="G112" s="612"/>
      <c r="H112" s="612"/>
      <c r="I112" s="612"/>
      <c r="J112" s="612"/>
      <c r="K112" s="612"/>
      <c r="L112" s="612"/>
      <c r="M112" s="612"/>
      <c r="N112" s="612"/>
      <c r="O112" s="612"/>
      <c r="P112" s="612"/>
      <c r="Q112" s="612"/>
      <c r="R112" s="612"/>
      <c r="S112" s="612"/>
      <c r="T112" s="612"/>
      <c r="U112" s="612"/>
      <c r="V112" s="612"/>
      <c r="W112" s="612"/>
      <c r="X112" s="612"/>
      <c r="Y112" s="612"/>
      <c r="Z112" s="612"/>
      <c r="AA112" s="612"/>
    </row>
    <row r="113" ht="13.5" customHeight="1">
      <c r="A113" s="612"/>
      <c r="B113" s="682"/>
      <c r="C113" s="612"/>
      <c r="D113" s="612"/>
      <c r="E113" s="612"/>
      <c r="F113" s="612"/>
      <c r="G113" s="612"/>
      <c r="H113" s="612"/>
      <c r="I113" s="612"/>
      <c r="J113" s="612"/>
      <c r="K113" s="612"/>
      <c r="L113" s="612"/>
      <c r="M113" s="612"/>
      <c r="N113" s="612"/>
      <c r="O113" s="612"/>
      <c r="P113" s="612"/>
      <c r="Q113" s="612"/>
      <c r="R113" s="612"/>
      <c r="S113" s="612"/>
      <c r="T113" s="612"/>
      <c r="U113" s="612"/>
      <c r="V113" s="612"/>
      <c r="W113" s="612"/>
      <c r="X113" s="612"/>
      <c r="Y113" s="612"/>
      <c r="Z113" s="612"/>
      <c r="AA113" s="612"/>
    </row>
    <row r="114" ht="13.5" customHeight="1">
      <c r="A114" s="612"/>
      <c r="B114" s="682"/>
      <c r="C114" s="612"/>
      <c r="D114" s="612"/>
      <c r="E114" s="612"/>
      <c r="F114" s="612"/>
      <c r="G114" s="612"/>
      <c r="H114" s="612"/>
      <c r="I114" s="612"/>
      <c r="J114" s="612"/>
      <c r="K114" s="612"/>
      <c r="L114" s="612"/>
      <c r="M114" s="612"/>
      <c r="N114" s="612"/>
      <c r="O114" s="612"/>
      <c r="P114" s="612"/>
      <c r="Q114" s="612"/>
      <c r="R114" s="612"/>
      <c r="S114" s="612"/>
      <c r="T114" s="612"/>
      <c r="U114" s="612"/>
      <c r="V114" s="612"/>
      <c r="W114" s="612"/>
      <c r="X114" s="612"/>
      <c r="Y114" s="612"/>
      <c r="Z114" s="612"/>
      <c r="AA114" s="612"/>
    </row>
    <row r="115" ht="13.5" customHeight="1">
      <c r="A115" s="612"/>
      <c r="B115" s="68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  <c r="AA115" s="612"/>
    </row>
    <row r="116" ht="13.5" customHeight="1">
      <c r="A116" s="612"/>
      <c r="B116" s="682"/>
      <c r="C116" s="612"/>
      <c r="D116" s="612"/>
      <c r="E116" s="612"/>
      <c r="F116" s="612"/>
      <c r="G116" s="612"/>
      <c r="H116" s="612"/>
      <c r="I116" s="612"/>
      <c r="J116" s="612"/>
      <c r="K116" s="612"/>
      <c r="L116" s="612"/>
      <c r="M116" s="612"/>
      <c r="N116" s="612"/>
      <c r="O116" s="612"/>
      <c r="P116" s="612"/>
      <c r="Q116" s="612"/>
      <c r="R116" s="612"/>
      <c r="S116" s="612"/>
      <c r="T116" s="612"/>
      <c r="U116" s="612"/>
      <c r="V116" s="612"/>
      <c r="W116" s="612"/>
      <c r="X116" s="612"/>
      <c r="Y116" s="612"/>
      <c r="Z116" s="612"/>
      <c r="AA116" s="612"/>
    </row>
    <row r="117" ht="13.5" customHeight="1">
      <c r="A117" s="612"/>
      <c r="B117" s="682"/>
      <c r="C117" s="612"/>
      <c r="D117" s="612"/>
      <c r="E117" s="612"/>
      <c r="F117" s="612"/>
      <c r="G117" s="612"/>
      <c r="H117" s="612"/>
      <c r="I117" s="612"/>
      <c r="J117" s="612"/>
      <c r="K117" s="612"/>
      <c r="L117" s="612"/>
      <c r="M117" s="612"/>
      <c r="N117" s="612"/>
      <c r="O117" s="612"/>
      <c r="P117" s="612"/>
      <c r="Q117" s="612"/>
      <c r="R117" s="612"/>
      <c r="S117" s="612"/>
      <c r="T117" s="612"/>
      <c r="U117" s="612"/>
      <c r="V117" s="612"/>
      <c r="W117" s="612"/>
      <c r="X117" s="612"/>
      <c r="Y117" s="612"/>
      <c r="Z117" s="612"/>
      <c r="AA117" s="612"/>
    </row>
    <row r="118" ht="13.5" customHeight="1">
      <c r="A118" s="612"/>
      <c r="B118" s="682"/>
      <c r="C118" s="612"/>
      <c r="D118" s="612"/>
      <c r="E118" s="612"/>
      <c r="F118" s="612"/>
      <c r="G118" s="612"/>
      <c r="H118" s="612"/>
      <c r="I118" s="612"/>
      <c r="J118" s="612"/>
      <c r="K118" s="612"/>
      <c r="L118" s="612"/>
      <c r="M118" s="612"/>
      <c r="N118" s="612"/>
      <c r="O118" s="612"/>
      <c r="P118" s="612"/>
      <c r="Q118" s="612"/>
      <c r="R118" s="612"/>
      <c r="S118" s="612"/>
      <c r="T118" s="612"/>
      <c r="U118" s="612"/>
      <c r="V118" s="612"/>
      <c r="W118" s="612"/>
      <c r="X118" s="612"/>
      <c r="Y118" s="612"/>
      <c r="Z118" s="612"/>
      <c r="AA118" s="612"/>
    </row>
    <row r="119" ht="13.5" customHeight="1">
      <c r="A119" s="612"/>
      <c r="B119" s="682"/>
      <c r="C119" s="612"/>
      <c r="D119" s="612"/>
      <c r="E119" s="612"/>
      <c r="F119" s="612"/>
      <c r="G119" s="612"/>
      <c r="H119" s="612"/>
      <c r="I119" s="612"/>
      <c r="J119" s="612"/>
      <c r="K119" s="612"/>
      <c r="L119" s="612"/>
      <c r="M119" s="612"/>
      <c r="N119" s="612"/>
      <c r="O119" s="612"/>
      <c r="P119" s="612"/>
      <c r="Q119" s="612"/>
      <c r="R119" s="612"/>
      <c r="S119" s="612"/>
      <c r="T119" s="612"/>
      <c r="U119" s="612"/>
      <c r="V119" s="612"/>
      <c r="W119" s="612"/>
      <c r="X119" s="612"/>
      <c r="Y119" s="612"/>
      <c r="Z119" s="612"/>
      <c r="AA119" s="612"/>
    </row>
    <row r="120" ht="13.5" customHeight="1">
      <c r="A120" s="612"/>
      <c r="B120" s="682"/>
      <c r="C120" s="612"/>
      <c r="D120" s="612"/>
      <c r="E120" s="612"/>
      <c r="F120" s="612"/>
      <c r="G120" s="612"/>
      <c r="H120" s="612"/>
      <c r="I120" s="612"/>
      <c r="J120" s="612"/>
      <c r="K120" s="612"/>
      <c r="L120" s="612"/>
      <c r="M120" s="612"/>
      <c r="N120" s="612"/>
      <c r="O120" s="612"/>
      <c r="P120" s="612"/>
      <c r="Q120" s="612"/>
      <c r="R120" s="612"/>
      <c r="S120" s="612"/>
      <c r="T120" s="612"/>
      <c r="U120" s="612"/>
      <c r="V120" s="612"/>
      <c r="W120" s="612"/>
      <c r="X120" s="612"/>
      <c r="Y120" s="612"/>
      <c r="Z120" s="612"/>
      <c r="AA120" s="612"/>
    </row>
    <row r="121" ht="13.5" customHeight="1">
      <c r="A121" s="612"/>
      <c r="B121" s="68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2"/>
      <c r="P121" s="612"/>
      <c r="Q121" s="612"/>
      <c r="R121" s="612"/>
      <c r="S121" s="612"/>
      <c r="T121" s="612"/>
      <c r="U121" s="612"/>
      <c r="V121" s="612"/>
      <c r="W121" s="612"/>
      <c r="X121" s="612"/>
      <c r="Y121" s="612"/>
      <c r="Z121" s="612"/>
      <c r="AA121" s="612"/>
    </row>
    <row r="122" ht="13.5" customHeight="1">
      <c r="A122" s="612"/>
      <c r="B122" s="682"/>
      <c r="C122" s="612"/>
      <c r="D122" s="612"/>
      <c r="E122" s="612"/>
      <c r="F122" s="612"/>
      <c r="G122" s="612"/>
      <c r="H122" s="612"/>
      <c r="I122" s="612"/>
      <c r="J122" s="612"/>
      <c r="K122" s="612"/>
      <c r="L122" s="612"/>
      <c r="M122" s="612"/>
      <c r="N122" s="612"/>
      <c r="O122" s="612"/>
      <c r="P122" s="612"/>
      <c r="Q122" s="612"/>
      <c r="R122" s="612"/>
      <c r="S122" s="612"/>
      <c r="T122" s="612"/>
      <c r="U122" s="612"/>
      <c r="V122" s="612"/>
      <c r="W122" s="612"/>
      <c r="X122" s="612"/>
      <c r="Y122" s="612"/>
      <c r="Z122" s="612"/>
      <c r="AA122" s="612"/>
    </row>
    <row r="123" ht="13.5" customHeight="1">
      <c r="A123" s="612"/>
      <c r="B123" s="68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  <c r="AA123" s="612"/>
    </row>
    <row r="124" ht="13.5" customHeight="1">
      <c r="A124" s="612"/>
      <c r="B124" s="682"/>
      <c r="C124" s="612"/>
      <c r="D124" s="612"/>
      <c r="E124" s="612"/>
      <c r="F124" s="612"/>
      <c r="G124" s="612"/>
      <c r="H124" s="612"/>
      <c r="I124" s="612"/>
      <c r="J124" s="612"/>
      <c r="K124" s="612"/>
      <c r="L124" s="612"/>
      <c r="M124" s="612"/>
      <c r="N124" s="612"/>
      <c r="O124" s="612"/>
      <c r="P124" s="612"/>
      <c r="Q124" s="612"/>
      <c r="R124" s="612"/>
      <c r="S124" s="612"/>
      <c r="T124" s="612"/>
      <c r="U124" s="612"/>
      <c r="V124" s="612"/>
      <c r="W124" s="612"/>
      <c r="X124" s="612"/>
      <c r="Y124" s="612"/>
      <c r="Z124" s="612"/>
      <c r="AA124" s="612"/>
    </row>
    <row r="125" ht="13.5" customHeight="1">
      <c r="A125" s="612"/>
      <c r="B125" s="682"/>
      <c r="C125" s="612"/>
      <c r="D125" s="612"/>
      <c r="E125" s="612"/>
      <c r="F125" s="612"/>
      <c r="G125" s="612"/>
      <c r="H125" s="612"/>
      <c r="I125" s="612"/>
      <c r="J125" s="612"/>
      <c r="K125" s="612"/>
      <c r="L125" s="612"/>
      <c r="M125" s="612"/>
      <c r="N125" s="612"/>
      <c r="O125" s="612"/>
      <c r="P125" s="612"/>
      <c r="Q125" s="612"/>
      <c r="R125" s="612"/>
      <c r="S125" s="612"/>
      <c r="T125" s="612"/>
      <c r="U125" s="612"/>
      <c r="V125" s="612"/>
      <c r="W125" s="612"/>
      <c r="X125" s="612"/>
      <c r="Y125" s="612"/>
      <c r="Z125" s="612"/>
      <c r="AA125" s="612"/>
    </row>
    <row r="126" ht="13.5" customHeight="1">
      <c r="A126" s="612"/>
      <c r="B126" s="682"/>
      <c r="C126" s="612"/>
      <c r="D126" s="612"/>
      <c r="E126" s="612"/>
      <c r="F126" s="612"/>
      <c r="G126" s="612"/>
      <c r="H126" s="612"/>
      <c r="I126" s="612"/>
      <c r="J126" s="612"/>
      <c r="K126" s="612"/>
      <c r="L126" s="612"/>
      <c r="M126" s="612"/>
      <c r="N126" s="612"/>
      <c r="O126" s="612"/>
      <c r="P126" s="612"/>
      <c r="Q126" s="612"/>
      <c r="R126" s="612"/>
      <c r="S126" s="612"/>
      <c r="T126" s="612"/>
      <c r="U126" s="612"/>
      <c r="V126" s="612"/>
      <c r="W126" s="612"/>
      <c r="X126" s="612"/>
      <c r="Y126" s="612"/>
      <c r="Z126" s="612"/>
      <c r="AA126" s="612"/>
    </row>
    <row r="127" ht="13.5" customHeight="1">
      <c r="A127" s="612"/>
      <c r="B127" s="682"/>
      <c r="C127" s="612"/>
      <c r="D127" s="612"/>
      <c r="E127" s="612"/>
      <c r="F127" s="612"/>
      <c r="G127" s="612"/>
      <c r="H127" s="612"/>
      <c r="I127" s="612"/>
      <c r="J127" s="612"/>
      <c r="K127" s="612"/>
      <c r="L127" s="612"/>
      <c r="M127" s="612"/>
      <c r="N127" s="612"/>
      <c r="O127" s="612"/>
      <c r="P127" s="612"/>
      <c r="Q127" s="612"/>
      <c r="R127" s="612"/>
      <c r="S127" s="612"/>
      <c r="T127" s="612"/>
      <c r="U127" s="612"/>
      <c r="V127" s="612"/>
      <c r="W127" s="612"/>
      <c r="X127" s="612"/>
      <c r="Y127" s="612"/>
      <c r="Z127" s="612"/>
      <c r="AA127" s="612"/>
    </row>
    <row r="128" ht="13.5" customHeight="1">
      <c r="A128" s="612"/>
      <c r="B128" s="68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2"/>
      <c r="P128" s="612"/>
      <c r="Q128" s="612"/>
      <c r="R128" s="612"/>
      <c r="S128" s="612"/>
      <c r="T128" s="612"/>
      <c r="U128" s="612"/>
      <c r="V128" s="612"/>
      <c r="W128" s="612"/>
      <c r="X128" s="612"/>
      <c r="Y128" s="612"/>
      <c r="Z128" s="612"/>
      <c r="AA128" s="612"/>
    </row>
    <row r="129" ht="13.5" customHeight="1">
      <c r="A129" s="612"/>
      <c r="B129" s="68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2"/>
      <c r="P129" s="612"/>
      <c r="Q129" s="612"/>
      <c r="R129" s="612"/>
      <c r="S129" s="612"/>
      <c r="T129" s="612"/>
      <c r="U129" s="612"/>
      <c r="V129" s="612"/>
      <c r="W129" s="612"/>
      <c r="X129" s="612"/>
      <c r="Y129" s="612"/>
      <c r="Z129" s="612"/>
      <c r="AA129" s="612"/>
    </row>
    <row r="130" ht="13.5" customHeight="1">
      <c r="A130" s="612"/>
      <c r="B130" s="68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612"/>
    </row>
    <row r="131" ht="13.5" customHeight="1">
      <c r="A131" s="612"/>
      <c r="B131" s="682"/>
      <c r="C131" s="612"/>
      <c r="D131" s="612"/>
      <c r="E131" s="612"/>
      <c r="F131" s="612"/>
      <c r="G131" s="612"/>
      <c r="H131" s="612"/>
      <c r="I131" s="612"/>
      <c r="J131" s="612"/>
      <c r="K131" s="612"/>
      <c r="L131" s="612"/>
      <c r="M131" s="612"/>
      <c r="N131" s="612"/>
      <c r="O131" s="612"/>
      <c r="P131" s="612"/>
      <c r="Q131" s="612"/>
      <c r="R131" s="612"/>
      <c r="S131" s="612"/>
      <c r="T131" s="612"/>
      <c r="U131" s="612"/>
      <c r="V131" s="612"/>
      <c r="W131" s="612"/>
      <c r="X131" s="612"/>
      <c r="Y131" s="612"/>
      <c r="Z131" s="612"/>
      <c r="AA131" s="612"/>
    </row>
    <row r="132" ht="13.5" customHeight="1">
      <c r="A132" s="612"/>
      <c r="B132" s="682"/>
      <c r="C132" s="612"/>
      <c r="D132" s="612"/>
      <c r="E132" s="612"/>
      <c r="F132" s="612"/>
      <c r="G132" s="612"/>
      <c r="H132" s="612"/>
      <c r="I132" s="612"/>
      <c r="J132" s="612"/>
      <c r="K132" s="612"/>
      <c r="L132" s="612"/>
      <c r="M132" s="612"/>
      <c r="N132" s="612"/>
      <c r="O132" s="612"/>
      <c r="P132" s="612"/>
      <c r="Q132" s="612"/>
      <c r="R132" s="612"/>
      <c r="S132" s="612"/>
      <c r="T132" s="612"/>
      <c r="U132" s="612"/>
      <c r="V132" s="612"/>
      <c r="W132" s="612"/>
      <c r="X132" s="612"/>
      <c r="Y132" s="612"/>
      <c r="Z132" s="612"/>
      <c r="AA132" s="612"/>
    </row>
    <row r="133" ht="13.5" customHeight="1">
      <c r="A133" s="612"/>
      <c r="B133" s="68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  <c r="Y133" s="612"/>
      <c r="Z133" s="612"/>
      <c r="AA133" s="612"/>
    </row>
    <row r="134" ht="13.5" customHeight="1">
      <c r="A134" s="612"/>
      <c r="B134" s="682"/>
      <c r="C134" s="612"/>
      <c r="D134" s="612"/>
      <c r="E134" s="612"/>
      <c r="F134" s="612"/>
      <c r="G134" s="612"/>
      <c r="H134" s="612"/>
      <c r="I134" s="612"/>
      <c r="J134" s="612"/>
      <c r="K134" s="612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  <c r="Y134" s="612"/>
      <c r="Z134" s="612"/>
      <c r="AA134" s="612"/>
    </row>
    <row r="135" ht="13.5" customHeight="1">
      <c r="A135" s="612"/>
      <c r="B135" s="68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612"/>
    </row>
    <row r="136" ht="13.5" customHeight="1">
      <c r="A136" s="612"/>
      <c r="B136" s="682"/>
      <c r="C136" s="612"/>
      <c r="D136" s="612"/>
      <c r="E136" s="612"/>
      <c r="F136" s="612"/>
      <c r="G136" s="612"/>
      <c r="H136" s="612"/>
      <c r="I136" s="612"/>
      <c r="J136" s="612"/>
      <c r="K136" s="612"/>
      <c r="L136" s="612"/>
      <c r="M136" s="612"/>
      <c r="N136" s="612"/>
      <c r="O136" s="612"/>
      <c r="P136" s="612"/>
      <c r="Q136" s="612"/>
      <c r="R136" s="612"/>
      <c r="S136" s="612"/>
      <c r="T136" s="612"/>
      <c r="U136" s="612"/>
      <c r="V136" s="612"/>
      <c r="W136" s="612"/>
      <c r="X136" s="612"/>
      <c r="Y136" s="612"/>
      <c r="Z136" s="612"/>
      <c r="AA136" s="612"/>
    </row>
    <row r="137" ht="13.5" customHeight="1">
      <c r="A137" s="612"/>
      <c r="B137" s="682"/>
      <c r="C137" s="612"/>
      <c r="D137" s="612"/>
      <c r="E137" s="612"/>
      <c r="F137" s="612"/>
      <c r="G137" s="612"/>
      <c r="H137" s="612"/>
      <c r="I137" s="612"/>
      <c r="J137" s="612"/>
      <c r="K137" s="612"/>
      <c r="L137" s="612"/>
      <c r="M137" s="612"/>
      <c r="N137" s="612"/>
      <c r="O137" s="612"/>
      <c r="P137" s="612"/>
      <c r="Q137" s="612"/>
      <c r="R137" s="612"/>
      <c r="S137" s="612"/>
      <c r="T137" s="612"/>
      <c r="U137" s="612"/>
      <c r="V137" s="612"/>
      <c r="W137" s="612"/>
      <c r="X137" s="612"/>
      <c r="Y137" s="612"/>
      <c r="Z137" s="612"/>
      <c r="AA137" s="612"/>
    </row>
    <row r="138" ht="13.5" customHeight="1">
      <c r="A138" s="612"/>
      <c r="B138" s="68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2"/>
      <c r="P138" s="612"/>
      <c r="Q138" s="612"/>
      <c r="R138" s="612"/>
      <c r="S138" s="612"/>
      <c r="T138" s="612"/>
      <c r="U138" s="612"/>
      <c r="V138" s="612"/>
      <c r="W138" s="612"/>
      <c r="X138" s="612"/>
      <c r="Y138" s="612"/>
      <c r="Z138" s="612"/>
      <c r="AA138" s="612"/>
    </row>
    <row r="139" ht="13.5" customHeight="1">
      <c r="A139" s="612"/>
      <c r="B139" s="682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  <c r="O139" s="612"/>
      <c r="P139" s="612"/>
      <c r="Q139" s="612"/>
      <c r="R139" s="612"/>
      <c r="S139" s="612"/>
      <c r="T139" s="612"/>
      <c r="U139" s="612"/>
      <c r="V139" s="612"/>
      <c r="W139" s="612"/>
      <c r="X139" s="612"/>
      <c r="Y139" s="612"/>
      <c r="Z139" s="612"/>
      <c r="AA139" s="612"/>
    </row>
    <row r="140" ht="13.5" customHeight="1">
      <c r="A140" s="612"/>
      <c r="B140" s="68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  <c r="AA140" s="612"/>
    </row>
    <row r="141" ht="13.5" customHeight="1">
      <c r="A141" s="612"/>
      <c r="B141" s="682"/>
      <c r="C141" s="612"/>
      <c r="D141" s="612"/>
      <c r="E141" s="612"/>
      <c r="F141" s="612"/>
      <c r="G141" s="612"/>
      <c r="H141" s="612"/>
      <c r="I141" s="612"/>
      <c r="J141" s="612"/>
      <c r="K141" s="612"/>
      <c r="L141" s="612"/>
      <c r="M141" s="612"/>
      <c r="N141" s="612"/>
      <c r="O141" s="612"/>
      <c r="P141" s="612"/>
      <c r="Q141" s="612"/>
      <c r="R141" s="612"/>
      <c r="S141" s="612"/>
      <c r="T141" s="612"/>
      <c r="U141" s="612"/>
      <c r="V141" s="612"/>
      <c r="W141" s="612"/>
      <c r="X141" s="612"/>
      <c r="Y141" s="612"/>
      <c r="Z141" s="612"/>
      <c r="AA141" s="612"/>
    </row>
    <row r="142" ht="13.5" customHeight="1">
      <c r="A142" s="612"/>
      <c r="B142" s="682"/>
      <c r="C142" s="612"/>
      <c r="D142" s="612"/>
      <c r="E142" s="612"/>
      <c r="F142" s="612"/>
      <c r="G142" s="612"/>
      <c r="H142" s="612"/>
      <c r="I142" s="612"/>
      <c r="J142" s="612"/>
      <c r="K142" s="612"/>
      <c r="L142" s="612"/>
      <c r="M142" s="612"/>
      <c r="N142" s="612"/>
      <c r="O142" s="612"/>
      <c r="P142" s="612"/>
      <c r="Q142" s="612"/>
      <c r="R142" s="612"/>
      <c r="S142" s="612"/>
      <c r="T142" s="612"/>
      <c r="U142" s="612"/>
      <c r="V142" s="612"/>
      <c r="W142" s="612"/>
      <c r="X142" s="612"/>
      <c r="Y142" s="612"/>
      <c r="Z142" s="612"/>
      <c r="AA142" s="612"/>
    </row>
    <row r="143" ht="13.5" customHeight="1">
      <c r="A143" s="612"/>
      <c r="B143" s="68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2"/>
      <c r="P143" s="612"/>
      <c r="Q143" s="612"/>
      <c r="R143" s="612"/>
      <c r="S143" s="612"/>
      <c r="T143" s="612"/>
      <c r="U143" s="612"/>
      <c r="V143" s="612"/>
      <c r="W143" s="612"/>
      <c r="X143" s="612"/>
      <c r="Y143" s="612"/>
      <c r="Z143" s="612"/>
      <c r="AA143" s="612"/>
    </row>
    <row r="144" ht="13.5" customHeight="1">
      <c r="A144" s="612"/>
      <c r="B144" s="68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2"/>
      <c r="P144" s="612"/>
      <c r="Q144" s="612"/>
      <c r="R144" s="612"/>
      <c r="S144" s="612"/>
      <c r="T144" s="612"/>
      <c r="U144" s="612"/>
      <c r="V144" s="612"/>
      <c r="W144" s="612"/>
      <c r="X144" s="612"/>
      <c r="Y144" s="612"/>
      <c r="Z144" s="612"/>
      <c r="AA144" s="612"/>
    </row>
    <row r="145" ht="13.5" customHeight="1">
      <c r="A145" s="612"/>
      <c r="B145" s="68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612"/>
    </row>
    <row r="146" ht="13.5" customHeight="1">
      <c r="A146" s="612"/>
      <c r="B146" s="682"/>
      <c r="C146" s="612"/>
      <c r="D146" s="612"/>
      <c r="E146" s="612"/>
      <c r="F146" s="612"/>
      <c r="G146" s="612"/>
      <c r="H146" s="612"/>
      <c r="I146" s="612"/>
      <c r="J146" s="612"/>
      <c r="K146" s="612"/>
      <c r="L146" s="612"/>
      <c r="M146" s="612"/>
      <c r="N146" s="612"/>
      <c r="O146" s="612"/>
      <c r="P146" s="612"/>
      <c r="Q146" s="612"/>
      <c r="R146" s="612"/>
      <c r="S146" s="612"/>
      <c r="T146" s="612"/>
      <c r="U146" s="612"/>
      <c r="V146" s="612"/>
      <c r="W146" s="612"/>
      <c r="X146" s="612"/>
      <c r="Y146" s="612"/>
      <c r="Z146" s="612"/>
      <c r="AA146" s="612"/>
    </row>
    <row r="147" ht="13.5" customHeight="1">
      <c r="A147" s="612"/>
      <c r="B147" s="682"/>
      <c r="C147" s="612"/>
      <c r="D147" s="612"/>
      <c r="E147" s="612"/>
      <c r="F147" s="612"/>
      <c r="G147" s="612"/>
      <c r="H147" s="612"/>
      <c r="I147" s="612"/>
      <c r="J147" s="612"/>
      <c r="K147" s="612"/>
      <c r="L147" s="612"/>
      <c r="M147" s="612"/>
      <c r="N147" s="612"/>
      <c r="O147" s="612"/>
      <c r="P147" s="612"/>
      <c r="Q147" s="612"/>
      <c r="R147" s="612"/>
      <c r="S147" s="612"/>
      <c r="T147" s="612"/>
      <c r="U147" s="612"/>
      <c r="V147" s="612"/>
      <c r="W147" s="612"/>
      <c r="X147" s="612"/>
      <c r="Y147" s="612"/>
      <c r="Z147" s="612"/>
      <c r="AA147" s="612"/>
    </row>
    <row r="148" ht="13.5" customHeight="1">
      <c r="A148" s="612"/>
      <c r="B148" s="682"/>
      <c r="C148" s="612"/>
      <c r="D148" s="612"/>
      <c r="E148" s="612"/>
      <c r="F148" s="612"/>
      <c r="G148" s="612"/>
      <c r="H148" s="612"/>
      <c r="I148" s="612"/>
      <c r="J148" s="612"/>
      <c r="K148" s="612"/>
      <c r="L148" s="612"/>
      <c r="M148" s="612"/>
      <c r="N148" s="612"/>
      <c r="O148" s="612"/>
      <c r="P148" s="612"/>
      <c r="Q148" s="612"/>
      <c r="R148" s="612"/>
      <c r="S148" s="612"/>
      <c r="T148" s="612"/>
      <c r="U148" s="612"/>
      <c r="V148" s="612"/>
      <c r="W148" s="612"/>
      <c r="X148" s="612"/>
      <c r="Y148" s="612"/>
      <c r="Z148" s="612"/>
      <c r="AA148" s="612"/>
    </row>
    <row r="149" ht="13.5" customHeight="1">
      <c r="A149" s="612"/>
      <c r="B149" s="68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2"/>
      <c r="P149" s="612"/>
      <c r="Q149" s="612"/>
      <c r="R149" s="612"/>
      <c r="S149" s="612"/>
      <c r="T149" s="612"/>
      <c r="U149" s="612"/>
      <c r="V149" s="612"/>
      <c r="W149" s="612"/>
      <c r="X149" s="612"/>
      <c r="Y149" s="612"/>
      <c r="Z149" s="612"/>
      <c r="AA149" s="612"/>
    </row>
    <row r="150" ht="13.5" customHeight="1">
      <c r="A150" s="612"/>
      <c r="B150" s="682"/>
      <c r="C150" s="612"/>
      <c r="D150" s="612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  <c r="AA150" s="612"/>
    </row>
    <row r="151" ht="13.5" customHeight="1">
      <c r="A151" s="612"/>
      <c r="B151" s="68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612"/>
    </row>
    <row r="152" ht="13.5" customHeight="1">
      <c r="A152" s="612"/>
      <c r="B152" s="682"/>
      <c r="C152" s="612"/>
      <c r="D152" s="612"/>
      <c r="E152" s="612"/>
      <c r="F152" s="612"/>
      <c r="G152" s="612"/>
      <c r="H152" s="612"/>
      <c r="I152" s="612"/>
      <c r="J152" s="612"/>
      <c r="K152" s="612"/>
      <c r="L152" s="612"/>
      <c r="M152" s="612"/>
      <c r="N152" s="612"/>
      <c r="O152" s="612"/>
      <c r="P152" s="612"/>
      <c r="Q152" s="612"/>
      <c r="R152" s="612"/>
      <c r="S152" s="612"/>
      <c r="T152" s="612"/>
      <c r="U152" s="612"/>
      <c r="V152" s="612"/>
      <c r="W152" s="612"/>
      <c r="X152" s="612"/>
      <c r="Y152" s="612"/>
      <c r="Z152" s="612"/>
      <c r="AA152" s="612"/>
    </row>
    <row r="153" ht="13.5" customHeight="1">
      <c r="A153" s="612"/>
      <c r="B153" s="682"/>
      <c r="C153" s="612"/>
      <c r="D153" s="612"/>
      <c r="E153" s="612"/>
      <c r="F153" s="612"/>
      <c r="G153" s="612"/>
      <c r="H153" s="612"/>
      <c r="I153" s="612"/>
      <c r="J153" s="612"/>
      <c r="K153" s="612"/>
      <c r="L153" s="612"/>
      <c r="M153" s="612"/>
      <c r="N153" s="612"/>
      <c r="O153" s="612"/>
      <c r="P153" s="612"/>
      <c r="Q153" s="612"/>
      <c r="R153" s="612"/>
      <c r="S153" s="612"/>
      <c r="T153" s="612"/>
      <c r="U153" s="612"/>
      <c r="V153" s="612"/>
      <c r="W153" s="612"/>
      <c r="X153" s="612"/>
      <c r="Y153" s="612"/>
      <c r="Z153" s="612"/>
      <c r="AA153" s="612"/>
    </row>
    <row r="154" ht="13.5" customHeight="1">
      <c r="A154" s="612"/>
      <c r="B154" s="682"/>
      <c r="C154" s="612"/>
      <c r="D154" s="612"/>
      <c r="E154" s="612"/>
      <c r="F154" s="612"/>
      <c r="G154" s="612"/>
      <c r="H154" s="612"/>
      <c r="I154" s="612"/>
      <c r="J154" s="612"/>
      <c r="K154" s="612"/>
      <c r="L154" s="612"/>
      <c r="M154" s="612"/>
      <c r="N154" s="612"/>
      <c r="O154" s="612"/>
      <c r="P154" s="612"/>
      <c r="Q154" s="612"/>
      <c r="R154" s="612"/>
      <c r="S154" s="612"/>
      <c r="T154" s="612"/>
      <c r="U154" s="612"/>
      <c r="V154" s="612"/>
      <c r="W154" s="612"/>
      <c r="X154" s="612"/>
      <c r="Y154" s="612"/>
      <c r="Z154" s="612"/>
      <c r="AA154" s="612"/>
    </row>
    <row r="155" ht="13.5" customHeight="1">
      <c r="A155" s="612"/>
      <c r="B155" s="682"/>
      <c r="C155" s="612"/>
      <c r="D155" s="612"/>
      <c r="E155" s="612"/>
      <c r="F155" s="612"/>
      <c r="G155" s="612"/>
      <c r="H155" s="612"/>
      <c r="I155" s="612"/>
      <c r="J155" s="612"/>
      <c r="K155" s="612"/>
      <c r="L155" s="612"/>
      <c r="M155" s="612"/>
      <c r="N155" s="612"/>
      <c r="O155" s="612"/>
      <c r="P155" s="612"/>
      <c r="Q155" s="612"/>
      <c r="R155" s="612"/>
      <c r="S155" s="612"/>
      <c r="T155" s="612"/>
      <c r="U155" s="612"/>
      <c r="V155" s="612"/>
      <c r="W155" s="612"/>
      <c r="X155" s="612"/>
      <c r="Y155" s="612"/>
      <c r="Z155" s="612"/>
      <c r="AA155" s="612"/>
    </row>
    <row r="156" ht="13.5" customHeight="1">
      <c r="A156" s="612"/>
      <c r="B156" s="682"/>
      <c r="C156" s="612"/>
      <c r="D156" s="612"/>
      <c r="E156" s="612"/>
      <c r="F156" s="612"/>
      <c r="G156" s="612"/>
      <c r="H156" s="612"/>
      <c r="I156" s="612"/>
      <c r="J156" s="612"/>
      <c r="K156" s="612"/>
      <c r="L156" s="612"/>
      <c r="M156" s="612"/>
      <c r="N156" s="612"/>
      <c r="O156" s="612"/>
      <c r="P156" s="612"/>
      <c r="Q156" s="612"/>
      <c r="R156" s="612"/>
      <c r="S156" s="612"/>
      <c r="T156" s="612"/>
      <c r="U156" s="612"/>
      <c r="V156" s="612"/>
      <c r="W156" s="612"/>
      <c r="X156" s="612"/>
      <c r="Y156" s="612"/>
      <c r="Z156" s="612"/>
      <c r="AA156" s="612"/>
    </row>
    <row r="157" ht="13.5" customHeight="1">
      <c r="A157" s="612"/>
      <c r="B157" s="68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2"/>
      <c r="P157" s="612"/>
      <c r="Q157" s="612"/>
      <c r="R157" s="612"/>
      <c r="S157" s="612"/>
      <c r="T157" s="612"/>
      <c r="U157" s="612"/>
      <c r="V157" s="612"/>
      <c r="W157" s="612"/>
      <c r="X157" s="612"/>
      <c r="Y157" s="612"/>
      <c r="Z157" s="612"/>
      <c r="AA157" s="612"/>
    </row>
    <row r="158" ht="13.5" customHeight="1">
      <c r="A158" s="612"/>
      <c r="B158" s="68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612"/>
    </row>
    <row r="159" ht="13.5" customHeight="1">
      <c r="A159" s="612"/>
      <c r="B159" s="68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  <c r="AA159" s="612"/>
    </row>
    <row r="160" ht="13.5" customHeight="1">
      <c r="A160" s="612"/>
      <c r="B160" s="682"/>
      <c r="C160" s="612"/>
      <c r="D160" s="612"/>
      <c r="E160" s="612"/>
      <c r="F160" s="612"/>
      <c r="G160" s="612"/>
      <c r="H160" s="612"/>
      <c r="I160" s="612"/>
      <c r="J160" s="612"/>
      <c r="K160" s="612"/>
      <c r="L160" s="612"/>
      <c r="M160" s="612"/>
      <c r="N160" s="612"/>
      <c r="O160" s="612"/>
      <c r="P160" s="612"/>
      <c r="Q160" s="612"/>
      <c r="R160" s="612"/>
      <c r="S160" s="612"/>
      <c r="T160" s="612"/>
      <c r="U160" s="612"/>
      <c r="V160" s="612"/>
      <c r="W160" s="612"/>
      <c r="X160" s="612"/>
      <c r="Y160" s="612"/>
      <c r="Z160" s="612"/>
      <c r="AA160" s="612"/>
    </row>
    <row r="161" ht="13.5" customHeight="1">
      <c r="A161" s="612"/>
      <c r="B161" s="682"/>
      <c r="C161" s="612"/>
      <c r="D161" s="612"/>
      <c r="E161" s="612"/>
      <c r="F161" s="612"/>
      <c r="G161" s="612"/>
      <c r="H161" s="612"/>
      <c r="I161" s="612"/>
      <c r="J161" s="612"/>
      <c r="K161" s="612"/>
      <c r="L161" s="612"/>
      <c r="M161" s="612"/>
      <c r="N161" s="612"/>
      <c r="O161" s="612"/>
      <c r="P161" s="612"/>
      <c r="Q161" s="612"/>
      <c r="R161" s="612"/>
      <c r="S161" s="612"/>
      <c r="T161" s="612"/>
      <c r="U161" s="612"/>
      <c r="V161" s="612"/>
      <c r="W161" s="612"/>
      <c r="X161" s="612"/>
      <c r="Y161" s="612"/>
      <c r="Z161" s="612"/>
      <c r="AA161" s="612"/>
    </row>
    <row r="162" ht="13.5" customHeight="1">
      <c r="A162" s="612"/>
      <c r="B162" s="68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2"/>
      <c r="P162" s="612"/>
      <c r="Q162" s="612"/>
      <c r="R162" s="612"/>
      <c r="S162" s="612"/>
      <c r="T162" s="612"/>
      <c r="U162" s="612"/>
      <c r="V162" s="612"/>
      <c r="W162" s="612"/>
      <c r="X162" s="612"/>
      <c r="Y162" s="612"/>
      <c r="Z162" s="612"/>
      <c r="AA162" s="612"/>
    </row>
    <row r="163" ht="13.5" customHeight="1">
      <c r="A163" s="612"/>
      <c r="B163" s="682"/>
      <c r="C163" s="612"/>
      <c r="D163" s="612"/>
      <c r="E163" s="612"/>
      <c r="F163" s="612"/>
      <c r="G163" s="612"/>
      <c r="H163" s="612"/>
      <c r="I163" s="612"/>
      <c r="J163" s="612"/>
      <c r="K163" s="612"/>
      <c r="L163" s="612"/>
      <c r="M163" s="612"/>
      <c r="N163" s="612"/>
      <c r="O163" s="612"/>
      <c r="P163" s="612"/>
      <c r="Q163" s="612"/>
      <c r="R163" s="612"/>
      <c r="S163" s="612"/>
      <c r="T163" s="612"/>
      <c r="U163" s="612"/>
      <c r="V163" s="612"/>
      <c r="W163" s="612"/>
      <c r="X163" s="612"/>
      <c r="Y163" s="612"/>
      <c r="Z163" s="612"/>
      <c r="AA163" s="612"/>
    </row>
    <row r="164" ht="13.5" customHeight="1">
      <c r="A164" s="612"/>
      <c r="B164" s="68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612"/>
    </row>
    <row r="165" ht="13.5" customHeight="1">
      <c r="A165" s="612"/>
      <c r="B165" s="682"/>
      <c r="C165" s="612"/>
      <c r="D165" s="612"/>
      <c r="E165" s="612"/>
      <c r="F165" s="612"/>
      <c r="G165" s="612"/>
      <c r="H165" s="612"/>
      <c r="I165" s="612"/>
      <c r="J165" s="612"/>
      <c r="K165" s="612"/>
      <c r="L165" s="612"/>
      <c r="M165" s="612"/>
      <c r="N165" s="612"/>
      <c r="O165" s="612"/>
      <c r="P165" s="612"/>
      <c r="Q165" s="612"/>
      <c r="R165" s="612"/>
      <c r="S165" s="612"/>
      <c r="T165" s="612"/>
      <c r="U165" s="612"/>
      <c r="V165" s="612"/>
      <c r="W165" s="612"/>
      <c r="X165" s="612"/>
      <c r="Y165" s="612"/>
      <c r="Z165" s="612"/>
      <c r="AA165" s="612"/>
    </row>
    <row r="166" ht="13.5" customHeight="1">
      <c r="A166" s="612"/>
      <c r="B166" s="68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2"/>
      <c r="P166" s="612"/>
      <c r="Q166" s="612"/>
      <c r="R166" s="612"/>
      <c r="S166" s="612"/>
      <c r="T166" s="612"/>
      <c r="U166" s="612"/>
      <c r="V166" s="612"/>
      <c r="W166" s="612"/>
      <c r="X166" s="612"/>
      <c r="Y166" s="612"/>
      <c r="Z166" s="612"/>
      <c r="AA166" s="612"/>
    </row>
    <row r="167" ht="13.5" customHeight="1">
      <c r="A167" s="612"/>
      <c r="B167" s="682"/>
      <c r="C167" s="612"/>
      <c r="D167" s="612"/>
      <c r="E167" s="612"/>
      <c r="F167" s="612"/>
      <c r="G167" s="612"/>
      <c r="H167" s="612"/>
      <c r="I167" s="612"/>
      <c r="J167" s="612"/>
      <c r="K167" s="612"/>
      <c r="L167" s="612"/>
      <c r="M167" s="612"/>
      <c r="N167" s="612"/>
      <c r="O167" s="612"/>
      <c r="P167" s="612"/>
      <c r="Q167" s="612"/>
      <c r="R167" s="612"/>
      <c r="S167" s="612"/>
      <c r="T167" s="612"/>
      <c r="U167" s="612"/>
      <c r="V167" s="612"/>
      <c r="W167" s="612"/>
      <c r="X167" s="612"/>
      <c r="Y167" s="612"/>
      <c r="Z167" s="612"/>
      <c r="AA167" s="612"/>
    </row>
    <row r="168" ht="13.5" customHeight="1">
      <c r="A168" s="612"/>
      <c r="B168" s="68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  <c r="AA168" s="612"/>
    </row>
    <row r="169" ht="13.5" customHeight="1">
      <c r="A169" s="612"/>
      <c r="B169" s="682"/>
      <c r="C169" s="612"/>
      <c r="D169" s="612"/>
      <c r="E169" s="612"/>
      <c r="F169" s="612"/>
      <c r="G169" s="612"/>
      <c r="H169" s="612"/>
      <c r="I169" s="612"/>
      <c r="J169" s="612"/>
      <c r="K169" s="612"/>
      <c r="L169" s="612"/>
      <c r="M169" s="612"/>
      <c r="N169" s="612"/>
      <c r="O169" s="612"/>
      <c r="P169" s="612"/>
      <c r="Q169" s="612"/>
      <c r="R169" s="612"/>
      <c r="S169" s="612"/>
      <c r="T169" s="612"/>
      <c r="U169" s="612"/>
      <c r="V169" s="612"/>
      <c r="W169" s="612"/>
      <c r="X169" s="612"/>
      <c r="Y169" s="612"/>
      <c r="Z169" s="612"/>
      <c r="AA169" s="612"/>
    </row>
    <row r="170" ht="13.5" customHeight="1">
      <c r="A170" s="612"/>
      <c r="B170" s="682"/>
      <c r="C170" s="612"/>
      <c r="D170" s="612"/>
      <c r="E170" s="612"/>
      <c r="F170" s="612"/>
      <c r="G170" s="612"/>
      <c r="H170" s="612"/>
      <c r="I170" s="612"/>
      <c r="J170" s="612"/>
      <c r="K170" s="612"/>
      <c r="L170" s="612"/>
      <c r="M170" s="612"/>
      <c r="N170" s="612"/>
      <c r="O170" s="612"/>
      <c r="P170" s="612"/>
      <c r="Q170" s="612"/>
      <c r="R170" s="612"/>
      <c r="S170" s="612"/>
      <c r="T170" s="612"/>
      <c r="U170" s="612"/>
      <c r="V170" s="612"/>
      <c r="W170" s="612"/>
      <c r="X170" s="612"/>
      <c r="Y170" s="612"/>
      <c r="Z170" s="612"/>
      <c r="AA170" s="612"/>
    </row>
    <row r="171" ht="13.5" customHeight="1">
      <c r="A171" s="612"/>
      <c r="B171" s="682"/>
      <c r="C171" s="612"/>
      <c r="D171" s="612"/>
      <c r="E171" s="612"/>
      <c r="F171" s="612"/>
      <c r="G171" s="612"/>
      <c r="H171" s="612"/>
      <c r="I171" s="612"/>
      <c r="J171" s="612"/>
      <c r="K171" s="612"/>
      <c r="L171" s="612"/>
      <c r="M171" s="612"/>
      <c r="N171" s="612"/>
      <c r="O171" s="612"/>
      <c r="P171" s="612"/>
      <c r="Q171" s="612"/>
      <c r="R171" s="612"/>
      <c r="S171" s="612"/>
      <c r="T171" s="612"/>
      <c r="U171" s="612"/>
      <c r="V171" s="612"/>
      <c r="W171" s="612"/>
      <c r="X171" s="612"/>
      <c r="Y171" s="612"/>
      <c r="Z171" s="612"/>
      <c r="AA171" s="612"/>
    </row>
    <row r="172" ht="13.5" customHeight="1">
      <c r="A172" s="612"/>
      <c r="B172" s="682"/>
      <c r="C172" s="612"/>
      <c r="D172" s="612"/>
      <c r="E172" s="612"/>
      <c r="F172" s="612"/>
      <c r="G172" s="612"/>
      <c r="H172" s="612"/>
      <c r="I172" s="612"/>
      <c r="J172" s="612"/>
      <c r="K172" s="612"/>
      <c r="L172" s="612"/>
      <c r="M172" s="612"/>
      <c r="N172" s="612"/>
      <c r="O172" s="612"/>
      <c r="P172" s="612"/>
      <c r="Q172" s="612"/>
      <c r="R172" s="612"/>
      <c r="S172" s="612"/>
      <c r="T172" s="612"/>
      <c r="U172" s="612"/>
      <c r="V172" s="612"/>
      <c r="W172" s="612"/>
      <c r="X172" s="612"/>
      <c r="Y172" s="612"/>
      <c r="Z172" s="612"/>
      <c r="AA172" s="612"/>
    </row>
    <row r="173" ht="13.5" customHeight="1">
      <c r="A173" s="612"/>
      <c r="B173" s="682"/>
      <c r="C173" s="612"/>
      <c r="D173" s="612"/>
      <c r="E173" s="612"/>
      <c r="F173" s="612"/>
      <c r="G173" s="612"/>
      <c r="H173" s="612"/>
      <c r="I173" s="612"/>
      <c r="J173" s="612"/>
      <c r="K173" s="612"/>
      <c r="L173" s="612"/>
      <c r="M173" s="612"/>
      <c r="N173" s="612"/>
      <c r="O173" s="612"/>
      <c r="P173" s="612"/>
      <c r="Q173" s="612"/>
      <c r="R173" s="612"/>
      <c r="S173" s="612"/>
      <c r="T173" s="612"/>
      <c r="U173" s="612"/>
      <c r="V173" s="612"/>
      <c r="W173" s="612"/>
      <c r="X173" s="612"/>
      <c r="Y173" s="612"/>
      <c r="Z173" s="612"/>
      <c r="AA173" s="612"/>
    </row>
    <row r="174" ht="13.5" customHeight="1">
      <c r="A174" s="612"/>
      <c r="B174" s="682"/>
      <c r="C174" s="612"/>
      <c r="D174" s="612"/>
      <c r="E174" s="612"/>
      <c r="F174" s="612"/>
      <c r="G174" s="612"/>
      <c r="H174" s="612"/>
      <c r="I174" s="612"/>
      <c r="J174" s="612"/>
      <c r="K174" s="612"/>
      <c r="L174" s="612"/>
      <c r="M174" s="612"/>
      <c r="N174" s="612"/>
      <c r="O174" s="612"/>
      <c r="P174" s="612"/>
      <c r="Q174" s="612"/>
      <c r="R174" s="612"/>
      <c r="S174" s="612"/>
      <c r="T174" s="612"/>
      <c r="U174" s="612"/>
      <c r="V174" s="612"/>
      <c r="W174" s="612"/>
      <c r="X174" s="612"/>
      <c r="Y174" s="612"/>
      <c r="Z174" s="612"/>
      <c r="AA174" s="612"/>
    </row>
    <row r="175" ht="13.5" customHeight="1">
      <c r="A175" s="612"/>
      <c r="B175" s="682"/>
      <c r="C175" s="612"/>
      <c r="D175" s="612"/>
      <c r="E175" s="612"/>
      <c r="F175" s="612"/>
      <c r="G175" s="612"/>
      <c r="H175" s="612"/>
      <c r="I175" s="612"/>
      <c r="J175" s="612"/>
      <c r="K175" s="612"/>
      <c r="L175" s="612"/>
      <c r="M175" s="612"/>
      <c r="N175" s="612"/>
      <c r="O175" s="612"/>
      <c r="P175" s="612"/>
      <c r="Q175" s="612"/>
      <c r="R175" s="612"/>
      <c r="S175" s="612"/>
      <c r="T175" s="612"/>
      <c r="U175" s="612"/>
      <c r="V175" s="612"/>
      <c r="W175" s="612"/>
      <c r="X175" s="612"/>
      <c r="Y175" s="612"/>
      <c r="Z175" s="612"/>
      <c r="AA175" s="612"/>
    </row>
    <row r="176" ht="13.5" customHeight="1">
      <c r="A176" s="612"/>
      <c r="B176" s="682"/>
      <c r="C176" s="612"/>
      <c r="D176" s="612"/>
      <c r="E176" s="612"/>
      <c r="F176" s="612"/>
      <c r="G176" s="612"/>
      <c r="H176" s="612"/>
      <c r="I176" s="612"/>
      <c r="J176" s="612"/>
      <c r="K176" s="612"/>
      <c r="L176" s="612"/>
      <c r="M176" s="612"/>
      <c r="N176" s="612"/>
      <c r="O176" s="612"/>
      <c r="P176" s="612"/>
      <c r="Q176" s="612"/>
      <c r="R176" s="612"/>
      <c r="S176" s="612"/>
      <c r="T176" s="612"/>
      <c r="U176" s="612"/>
      <c r="V176" s="612"/>
      <c r="W176" s="612"/>
      <c r="X176" s="612"/>
      <c r="Y176" s="612"/>
      <c r="Z176" s="612"/>
      <c r="AA176" s="612"/>
    </row>
    <row r="177" ht="13.5" customHeight="1">
      <c r="A177" s="612"/>
      <c r="B177" s="682"/>
      <c r="C177" s="612"/>
      <c r="D177" s="612"/>
      <c r="E177" s="612"/>
      <c r="F177" s="612"/>
      <c r="G177" s="612"/>
      <c r="H177" s="612"/>
      <c r="I177" s="612"/>
      <c r="J177" s="612"/>
      <c r="K177" s="612"/>
      <c r="L177" s="612"/>
      <c r="M177" s="612"/>
      <c r="N177" s="612"/>
      <c r="O177" s="612"/>
      <c r="P177" s="612"/>
      <c r="Q177" s="612"/>
      <c r="R177" s="612"/>
      <c r="S177" s="612"/>
      <c r="T177" s="612"/>
      <c r="U177" s="612"/>
      <c r="V177" s="612"/>
      <c r="W177" s="612"/>
      <c r="X177" s="612"/>
      <c r="Y177" s="612"/>
      <c r="Z177" s="612"/>
      <c r="AA177" s="612"/>
    </row>
    <row r="178" ht="13.5" customHeight="1">
      <c r="A178" s="612"/>
      <c r="B178" s="682"/>
      <c r="C178" s="612"/>
      <c r="D178" s="612"/>
      <c r="E178" s="612"/>
      <c r="F178" s="612"/>
      <c r="G178" s="612"/>
      <c r="H178" s="612"/>
      <c r="I178" s="612"/>
      <c r="J178" s="612"/>
      <c r="K178" s="612"/>
      <c r="L178" s="612"/>
      <c r="M178" s="612"/>
      <c r="N178" s="612"/>
      <c r="O178" s="612"/>
      <c r="P178" s="612"/>
      <c r="Q178" s="612"/>
      <c r="R178" s="612"/>
      <c r="S178" s="612"/>
      <c r="T178" s="612"/>
      <c r="U178" s="612"/>
      <c r="V178" s="612"/>
      <c r="W178" s="612"/>
      <c r="X178" s="612"/>
      <c r="Y178" s="612"/>
      <c r="Z178" s="612"/>
      <c r="AA178" s="612"/>
    </row>
    <row r="179" ht="13.5" customHeight="1">
      <c r="A179" s="612"/>
      <c r="B179" s="68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2"/>
      <c r="P179" s="612"/>
      <c r="Q179" s="612"/>
      <c r="R179" s="612"/>
      <c r="S179" s="612"/>
      <c r="T179" s="612"/>
      <c r="U179" s="612"/>
      <c r="V179" s="612"/>
      <c r="W179" s="612"/>
      <c r="X179" s="612"/>
      <c r="Y179" s="612"/>
      <c r="Z179" s="612"/>
      <c r="AA179" s="612"/>
    </row>
    <row r="180" ht="13.5" customHeight="1">
      <c r="A180" s="612"/>
      <c r="B180" s="68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2"/>
      <c r="P180" s="612"/>
      <c r="Q180" s="612"/>
      <c r="R180" s="612"/>
      <c r="S180" s="612"/>
      <c r="T180" s="612"/>
      <c r="U180" s="612"/>
      <c r="V180" s="612"/>
      <c r="W180" s="612"/>
      <c r="X180" s="612"/>
      <c r="Y180" s="612"/>
      <c r="Z180" s="612"/>
      <c r="AA180" s="612"/>
    </row>
    <row r="181" ht="13.5" customHeight="1">
      <c r="A181" s="612"/>
      <c r="B181" s="68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612"/>
    </row>
    <row r="182" ht="13.5" customHeight="1">
      <c r="A182" s="612"/>
      <c r="B182" s="682"/>
      <c r="C182" s="612"/>
      <c r="D182" s="612"/>
      <c r="E182" s="612"/>
      <c r="F182" s="612"/>
      <c r="G182" s="612"/>
      <c r="H182" s="612"/>
      <c r="I182" s="612"/>
      <c r="J182" s="612"/>
      <c r="K182" s="612"/>
      <c r="L182" s="612"/>
      <c r="M182" s="612"/>
      <c r="N182" s="612"/>
      <c r="O182" s="612"/>
      <c r="P182" s="612"/>
      <c r="Q182" s="612"/>
      <c r="R182" s="612"/>
      <c r="S182" s="612"/>
      <c r="T182" s="612"/>
      <c r="U182" s="612"/>
      <c r="V182" s="612"/>
      <c r="W182" s="612"/>
      <c r="X182" s="612"/>
      <c r="Y182" s="612"/>
      <c r="Z182" s="612"/>
      <c r="AA182" s="612"/>
    </row>
    <row r="183" ht="13.5" customHeight="1">
      <c r="A183" s="612"/>
      <c r="B183" s="682"/>
      <c r="C183" s="612"/>
      <c r="D183" s="612"/>
      <c r="E183" s="612"/>
      <c r="F183" s="612"/>
      <c r="G183" s="612"/>
      <c r="H183" s="612"/>
      <c r="I183" s="612"/>
      <c r="J183" s="612"/>
      <c r="K183" s="612"/>
      <c r="L183" s="612"/>
      <c r="M183" s="612"/>
      <c r="N183" s="612"/>
      <c r="O183" s="612"/>
      <c r="P183" s="612"/>
      <c r="Q183" s="612"/>
      <c r="R183" s="612"/>
      <c r="S183" s="612"/>
      <c r="T183" s="612"/>
      <c r="U183" s="612"/>
      <c r="V183" s="612"/>
      <c r="W183" s="612"/>
      <c r="X183" s="612"/>
      <c r="Y183" s="612"/>
      <c r="Z183" s="612"/>
      <c r="AA183" s="612"/>
    </row>
    <row r="184" ht="13.5" customHeight="1">
      <c r="A184" s="612"/>
      <c r="B184" s="682"/>
      <c r="C184" s="612"/>
      <c r="D184" s="612"/>
      <c r="E184" s="612"/>
      <c r="F184" s="612"/>
      <c r="G184" s="612"/>
      <c r="H184" s="612"/>
      <c r="I184" s="612"/>
      <c r="J184" s="612"/>
      <c r="K184" s="612"/>
      <c r="L184" s="612"/>
      <c r="M184" s="612"/>
      <c r="N184" s="612"/>
      <c r="O184" s="612"/>
      <c r="P184" s="612"/>
      <c r="Q184" s="612"/>
      <c r="R184" s="612"/>
      <c r="S184" s="612"/>
      <c r="T184" s="612"/>
      <c r="U184" s="612"/>
      <c r="V184" s="612"/>
      <c r="W184" s="612"/>
      <c r="X184" s="612"/>
      <c r="Y184" s="612"/>
      <c r="Z184" s="612"/>
      <c r="AA184" s="612"/>
    </row>
    <row r="185" ht="13.5" customHeight="1">
      <c r="A185" s="612"/>
      <c r="B185" s="682"/>
      <c r="C185" s="612"/>
      <c r="D185" s="612"/>
      <c r="E185" s="612"/>
      <c r="F185" s="612"/>
      <c r="G185" s="612"/>
      <c r="H185" s="612"/>
      <c r="I185" s="612"/>
      <c r="J185" s="612"/>
      <c r="K185" s="612"/>
      <c r="L185" s="612"/>
      <c r="M185" s="612"/>
      <c r="N185" s="612"/>
      <c r="O185" s="612"/>
      <c r="P185" s="612"/>
      <c r="Q185" s="612"/>
      <c r="R185" s="612"/>
      <c r="S185" s="612"/>
      <c r="T185" s="612"/>
      <c r="U185" s="612"/>
      <c r="V185" s="612"/>
      <c r="W185" s="612"/>
      <c r="X185" s="612"/>
      <c r="Y185" s="612"/>
      <c r="Z185" s="612"/>
      <c r="AA185" s="612"/>
    </row>
    <row r="186" ht="13.5" customHeight="1">
      <c r="A186" s="612"/>
      <c r="B186" s="68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2"/>
      <c r="P186" s="612"/>
      <c r="Q186" s="612"/>
      <c r="R186" s="612"/>
      <c r="S186" s="612"/>
      <c r="T186" s="612"/>
      <c r="U186" s="612"/>
      <c r="V186" s="612"/>
      <c r="W186" s="612"/>
      <c r="X186" s="612"/>
      <c r="Y186" s="612"/>
      <c r="Z186" s="612"/>
      <c r="AA186" s="612"/>
    </row>
    <row r="187" ht="13.5" customHeight="1">
      <c r="A187" s="612"/>
      <c r="B187" s="68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  <c r="AA187" s="612"/>
    </row>
    <row r="188" ht="13.5" customHeight="1">
      <c r="A188" s="612"/>
      <c r="B188" s="682"/>
      <c r="C188" s="612"/>
      <c r="D188" s="612"/>
      <c r="E188" s="612"/>
      <c r="F188" s="612"/>
      <c r="G188" s="612"/>
      <c r="H188" s="612"/>
      <c r="I188" s="612"/>
      <c r="J188" s="612"/>
      <c r="K188" s="612"/>
      <c r="L188" s="612"/>
      <c r="M188" s="612"/>
      <c r="N188" s="612"/>
      <c r="O188" s="612"/>
      <c r="P188" s="612"/>
      <c r="Q188" s="612"/>
      <c r="R188" s="612"/>
      <c r="S188" s="612"/>
      <c r="T188" s="612"/>
      <c r="U188" s="612"/>
      <c r="V188" s="612"/>
      <c r="W188" s="612"/>
      <c r="X188" s="612"/>
      <c r="Y188" s="612"/>
      <c r="Z188" s="612"/>
      <c r="AA188" s="612"/>
    </row>
    <row r="189" ht="13.5" customHeight="1">
      <c r="A189" s="612"/>
      <c r="B189" s="682"/>
      <c r="C189" s="612"/>
      <c r="D189" s="612"/>
      <c r="E189" s="612"/>
      <c r="F189" s="612"/>
      <c r="G189" s="612"/>
      <c r="H189" s="612"/>
      <c r="I189" s="612"/>
      <c r="J189" s="612"/>
      <c r="K189" s="612"/>
      <c r="L189" s="612"/>
      <c r="M189" s="612"/>
      <c r="N189" s="612"/>
      <c r="O189" s="612"/>
      <c r="P189" s="612"/>
      <c r="Q189" s="612"/>
      <c r="R189" s="612"/>
      <c r="S189" s="612"/>
      <c r="T189" s="612"/>
      <c r="U189" s="612"/>
      <c r="V189" s="612"/>
      <c r="W189" s="612"/>
      <c r="X189" s="612"/>
      <c r="Y189" s="612"/>
      <c r="Z189" s="612"/>
      <c r="AA189" s="612"/>
    </row>
    <row r="190" ht="13.5" customHeight="1">
      <c r="A190" s="612"/>
      <c r="B190" s="68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2"/>
      <c r="P190" s="612"/>
      <c r="Q190" s="612"/>
      <c r="R190" s="612"/>
      <c r="S190" s="612"/>
      <c r="T190" s="612"/>
      <c r="U190" s="612"/>
      <c r="V190" s="612"/>
      <c r="W190" s="612"/>
      <c r="X190" s="612"/>
      <c r="Y190" s="612"/>
      <c r="Z190" s="612"/>
      <c r="AA190" s="612"/>
    </row>
    <row r="191" ht="13.5" customHeight="1">
      <c r="A191" s="612"/>
      <c r="B191" s="68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2"/>
      <c r="P191" s="612"/>
      <c r="Q191" s="612"/>
      <c r="R191" s="612"/>
      <c r="S191" s="612"/>
      <c r="T191" s="612"/>
      <c r="U191" s="612"/>
      <c r="V191" s="612"/>
      <c r="W191" s="612"/>
      <c r="X191" s="612"/>
      <c r="Y191" s="612"/>
      <c r="Z191" s="612"/>
      <c r="AA191" s="612"/>
    </row>
    <row r="192" ht="13.5" customHeight="1">
      <c r="A192" s="612"/>
      <c r="B192" s="68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  <c r="AA192" s="612"/>
    </row>
    <row r="193" ht="13.5" customHeight="1">
      <c r="A193" s="612"/>
      <c r="B193" s="682"/>
      <c r="C193" s="612"/>
      <c r="D193" s="612"/>
      <c r="E193" s="612"/>
      <c r="F193" s="612"/>
      <c r="G193" s="612"/>
      <c r="H193" s="612"/>
      <c r="I193" s="612"/>
      <c r="J193" s="612"/>
      <c r="K193" s="612"/>
      <c r="L193" s="612"/>
      <c r="M193" s="612"/>
      <c r="N193" s="612"/>
      <c r="O193" s="612"/>
      <c r="P193" s="612"/>
      <c r="Q193" s="612"/>
      <c r="R193" s="612"/>
      <c r="S193" s="612"/>
      <c r="T193" s="612"/>
      <c r="U193" s="612"/>
      <c r="V193" s="612"/>
      <c r="W193" s="612"/>
      <c r="X193" s="612"/>
      <c r="Y193" s="612"/>
      <c r="Z193" s="612"/>
      <c r="AA193" s="612"/>
    </row>
    <row r="194" ht="13.5" customHeight="1">
      <c r="A194" s="612"/>
      <c r="B194" s="682"/>
      <c r="C194" s="612"/>
      <c r="D194" s="612"/>
      <c r="E194" s="612"/>
      <c r="F194" s="612"/>
      <c r="G194" s="612"/>
      <c r="H194" s="612"/>
      <c r="I194" s="612"/>
      <c r="J194" s="612"/>
      <c r="K194" s="612"/>
      <c r="L194" s="612"/>
      <c r="M194" s="612"/>
      <c r="N194" s="612"/>
      <c r="O194" s="612"/>
      <c r="P194" s="612"/>
      <c r="Q194" s="612"/>
      <c r="R194" s="612"/>
      <c r="S194" s="612"/>
      <c r="T194" s="612"/>
      <c r="U194" s="612"/>
      <c r="V194" s="612"/>
      <c r="W194" s="612"/>
      <c r="X194" s="612"/>
      <c r="Y194" s="612"/>
      <c r="Z194" s="612"/>
      <c r="AA194" s="612"/>
    </row>
    <row r="195" ht="13.5" customHeight="1">
      <c r="A195" s="612"/>
      <c r="B195" s="682"/>
      <c r="C195" s="612"/>
      <c r="D195" s="612"/>
      <c r="E195" s="612"/>
      <c r="F195" s="612"/>
      <c r="G195" s="612"/>
      <c r="H195" s="612"/>
      <c r="I195" s="612"/>
      <c r="J195" s="612"/>
      <c r="K195" s="612"/>
      <c r="L195" s="612"/>
      <c r="M195" s="612"/>
      <c r="N195" s="612"/>
      <c r="O195" s="612"/>
      <c r="P195" s="612"/>
      <c r="Q195" s="612"/>
      <c r="R195" s="612"/>
      <c r="S195" s="612"/>
      <c r="T195" s="612"/>
      <c r="U195" s="612"/>
      <c r="V195" s="612"/>
      <c r="W195" s="612"/>
      <c r="X195" s="612"/>
      <c r="Y195" s="612"/>
      <c r="Z195" s="612"/>
      <c r="AA195" s="612"/>
    </row>
    <row r="196" ht="13.5" customHeight="1">
      <c r="A196" s="612"/>
      <c r="B196" s="682"/>
      <c r="C196" s="612"/>
      <c r="D196" s="612"/>
      <c r="E196" s="612"/>
      <c r="F196" s="612"/>
      <c r="G196" s="612"/>
      <c r="H196" s="612"/>
      <c r="I196" s="612"/>
      <c r="J196" s="612"/>
      <c r="K196" s="612"/>
      <c r="L196" s="612"/>
      <c r="M196" s="612"/>
      <c r="N196" s="612"/>
      <c r="O196" s="612"/>
      <c r="P196" s="612"/>
      <c r="Q196" s="612"/>
      <c r="R196" s="612"/>
      <c r="S196" s="612"/>
      <c r="T196" s="612"/>
      <c r="U196" s="612"/>
      <c r="V196" s="612"/>
      <c r="W196" s="612"/>
      <c r="X196" s="612"/>
      <c r="Y196" s="612"/>
      <c r="Z196" s="612"/>
      <c r="AA196" s="612"/>
    </row>
    <row r="197" ht="13.5" customHeight="1">
      <c r="A197" s="612"/>
      <c r="B197" s="68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612"/>
    </row>
    <row r="198" ht="13.5" customHeight="1">
      <c r="A198" s="612"/>
      <c r="B198" s="68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  <c r="AA198" s="612"/>
    </row>
    <row r="199" ht="13.5" customHeight="1">
      <c r="A199" s="612"/>
      <c r="B199" s="682"/>
      <c r="C199" s="612"/>
      <c r="D199" s="612"/>
      <c r="E199" s="612"/>
      <c r="F199" s="612"/>
      <c r="G199" s="612"/>
      <c r="H199" s="612"/>
      <c r="I199" s="612"/>
      <c r="J199" s="612"/>
      <c r="K199" s="612"/>
      <c r="L199" s="612"/>
      <c r="M199" s="612"/>
      <c r="N199" s="612"/>
      <c r="O199" s="612"/>
      <c r="P199" s="612"/>
      <c r="Q199" s="612"/>
      <c r="R199" s="612"/>
      <c r="S199" s="612"/>
      <c r="T199" s="612"/>
      <c r="U199" s="612"/>
      <c r="V199" s="612"/>
      <c r="W199" s="612"/>
      <c r="X199" s="612"/>
      <c r="Y199" s="612"/>
      <c r="Z199" s="612"/>
      <c r="AA199" s="612"/>
    </row>
    <row r="200" ht="13.5" customHeight="1">
      <c r="A200" s="612"/>
      <c r="B200" s="682"/>
      <c r="C200" s="612"/>
      <c r="D200" s="612"/>
      <c r="E200" s="612"/>
      <c r="F200" s="612"/>
      <c r="G200" s="612"/>
      <c r="H200" s="612"/>
      <c r="I200" s="612"/>
      <c r="J200" s="612"/>
      <c r="K200" s="612"/>
      <c r="L200" s="612"/>
      <c r="M200" s="612"/>
      <c r="N200" s="612"/>
      <c r="O200" s="612"/>
      <c r="P200" s="612"/>
      <c r="Q200" s="612"/>
      <c r="R200" s="612"/>
      <c r="S200" s="612"/>
      <c r="T200" s="612"/>
      <c r="U200" s="612"/>
      <c r="V200" s="612"/>
      <c r="W200" s="612"/>
      <c r="X200" s="612"/>
      <c r="Y200" s="612"/>
      <c r="Z200" s="612"/>
      <c r="AA200" s="612"/>
    </row>
    <row r="201" ht="13.5" customHeight="1">
      <c r="A201" s="612"/>
      <c r="B201" s="682"/>
      <c r="C201" s="612"/>
      <c r="D201" s="612"/>
      <c r="E201" s="612"/>
      <c r="F201" s="612"/>
      <c r="G201" s="612"/>
      <c r="H201" s="612"/>
      <c r="I201" s="612"/>
      <c r="J201" s="612"/>
      <c r="K201" s="612"/>
      <c r="L201" s="612"/>
      <c r="M201" s="612"/>
      <c r="N201" s="612"/>
      <c r="O201" s="612"/>
      <c r="P201" s="612"/>
      <c r="Q201" s="612"/>
      <c r="R201" s="612"/>
      <c r="S201" s="612"/>
      <c r="T201" s="612"/>
      <c r="U201" s="612"/>
      <c r="V201" s="612"/>
      <c r="W201" s="612"/>
      <c r="X201" s="612"/>
      <c r="Y201" s="612"/>
      <c r="Z201" s="612"/>
      <c r="AA201" s="612"/>
    </row>
    <row r="202" ht="13.5" customHeight="1">
      <c r="A202" s="612"/>
      <c r="B202" s="682"/>
      <c r="C202" s="612"/>
      <c r="D202" s="612"/>
      <c r="E202" s="612"/>
      <c r="F202" s="612"/>
      <c r="G202" s="612"/>
      <c r="H202" s="612"/>
      <c r="I202" s="612"/>
      <c r="J202" s="612"/>
      <c r="K202" s="612"/>
      <c r="L202" s="612"/>
      <c r="M202" s="612"/>
      <c r="N202" s="612"/>
      <c r="O202" s="612"/>
      <c r="P202" s="612"/>
      <c r="Q202" s="612"/>
      <c r="R202" s="612"/>
      <c r="S202" s="612"/>
      <c r="T202" s="612"/>
      <c r="U202" s="612"/>
      <c r="V202" s="612"/>
      <c r="W202" s="612"/>
      <c r="X202" s="612"/>
      <c r="Y202" s="612"/>
      <c r="Z202" s="612"/>
      <c r="AA202" s="612"/>
    </row>
    <row r="203" ht="13.5" customHeight="1">
      <c r="A203" s="612"/>
      <c r="B203" s="682"/>
      <c r="C203" s="612"/>
      <c r="D203" s="612"/>
      <c r="E203" s="612"/>
      <c r="F203" s="612"/>
      <c r="G203" s="612"/>
      <c r="H203" s="612"/>
      <c r="I203" s="612"/>
      <c r="J203" s="612"/>
      <c r="K203" s="612"/>
      <c r="L203" s="612"/>
      <c r="M203" s="612"/>
      <c r="N203" s="612"/>
      <c r="O203" s="612"/>
      <c r="P203" s="612"/>
      <c r="Q203" s="612"/>
      <c r="R203" s="612"/>
      <c r="S203" s="612"/>
      <c r="T203" s="612"/>
      <c r="U203" s="612"/>
      <c r="V203" s="612"/>
      <c r="W203" s="612"/>
      <c r="X203" s="612"/>
      <c r="Y203" s="612"/>
      <c r="Z203" s="612"/>
      <c r="AA203" s="612"/>
    </row>
    <row r="204" ht="13.5" customHeight="1">
      <c r="A204" s="612"/>
      <c r="B204" s="682"/>
      <c r="C204" s="612"/>
      <c r="D204" s="612"/>
      <c r="E204" s="612"/>
      <c r="F204" s="612"/>
      <c r="G204" s="612"/>
      <c r="H204" s="612"/>
      <c r="I204" s="612"/>
      <c r="J204" s="612"/>
      <c r="K204" s="612"/>
      <c r="L204" s="612"/>
      <c r="M204" s="612"/>
      <c r="N204" s="612"/>
      <c r="O204" s="612"/>
      <c r="P204" s="612"/>
      <c r="Q204" s="612"/>
      <c r="R204" s="612"/>
      <c r="S204" s="612"/>
      <c r="T204" s="612"/>
      <c r="U204" s="612"/>
      <c r="V204" s="612"/>
      <c r="W204" s="612"/>
      <c r="X204" s="612"/>
      <c r="Y204" s="612"/>
      <c r="Z204" s="612"/>
      <c r="AA204" s="612"/>
    </row>
    <row r="205" ht="13.5" customHeight="1">
      <c r="A205" s="612"/>
      <c r="B205" s="68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612"/>
    </row>
    <row r="206" ht="13.5" customHeight="1">
      <c r="A206" s="612"/>
      <c r="B206" s="68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  <c r="AA206" s="612"/>
    </row>
    <row r="207" ht="13.5" customHeight="1">
      <c r="A207" s="612"/>
      <c r="B207" s="682"/>
      <c r="C207" s="612"/>
      <c r="D207" s="612"/>
      <c r="E207" s="612"/>
      <c r="F207" s="612"/>
      <c r="G207" s="612"/>
      <c r="H207" s="612"/>
      <c r="I207" s="612"/>
      <c r="J207" s="612"/>
      <c r="K207" s="612"/>
      <c r="L207" s="612"/>
      <c r="M207" s="612"/>
      <c r="N207" s="612"/>
      <c r="O207" s="612"/>
      <c r="P207" s="612"/>
      <c r="Q207" s="612"/>
      <c r="R207" s="612"/>
      <c r="S207" s="612"/>
      <c r="T207" s="612"/>
      <c r="U207" s="612"/>
      <c r="V207" s="612"/>
      <c r="W207" s="612"/>
      <c r="X207" s="612"/>
      <c r="Y207" s="612"/>
      <c r="Z207" s="612"/>
      <c r="AA207" s="612"/>
    </row>
    <row r="208" ht="13.5" customHeight="1">
      <c r="A208" s="612"/>
      <c r="B208" s="68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2"/>
      <c r="P208" s="612"/>
      <c r="Q208" s="612"/>
      <c r="R208" s="612"/>
      <c r="S208" s="612"/>
      <c r="T208" s="612"/>
      <c r="U208" s="612"/>
      <c r="V208" s="612"/>
      <c r="W208" s="612"/>
      <c r="X208" s="612"/>
      <c r="Y208" s="612"/>
      <c r="Z208" s="612"/>
      <c r="AA208" s="612"/>
    </row>
    <row r="209" ht="13.5" customHeight="1">
      <c r="A209" s="612"/>
      <c r="B209" s="68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2"/>
      <c r="P209" s="612"/>
      <c r="Q209" s="612"/>
      <c r="R209" s="612"/>
      <c r="S209" s="612"/>
      <c r="T209" s="612"/>
      <c r="U209" s="612"/>
      <c r="V209" s="612"/>
      <c r="W209" s="612"/>
      <c r="X209" s="612"/>
      <c r="Y209" s="612"/>
      <c r="Z209" s="612"/>
      <c r="AA209" s="612"/>
    </row>
    <row r="210" ht="13.5" customHeight="1">
      <c r="A210" s="612"/>
      <c r="B210" s="68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612"/>
    </row>
    <row r="211" ht="13.5" customHeight="1">
      <c r="A211" s="612"/>
      <c r="B211" s="682"/>
      <c r="C211" s="612"/>
      <c r="D211" s="612"/>
      <c r="E211" s="612"/>
      <c r="F211" s="612"/>
      <c r="G211" s="612"/>
      <c r="H211" s="612"/>
      <c r="I211" s="612"/>
      <c r="J211" s="612"/>
      <c r="K211" s="612"/>
      <c r="L211" s="612"/>
      <c r="M211" s="612"/>
      <c r="N211" s="612"/>
      <c r="O211" s="612"/>
      <c r="P211" s="612"/>
      <c r="Q211" s="612"/>
      <c r="R211" s="612"/>
      <c r="S211" s="612"/>
      <c r="T211" s="612"/>
      <c r="U211" s="612"/>
      <c r="V211" s="612"/>
      <c r="W211" s="612"/>
      <c r="X211" s="612"/>
      <c r="Y211" s="612"/>
      <c r="Z211" s="612"/>
      <c r="AA211" s="612"/>
    </row>
    <row r="212" ht="13.5" customHeight="1">
      <c r="A212" s="612"/>
      <c r="B212" s="682"/>
      <c r="C212" s="612"/>
      <c r="D212" s="612"/>
      <c r="E212" s="612"/>
      <c r="F212" s="612"/>
      <c r="G212" s="612"/>
      <c r="H212" s="612"/>
      <c r="I212" s="612"/>
      <c r="J212" s="612"/>
      <c r="K212" s="612"/>
      <c r="L212" s="612"/>
      <c r="M212" s="612"/>
      <c r="N212" s="612"/>
      <c r="O212" s="612"/>
      <c r="P212" s="612"/>
      <c r="Q212" s="612"/>
      <c r="R212" s="612"/>
      <c r="S212" s="612"/>
      <c r="T212" s="612"/>
      <c r="U212" s="612"/>
      <c r="V212" s="612"/>
      <c r="W212" s="612"/>
      <c r="X212" s="612"/>
      <c r="Y212" s="612"/>
      <c r="Z212" s="612"/>
      <c r="AA212" s="612"/>
    </row>
    <row r="213" ht="13.5" customHeight="1">
      <c r="A213" s="612"/>
      <c r="B213" s="682"/>
      <c r="C213" s="612"/>
      <c r="D213" s="612"/>
      <c r="E213" s="612"/>
      <c r="F213" s="612"/>
      <c r="G213" s="612"/>
      <c r="H213" s="612"/>
      <c r="I213" s="612"/>
      <c r="J213" s="612"/>
      <c r="K213" s="612"/>
      <c r="L213" s="612"/>
      <c r="M213" s="612"/>
      <c r="N213" s="612"/>
      <c r="O213" s="612"/>
      <c r="P213" s="612"/>
      <c r="Q213" s="612"/>
      <c r="R213" s="612"/>
      <c r="S213" s="612"/>
      <c r="T213" s="612"/>
      <c r="U213" s="612"/>
      <c r="V213" s="612"/>
      <c r="W213" s="612"/>
      <c r="X213" s="612"/>
      <c r="Y213" s="612"/>
      <c r="Z213" s="612"/>
      <c r="AA213" s="612"/>
    </row>
    <row r="214" ht="13.5" customHeight="1">
      <c r="A214" s="612"/>
      <c r="B214" s="682"/>
      <c r="C214" s="612"/>
      <c r="D214" s="612"/>
      <c r="E214" s="612"/>
      <c r="F214" s="612"/>
      <c r="G214" s="612"/>
      <c r="H214" s="612"/>
      <c r="I214" s="612"/>
      <c r="J214" s="612"/>
      <c r="K214" s="612"/>
      <c r="L214" s="612"/>
      <c r="M214" s="612"/>
      <c r="N214" s="612"/>
      <c r="O214" s="612"/>
      <c r="P214" s="612"/>
      <c r="Q214" s="612"/>
      <c r="R214" s="612"/>
      <c r="S214" s="612"/>
      <c r="T214" s="612"/>
      <c r="U214" s="612"/>
      <c r="V214" s="612"/>
      <c r="W214" s="612"/>
      <c r="X214" s="612"/>
      <c r="Y214" s="612"/>
      <c r="Z214" s="612"/>
      <c r="AA214" s="612"/>
    </row>
    <row r="215" ht="13.5" customHeight="1">
      <c r="A215" s="612"/>
      <c r="B215" s="682"/>
      <c r="C215" s="612"/>
      <c r="D215" s="612"/>
      <c r="E215" s="612"/>
      <c r="F215" s="612"/>
      <c r="G215" s="612"/>
      <c r="H215" s="612"/>
      <c r="I215" s="612"/>
      <c r="J215" s="612"/>
      <c r="K215" s="612"/>
      <c r="L215" s="612"/>
      <c r="M215" s="612"/>
      <c r="N215" s="612"/>
      <c r="O215" s="612"/>
      <c r="P215" s="612"/>
      <c r="Q215" s="612"/>
      <c r="R215" s="612"/>
      <c r="S215" s="612"/>
      <c r="T215" s="612"/>
      <c r="U215" s="612"/>
      <c r="V215" s="612"/>
      <c r="W215" s="612"/>
      <c r="X215" s="612"/>
      <c r="Y215" s="612"/>
      <c r="Z215" s="612"/>
      <c r="AA215" s="612"/>
    </row>
    <row r="216" ht="13.5" customHeight="1">
      <c r="A216" s="612"/>
      <c r="B216" s="682"/>
      <c r="C216" s="612"/>
      <c r="D216" s="612"/>
      <c r="E216" s="612"/>
      <c r="F216" s="612"/>
      <c r="G216" s="612"/>
      <c r="H216" s="612"/>
      <c r="I216" s="612"/>
      <c r="J216" s="612"/>
      <c r="K216" s="612"/>
      <c r="L216" s="612"/>
      <c r="M216" s="612"/>
      <c r="N216" s="612"/>
      <c r="O216" s="612"/>
      <c r="P216" s="612"/>
      <c r="Q216" s="612"/>
      <c r="R216" s="612"/>
      <c r="S216" s="612"/>
      <c r="T216" s="612"/>
      <c r="U216" s="612"/>
      <c r="V216" s="612"/>
      <c r="W216" s="612"/>
      <c r="X216" s="612"/>
      <c r="Y216" s="612"/>
      <c r="Z216" s="612"/>
      <c r="AA216" s="612"/>
    </row>
    <row r="217" ht="13.5" customHeight="1">
      <c r="A217" s="612"/>
      <c r="B217" s="682"/>
      <c r="C217" s="612"/>
      <c r="D217" s="612"/>
      <c r="E217" s="612"/>
      <c r="F217" s="612"/>
      <c r="G217" s="612"/>
      <c r="H217" s="612"/>
      <c r="I217" s="612"/>
      <c r="J217" s="612"/>
      <c r="K217" s="612"/>
      <c r="L217" s="612"/>
      <c r="M217" s="612"/>
      <c r="N217" s="612"/>
      <c r="O217" s="612"/>
      <c r="P217" s="612"/>
      <c r="Q217" s="612"/>
      <c r="R217" s="612"/>
      <c r="S217" s="612"/>
      <c r="T217" s="612"/>
      <c r="U217" s="612"/>
      <c r="V217" s="612"/>
      <c r="W217" s="612"/>
      <c r="X217" s="612"/>
      <c r="Y217" s="612"/>
      <c r="Z217" s="612"/>
      <c r="AA217" s="612"/>
    </row>
    <row r="218" ht="13.5" customHeight="1">
      <c r="A218" s="612"/>
      <c r="B218" s="682"/>
      <c r="C218" s="612"/>
      <c r="D218" s="612"/>
      <c r="E218" s="612"/>
      <c r="F218" s="612"/>
      <c r="G218" s="612"/>
      <c r="H218" s="612"/>
      <c r="I218" s="612"/>
      <c r="J218" s="612"/>
      <c r="K218" s="612"/>
      <c r="L218" s="612"/>
      <c r="M218" s="612"/>
      <c r="N218" s="612"/>
      <c r="O218" s="612"/>
      <c r="P218" s="612"/>
      <c r="Q218" s="612"/>
      <c r="R218" s="612"/>
      <c r="S218" s="612"/>
      <c r="T218" s="612"/>
      <c r="U218" s="612"/>
      <c r="V218" s="612"/>
      <c r="W218" s="612"/>
      <c r="X218" s="612"/>
      <c r="Y218" s="612"/>
      <c r="Z218" s="612"/>
      <c r="AA218" s="612"/>
    </row>
    <row r="219" ht="13.5" customHeight="1">
      <c r="A219" s="612"/>
      <c r="B219" s="682"/>
      <c r="C219" s="612"/>
      <c r="D219" s="612"/>
      <c r="E219" s="612"/>
      <c r="F219" s="612"/>
      <c r="G219" s="612"/>
      <c r="H219" s="612"/>
      <c r="I219" s="612"/>
      <c r="J219" s="612"/>
      <c r="K219" s="612"/>
      <c r="L219" s="612"/>
      <c r="M219" s="612"/>
      <c r="N219" s="612"/>
      <c r="O219" s="612"/>
      <c r="P219" s="612"/>
      <c r="Q219" s="612"/>
      <c r="R219" s="612"/>
      <c r="S219" s="612"/>
      <c r="T219" s="612"/>
      <c r="U219" s="612"/>
      <c r="V219" s="612"/>
      <c r="W219" s="612"/>
      <c r="X219" s="612"/>
      <c r="Y219" s="612"/>
      <c r="Z219" s="612"/>
      <c r="AA219" s="612"/>
    </row>
    <row r="220" ht="13.5" customHeight="1">
      <c r="A220" s="612"/>
      <c r="B220" s="682"/>
      <c r="C220" s="612"/>
      <c r="D220" s="612"/>
      <c r="E220" s="612"/>
      <c r="F220" s="612"/>
      <c r="G220" s="612"/>
      <c r="H220" s="612"/>
      <c r="I220" s="612"/>
      <c r="J220" s="612"/>
      <c r="K220" s="612"/>
      <c r="L220" s="612"/>
      <c r="M220" s="612"/>
      <c r="N220" s="612"/>
      <c r="O220" s="612"/>
      <c r="P220" s="612"/>
      <c r="Q220" s="612"/>
      <c r="R220" s="612"/>
      <c r="S220" s="612"/>
      <c r="T220" s="612"/>
      <c r="U220" s="612"/>
      <c r="V220" s="612"/>
      <c r="W220" s="612"/>
      <c r="X220" s="612"/>
      <c r="Y220" s="612"/>
      <c r="Z220" s="612"/>
      <c r="AA220" s="612"/>
    </row>
    <row r="221" ht="13.5" customHeight="1">
      <c r="A221" s="612"/>
      <c r="B221" s="682"/>
      <c r="C221" s="612"/>
      <c r="D221" s="612"/>
      <c r="E221" s="612"/>
      <c r="F221" s="612"/>
      <c r="G221" s="612"/>
      <c r="H221" s="612"/>
      <c r="I221" s="612"/>
      <c r="J221" s="612"/>
      <c r="K221" s="612"/>
      <c r="L221" s="612"/>
      <c r="M221" s="612"/>
      <c r="N221" s="612"/>
      <c r="O221" s="612"/>
      <c r="P221" s="612"/>
      <c r="Q221" s="612"/>
      <c r="R221" s="612"/>
      <c r="S221" s="612"/>
      <c r="T221" s="612"/>
      <c r="U221" s="612"/>
      <c r="V221" s="612"/>
      <c r="W221" s="612"/>
      <c r="X221" s="612"/>
      <c r="Y221" s="612"/>
      <c r="Z221" s="612"/>
      <c r="AA221" s="612"/>
    </row>
    <row r="222" ht="13.5" customHeight="1">
      <c r="A222" s="612"/>
      <c r="B222" s="682"/>
      <c r="C222" s="612"/>
      <c r="D222" s="612"/>
      <c r="E222" s="612"/>
      <c r="F222" s="612"/>
      <c r="G222" s="612"/>
      <c r="H222" s="612"/>
      <c r="I222" s="612"/>
      <c r="J222" s="612"/>
      <c r="K222" s="612"/>
      <c r="L222" s="612"/>
      <c r="M222" s="612"/>
      <c r="N222" s="612"/>
      <c r="O222" s="612"/>
      <c r="P222" s="612"/>
      <c r="Q222" s="612"/>
      <c r="R222" s="612"/>
      <c r="S222" s="612"/>
      <c r="T222" s="612"/>
      <c r="U222" s="612"/>
      <c r="V222" s="612"/>
      <c r="W222" s="612"/>
      <c r="X222" s="612"/>
      <c r="Y222" s="612"/>
      <c r="Z222" s="612"/>
      <c r="AA222" s="612"/>
    </row>
    <row r="223" ht="13.5" customHeight="1">
      <c r="A223" s="612"/>
      <c r="B223" s="682"/>
      <c r="C223" s="612"/>
      <c r="D223" s="612"/>
      <c r="E223" s="612"/>
      <c r="F223" s="612"/>
      <c r="G223" s="612"/>
      <c r="H223" s="612"/>
      <c r="I223" s="612"/>
      <c r="J223" s="612"/>
      <c r="K223" s="612"/>
      <c r="L223" s="612"/>
      <c r="M223" s="612"/>
      <c r="N223" s="612"/>
      <c r="O223" s="612"/>
      <c r="P223" s="612"/>
      <c r="Q223" s="612"/>
      <c r="R223" s="612"/>
      <c r="S223" s="612"/>
      <c r="T223" s="612"/>
      <c r="U223" s="612"/>
      <c r="V223" s="612"/>
      <c r="W223" s="612"/>
      <c r="X223" s="612"/>
      <c r="Y223" s="612"/>
      <c r="Z223" s="612"/>
      <c r="AA223" s="612"/>
    </row>
    <row r="224" ht="13.5" customHeight="1">
      <c r="A224" s="612"/>
      <c r="B224" s="682"/>
      <c r="C224" s="612"/>
      <c r="D224" s="612"/>
      <c r="E224" s="612"/>
      <c r="F224" s="612"/>
      <c r="G224" s="612"/>
      <c r="H224" s="612"/>
      <c r="I224" s="612"/>
      <c r="J224" s="612"/>
      <c r="K224" s="612"/>
      <c r="L224" s="612"/>
      <c r="M224" s="612"/>
      <c r="N224" s="612"/>
      <c r="O224" s="612"/>
      <c r="P224" s="612"/>
      <c r="Q224" s="612"/>
      <c r="R224" s="612"/>
      <c r="S224" s="612"/>
      <c r="T224" s="612"/>
      <c r="U224" s="612"/>
      <c r="V224" s="612"/>
      <c r="W224" s="612"/>
      <c r="X224" s="612"/>
      <c r="Y224" s="612"/>
      <c r="Z224" s="612"/>
      <c r="AA224" s="612"/>
    </row>
    <row r="225" ht="13.5" customHeight="1">
      <c r="A225" s="612"/>
      <c r="B225" s="68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2"/>
      <c r="P225" s="612"/>
      <c r="Q225" s="612"/>
      <c r="R225" s="612"/>
      <c r="S225" s="612"/>
      <c r="T225" s="612"/>
      <c r="U225" s="612"/>
      <c r="V225" s="612"/>
      <c r="W225" s="612"/>
      <c r="X225" s="612"/>
      <c r="Y225" s="612"/>
      <c r="Z225" s="612"/>
      <c r="AA225" s="612"/>
    </row>
    <row r="226" ht="13.5" customHeight="1">
      <c r="A226" s="612"/>
      <c r="B226" s="68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2"/>
      <c r="P226" s="612"/>
      <c r="Q226" s="612"/>
      <c r="R226" s="612"/>
      <c r="S226" s="612"/>
      <c r="T226" s="612"/>
      <c r="U226" s="612"/>
      <c r="V226" s="612"/>
      <c r="W226" s="612"/>
      <c r="X226" s="612"/>
      <c r="Y226" s="612"/>
      <c r="Z226" s="612"/>
      <c r="AA226" s="612"/>
    </row>
    <row r="227" ht="13.5" customHeight="1">
      <c r="A227" s="612"/>
      <c r="B227" s="68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  <c r="AA227" s="612"/>
    </row>
    <row r="228" ht="13.5" customHeight="1">
      <c r="A228" s="612"/>
      <c r="B228" s="682"/>
      <c r="C228" s="612"/>
      <c r="D228" s="612"/>
      <c r="E228" s="612"/>
      <c r="F228" s="612"/>
      <c r="G228" s="612"/>
      <c r="H228" s="612"/>
      <c r="I228" s="612"/>
      <c r="J228" s="612"/>
      <c r="K228" s="612"/>
      <c r="L228" s="612"/>
      <c r="M228" s="612"/>
      <c r="N228" s="612"/>
      <c r="O228" s="612"/>
      <c r="P228" s="612"/>
      <c r="Q228" s="612"/>
      <c r="R228" s="612"/>
      <c r="S228" s="612"/>
      <c r="T228" s="612"/>
      <c r="U228" s="612"/>
      <c r="V228" s="612"/>
      <c r="W228" s="612"/>
      <c r="X228" s="612"/>
      <c r="Y228" s="612"/>
      <c r="Z228" s="612"/>
      <c r="AA228" s="612"/>
    </row>
    <row r="229" ht="13.5" customHeight="1">
      <c r="A229" s="612"/>
      <c r="B229" s="682"/>
      <c r="C229" s="612"/>
      <c r="D229" s="612"/>
      <c r="E229" s="612"/>
      <c r="F229" s="612"/>
      <c r="G229" s="612"/>
      <c r="H229" s="612"/>
      <c r="I229" s="612"/>
      <c r="J229" s="612"/>
      <c r="K229" s="612"/>
      <c r="L229" s="612"/>
      <c r="M229" s="612"/>
      <c r="N229" s="612"/>
      <c r="O229" s="612"/>
      <c r="P229" s="612"/>
      <c r="Q229" s="612"/>
      <c r="R229" s="612"/>
      <c r="S229" s="612"/>
      <c r="T229" s="612"/>
      <c r="U229" s="612"/>
      <c r="V229" s="612"/>
      <c r="W229" s="612"/>
      <c r="X229" s="612"/>
      <c r="Y229" s="612"/>
      <c r="Z229" s="612"/>
      <c r="AA229" s="612"/>
    </row>
    <row r="230" ht="13.5" customHeight="1">
      <c r="A230" s="612"/>
      <c r="B230" s="682"/>
      <c r="C230" s="612"/>
      <c r="D230" s="612"/>
      <c r="E230" s="612"/>
      <c r="F230" s="612"/>
      <c r="G230" s="612"/>
      <c r="H230" s="612"/>
      <c r="I230" s="612"/>
      <c r="J230" s="612"/>
      <c r="K230" s="612"/>
      <c r="L230" s="612"/>
      <c r="M230" s="612"/>
      <c r="N230" s="612"/>
      <c r="O230" s="612"/>
      <c r="P230" s="612"/>
      <c r="Q230" s="612"/>
      <c r="R230" s="612"/>
      <c r="S230" s="612"/>
      <c r="T230" s="612"/>
      <c r="U230" s="612"/>
      <c r="V230" s="612"/>
      <c r="W230" s="612"/>
      <c r="X230" s="612"/>
      <c r="Y230" s="612"/>
      <c r="Z230" s="612"/>
      <c r="AA230" s="612"/>
    </row>
    <row r="231" ht="13.5" customHeight="1">
      <c r="A231" s="612"/>
      <c r="B231" s="682"/>
      <c r="C231" s="612"/>
      <c r="D231" s="612"/>
      <c r="E231" s="612"/>
      <c r="F231" s="612"/>
      <c r="G231" s="612"/>
      <c r="H231" s="612"/>
      <c r="I231" s="612"/>
      <c r="J231" s="612"/>
      <c r="K231" s="612"/>
      <c r="L231" s="612"/>
      <c r="M231" s="612"/>
      <c r="N231" s="612"/>
      <c r="O231" s="612"/>
      <c r="P231" s="612"/>
      <c r="Q231" s="612"/>
      <c r="R231" s="612"/>
      <c r="S231" s="612"/>
      <c r="T231" s="612"/>
      <c r="U231" s="612"/>
      <c r="V231" s="612"/>
      <c r="W231" s="612"/>
      <c r="X231" s="612"/>
      <c r="Y231" s="612"/>
      <c r="Z231" s="612"/>
      <c r="AA231" s="612"/>
    </row>
    <row r="232" ht="13.5" customHeight="1">
      <c r="A232" s="612"/>
      <c r="B232" s="68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  <c r="AA232" s="612"/>
    </row>
    <row r="233" ht="13.5" customHeight="1">
      <c r="A233" s="612"/>
      <c r="B233" s="682"/>
      <c r="C233" s="612"/>
      <c r="D233" s="612"/>
      <c r="E233" s="612"/>
      <c r="F233" s="612"/>
      <c r="G233" s="612"/>
      <c r="H233" s="612"/>
      <c r="I233" s="612"/>
      <c r="J233" s="612"/>
      <c r="K233" s="612"/>
      <c r="L233" s="612"/>
      <c r="M233" s="612"/>
      <c r="N233" s="612"/>
      <c r="O233" s="612"/>
      <c r="P233" s="612"/>
      <c r="Q233" s="612"/>
      <c r="R233" s="612"/>
      <c r="S233" s="612"/>
      <c r="T233" s="612"/>
      <c r="U233" s="612"/>
      <c r="V233" s="612"/>
      <c r="W233" s="612"/>
      <c r="X233" s="612"/>
      <c r="Y233" s="612"/>
      <c r="Z233" s="612"/>
      <c r="AA233" s="612"/>
    </row>
    <row r="234" ht="13.5" customHeight="1">
      <c r="A234" s="612"/>
      <c r="B234" s="682"/>
      <c r="C234" s="612"/>
      <c r="D234" s="612"/>
      <c r="E234" s="612"/>
      <c r="F234" s="612"/>
      <c r="G234" s="612"/>
      <c r="H234" s="612"/>
      <c r="I234" s="612"/>
      <c r="J234" s="612"/>
      <c r="K234" s="612"/>
      <c r="L234" s="612"/>
      <c r="M234" s="612"/>
      <c r="N234" s="612"/>
      <c r="O234" s="612"/>
      <c r="P234" s="612"/>
      <c r="Q234" s="612"/>
      <c r="R234" s="612"/>
      <c r="S234" s="612"/>
      <c r="T234" s="612"/>
      <c r="U234" s="612"/>
      <c r="V234" s="612"/>
      <c r="W234" s="612"/>
      <c r="X234" s="612"/>
      <c r="Y234" s="612"/>
      <c r="Z234" s="612"/>
      <c r="AA234" s="612"/>
    </row>
    <row r="235" ht="13.5" customHeight="1">
      <c r="A235" s="612"/>
      <c r="B235" s="682"/>
      <c r="C235" s="612"/>
      <c r="D235" s="612"/>
      <c r="E235" s="612"/>
      <c r="F235" s="612"/>
      <c r="G235" s="612"/>
      <c r="H235" s="612"/>
      <c r="I235" s="612"/>
      <c r="J235" s="612"/>
      <c r="K235" s="612"/>
      <c r="L235" s="612"/>
      <c r="M235" s="612"/>
      <c r="N235" s="612"/>
      <c r="O235" s="612"/>
      <c r="P235" s="612"/>
      <c r="Q235" s="612"/>
      <c r="R235" s="612"/>
      <c r="S235" s="612"/>
      <c r="T235" s="612"/>
      <c r="U235" s="612"/>
      <c r="V235" s="612"/>
      <c r="W235" s="612"/>
      <c r="X235" s="612"/>
      <c r="Y235" s="612"/>
      <c r="Z235" s="612"/>
      <c r="AA235" s="612"/>
    </row>
    <row r="236" ht="13.5" customHeight="1">
      <c r="A236" s="612"/>
      <c r="B236" s="682"/>
      <c r="C236" s="612"/>
      <c r="D236" s="612"/>
      <c r="E236" s="612"/>
      <c r="F236" s="612"/>
      <c r="G236" s="612"/>
      <c r="H236" s="612"/>
      <c r="I236" s="612"/>
      <c r="J236" s="612"/>
      <c r="K236" s="612"/>
      <c r="L236" s="612"/>
      <c r="M236" s="612"/>
      <c r="N236" s="612"/>
      <c r="O236" s="612"/>
      <c r="P236" s="612"/>
      <c r="Q236" s="612"/>
      <c r="R236" s="612"/>
      <c r="S236" s="612"/>
      <c r="T236" s="612"/>
      <c r="U236" s="612"/>
      <c r="V236" s="612"/>
      <c r="W236" s="612"/>
      <c r="X236" s="612"/>
      <c r="Y236" s="612"/>
      <c r="Z236" s="612"/>
      <c r="AA236" s="612"/>
    </row>
    <row r="237" ht="13.5" customHeight="1">
      <c r="A237" s="612"/>
      <c r="B237" s="682"/>
      <c r="C237" s="612"/>
      <c r="D237" s="612"/>
      <c r="E237" s="612"/>
      <c r="F237" s="612"/>
      <c r="G237" s="612"/>
      <c r="H237" s="612"/>
      <c r="I237" s="612"/>
      <c r="J237" s="612"/>
      <c r="K237" s="612"/>
      <c r="L237" s="612"/>
      <c r="M237" s="612"/>
      <c r="N237" s="612"/>
      <c r="O237" s="612"/>
      <c r="P237" s="612"/>
      <c r="Q237" s="612"/>
      <c r="R237" s="612"/>
      <c r="S237" s="612"/>
      <c r="T237" s="612"/>
      <c r="U237" s="612"/>
      <c r="V237" s="612"/>
      <c r="W237" s="612"/>
      <c r="X237" s="612"/>
      <c r="Y237" s="612"/>
      <c r="Z237" s="612"/>
      <c r="AA237" s="612"/>
    </row>
    <row r="238" ht="13.5" customHeight="1">
      <c r="A238" s="612"/>
      <c r="B238" s="68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612"/>
    </row>
    <row r="239" ht="13.5" customHeight="1">
      <c r="A239" s="612"/>
      <c r="B239" s="682"/>
      <c r="C239" s="612"/>
      <c r="D239" s="612"/>
      <c r="E239" s="612"/>
      <c r="F239" s="612"/>
      <c r="G239" s="612"/>
      <c r="H239" s="612"/>
      <c r="I239" s="612"/>
      <c r="J239" s="612"/>
      <c r="K239" s="612"/>
      <c r="L239" s="612"/>
      <c r="M239" s="612"/>
      <c r="N239" s="612"/>
      <c r="O239" s="612"/>
      <c r="P239" s="612"/>
      <c r="Q239" s="612"/>
      <c r="R239" s="612"/>
      <c r="S239" s="612"/>
      <c r="T239" s="612"/>
      <c r="U239" s="612"/>
      <c r="V239" s="612"/>
      <c r="W239" s="612"/>
      <c r="X239" s="612"/>
      <c r="Y239" s="612"/>
      <c r="Z239" s="612"/>
      <c r="AA239" s="612"/>
    </row>
    <row r="240" ht="13.5" customHeight="1">
      <c r="A240" s="612"/>
      <c r="B240" s="682"/>
      <c r="C240" s="612"/>
      <c r="D240" s="612"/>
      <c r="E240" s="612"/>
      <c r="F240" s="612"/>
      <c r="G240" s="612"/>
      <c r="H240" s="612"/>
      <c r="I240" s="612"/>
      <c r="J240" s="612"/>
      <c r="K240" s="612"/>
      <c r="L240" s="612"/>
      <c r="M240" s="612"/>
      <c r="N240" s="612"/>
      <c r="O240" s="612"/>
      <c r="P240" s="612"/>
      <c r="Q240" s="612"/>
      <c r="R240" s="612"/>
      <c r="S240" s="612"/>
      <c r="T240" s="612"/>
      <c r="U240" s="612"/>
      <c r="V240" s="612"/>
      <c r="W240" s="612"/>
      <c r="X240" s="612"/>
      <c r="Y240" s="612"/>
      <c r="Z240" s="612"/>
      <c r="AA240" s="612"/>
    </row>
    <row r="241" ht="13.5" customHeight="1">
      <c r="A241" s="612"/>
      <c r="B241" s="682"/>
      <c r="C241" s="612"/>
      <c r="D241" s="612"/>
      <c r="E241" s="612"/>
      <c r="F241" s="612"/>
      <c r="G241" s="612"/>
      <c r="H241" s="612"/>
      <c r="I241" s="612"/>
      <c r="J241" s="612"/>
      <c r="K241" s="612"/>
      <c r="L241" s="612"/>
      <c r="M241" s="612"/>
      <c r="N241" s="612"/>
      <c r="O241" s="612"/>
      <c r="P241" s="612"/>
      <c r="Q241" s="612"/>
      <c r="R241" s="612"/>
      <c r="S241" s="612"/>
      <c r="T241" s="612"/>
      <c r="U241" s="612"/>
      <c r="V241" s="612"/>
      <c r="W241" s="612"/>
      <c r="X241" s="612"/>
      <c r="Y241" s="612"/>
      <c r="Z241" s="612"/>
      <c r="AA241" s="612"/>
    </row>
    <row r="242" ht="13.5" customHeight="1">
      <c r="A242" s="612"/>
      <c r="B242" s="682"/>
      <c r="C242" s="612"/>
      <c r="D242" s="612"/>
      <c r="E242" s="612"/>
      <c r="F242" s="612"/>
      <c r="G242" s="612"/>
      <c r="H242" s="612"/>
      <c r="I242" s="612"/>
      <c r="J242" s="612"/>
      <c r="K242" s="612"/>
      <c r="L242" s="612"/>
      <c r="M242" s="612"/>
      <c r="N242" s="612"/>
      <c r="O242" s="612"/>
      <c r="P242" s="612"/>
      <c r="Q242" s="612"/>
      <c r="R242" s="612"/>
      <c r="S242" s="612"/>
      <c r="T242" s="612"/>
      <c r="U242" s="612"/>
      <c r="V242" s="612"/>
      <c r="W242" s="612"/>
      <c r="X242" s="612"/>
      <c r="Y242" s="612"/>
      <c r="Z242" s="612"/>
      <c r="AA242" s="612"/>
    </row>
    <row r="243" ht="13.5" customHeight="1">
      <c r="A243" s="612"/>
      <c r="B243" s="68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612"/>
    </row>
    <row r="244" ht="13.5" customHeight="1">
      <c r="A244" s="612"/>
      <c r="B244" s="682"/>
      <c r="C244" s="612"/>
      <c r="D244" s="612"/>
      <c r="E244" s="612"/>
      <c r="F244" s="612"/>
      <c r="G244" s="612"/>
      <c r="H244" s="612"/>
      <c r="I244" s="612"/>
      <c r="J244" s="612"/>
      <c r="K244" s="612"/>
      <c r="L244" s="612"/>
      <c r="M244" s="612"/>
      <c r="N244" s="612"/>
      <c r="O244" s="612"/>
      <c r="P244" s="612"/>
      <c r="Q244" s="612"/>
      <c r="R244" s="612"/>
      <c r="S244" s="612"/>
      <c r="T244" s="612"/>
      <c r="U244" s="612"/>
      <c r="V244" s="612"/>
      <c r="W244" s="612"/>
      <c r="X244" s="612"/>
      <c r="Y244" s="612"/>
      <c r="Z244" s="612"/>
      <c r="AA244" s="612"/>
    </row>
    <row r="245" ht="13.5" customHeight="1">
      <c r="A245" s="612"/>
      <c r="B245" s="682"/>
      <c r="C245" s="612"/>
      <c r="D245" s="612"/>
      <c r="E245" s="612"/>
      <c r="F245" s="612"/>
      <c r="G245" s="612"/>
      <c r="H245" s="612"/>
      <c r="I245" s="612"/>
      <c r="J245" s="612"/>
      <c r="K245" s="612"/>
      <c r="L245" s="612"/>
      <c r="M245" s="612"/>
      <c r="N245" s="612"/>
      <c r="O245" s="612"/>
      <c r="P245" s="612"/>
      <c r="Q245" s="612"/>
      <c r="R245" s="612"/>
      <c r="S245" s="612"/>
      <c r="T245" s="612"/>
      <c r="U245" s="612"/>
      <c r="V245" s="612"/>
      <c r="W245" s="612"/>
      <c r="X245" s="612"/>
      <c r="Y245" s="612"/>
      <c r="Z245" s="612"/>
      <c r="AA245" s="612"/>
    </row>
    <row r="246" ht="13.5" customHeight="1">
      <c r="A246" s="612"/>
      <c r="B246" s="682"/>
      <c r="C246" s="612"/>
      <c r="D246" s="612"/>
      <c r="E246" s="612"/>
      <c r="F246" s="612"/>
      <c r="G246" s="612"/>
      <c r="H246" s="612"/>
      <c r="I246" s="612"/>
      <c r="J246" s="612"/>
      <c r="K246" s="612"/>
      <c r="L246" s="612"/>
      <c r="M246" s="612"/>
      <c r="N246" s="612"/>
      <c r="O246" s="612"/>
      <c r="P246" s="612"/>
      <c r="Q246" s="612"/>
      <c r="R246" s="612"/>
      <c r="S246" s="612"/>
      <c r="T246" s="612"/>
      <c r="U246" s="612"/>
      <c r="V246" s="612"/>
      <c r="W246" s="612"/>
      <c r="X246" s="612"/>
      <c r="Y246" s="612"/>
      <c r="Z246" s="612"/>
      <c r="AA246" s="612"/>
    </row>
    <row r="247" ht="13.5" customHeight="1">
      <c r="A247" s="612"/>
      <c r="B247" s="682"/>
      <c r="C247" s="612"/>
      <c r="D247" s="612"/>
      <c r="E247" s="612"/>
      <c r="F247" s="612"/>
      <c r="G247" s="612"/>
      <c r="H247" s="612"/>
      <c r="I247" s="612"/>
      <c r="J247" s="612"/>
      <c r="K247" s="612"/>
      <c r="L247" s="612"/>
      <c r="M247" s="612"/>
      <c r="N247" s="612"/>
      <c r="O247" s="612"/>
      <c r="P247" s="612"/>
      <c r="Q247" s="612"/>
      <c r="R247" s="612"/>
      <c r="S247" s="612"/>
      <c r="T247" s="612"/>
      <c r="U247" s="612"/>
      <c r="V247" s="612"/>
      <c r="W247" s="612"/>
      <c r="X247" s="612"/>
      <c r="Y247" s="612"/>
      <c r="Z247" s="612"/>
      <c r="AA247" s="612"/>
    </row>
    <row r="248" ht="13.5" customHeight="1">
      <c r="A248" s="612"/>
      <c r="B248" s="682"/>
      <c r="C248" s="612"/>
      <c r="D248" s="612"/>
      <c r="E248" s="612"/>
      <c r="F248" s="612"/>
      <c r="G248" s="612"/>
      <c r="H248" s="612"/>
      <c r="I248" s="612"/>
      <c r="J248" s="612"/>
      <c r="K248" s="612"/>
      <c r="L248" s="612"/>
      <c r="M248" s="612"/>
      <c r="N248" s="612"/>
      <c r="O248" s="612"/>
      <c r="P248" s="612"/>
      <c r="Q248" s="612"/>
      <c r="R248" s="612"/>
      <c r="S248" s="612"/>
      <c r="T248" s="612"/>
      <c r="U248" s="612"/>
      <c r="V248" s="612"/>
      <c r="W248" s="612"/>
      <c r="X248" s="612"/>
      <c r="Y248" s="612"/>
      <c r="Z248" s="612"/>
      <c r="AA248" s="612"/>
    </row>
    <row r="249" ht="13.5" customHeight="1">
      <c r="A249" s="612"/>
      <c r="B249" s="682"/>
      <c r="C249" s="612"/>
      <c r="D249" s="612"/>
      <c r="E249" s="612"/>
      <c r="F249" s="612"/>
      <c r="G249" s="612"/>
      <c r="H249" s="612"/>
      <c r="I249" s="612"/>
      <c r="J249" s="612"/>
      <c r="K249" s="612"/>
      <c r="L249" s="612"/>
      <c r="M249" s="612"/>
      <c r="N249" s="612"/>
      <c r="O249" s="612"/>
      <c r="P249" s="612"/>
      <c r="Q249" s="612"/>
      <c r="R249" s="612"/>
      <c r="S249" s="612"/>
      <c r="T249" s="612"/>
      <c r="U249" s="612"/>
      <c r="V249" s="612"/>
      <c r="W249" s="612"/>
      <c r="X249" s="612"/>
      <c r="Y249" s="612"/>
      <c r="Z249" s="612"/>
      <c r="AA249" s="612"/>
    </row>
    <row r="250" ht="13.5" customHeight="1">
      <c r="A250" s="612"/>
      <c r="B250" s="682"/>
      <c r="C250" s="612"/>
      <c r="D250" s="612"/>
      <c r="E250" s="612"/>
      <c r="F250" s="612"/>
      <c r="G250" s="612"/>
      <c r="H250" s="612"/>
      <c r="I250" s="612"/>
      <c r="J250" s="612"/>
      <c r="K250" s="612"/>
      <c r="L250" s="612"/>
      <c r="M250" s="612"/>
      <c r="N250" s="612"/>
      <c r="O250" s="612"/>
      <c r="P250" s="612"/>
      <c r="Q250" s="612"/>
      <c r="R250" s="612"/>
      <c r="S250" s="612"/>
      <c r="T250" s="612"/>
      <c r="U250" s="612"/>
      <c r="V250" s="612"/>
      <c r="W250" s="612"/>
      <c r="X250" s="612"/>
      <c r="Y250" s="612"/>
      <c r="Z250" s="612"/>
      <c r="AA250" s="612"/>
    </row>
    <row r="251" ht="13.5" customHeight="1">
      <c r="A251" s="612"/>
      <c r="B251" s="682"/>
      <c r="C251" s="612"/>
      <c r="D251" s="612"/>
      <c r="E251" s="612"/>
      <c r="F251" s="612"/>
      <c r="G251" s="612"/>
      <c r="H251" s="612"/>
      <c r="I251" s="612"/>
      <c r="J251" s="612"/>
      <c r="K251" s="612"/>
      <c r="L251" s="612"/>
      <c r="M251" s="612"/>
      <c r="N251" s="612"/>
      <c r="O251" s="612"/>
      <c r="P251" s="612"/>
      <c r="Q251" s="612"/>
      <c r="R251" s="612"/>
      <c r="S251" s="612"/>
      <c r="T251" s="612"/>
      <c r="U251" s="612"/>
      <c r="V251" s="612"/>
      <c r="W251" s="612"/>
      <c r="X251" s="612"/>
      <c r="Y251" s="612"/>
      <c r="Z251" s="612"/>
      <c r="AA251" s="612"/>
    </row>
    <row r="252" ht="13.5" customHeight="1">
      <c r="A252" s="612"/>
      <c r="B252" s="682"/>
      <c r="C252" s="612"/>
      <c r="D252" s="612"/>
      <c r="E252" s="612"/>
      <c r="F252" s="612"/>
      <c r="G252" s="612"/>
      <c r="H252" s="612"/>
      <c r="I252" s="612"/>
      <c r="J252" s="612"/>
      <c r="K252" s="612"/>
      <c r="L252" s="612"/>
      <c r="M252" s="612"/>
      <c r="N252" s="612"/>
      <c r="O252" s="612"/>
      <c r="P252" s="612"/>
      <c r="Q252" s="612"/>
      <c r="R252" s="612"/>
      <c r="S252" s="612"/>
      <c r="T252" s="612"/>
      <c r="U252" s="612"/>
      <c r="V252" s="612"/>
      <c r="W252" s="612"/>
      <c r="X252" s="612"/>
      <c r="Y252" s="612"/>
      <c r="Z252" s="612"/>
      <c r="AA252" s="612"/>
    </row>
    <row r="253" ht="13.5" customHeight="1">
      <c r="A253" s="612"/>
      <c r="B253" s="682"/>
      <c r="C253" s="612"/>
      <c r="D253" s="612"/>
      <c r="E253" s="612"/>
      <c r="F253" s="612"/>
      <c r="G253" s="612"/>
      <c r="H253" s="612"/>
      <c r="I253" s="612"/>
      <c r="J253" s="612"/>
      <c r="K253" s="612"/>
      <c r="L253" s="612"/>
      <c r="M253" s="612"/>
      <c r="N253" s="612"/>
      <c r="O253" s="612"/>
      <c r="P253" s="612"/>
      <c r="Q253" s="612"/>
      <c r="R253" s="612"/>
      <c r="S253" s="612"/>
      <c r="T253" s="612"/>
      <c r="U253" s="612"/>
      <c r="V253" s="612"/>
      <c r="W253" s="612"/>
      <c r="X253" s="612"/>
      <c r="Y253" s="612"/>
      <c r="Z253" s="612"/>
      <c r="AA253" s="612"/>
    </row>
    <row r="254" ht="13.5" customHeight="1">
      <c r="A254" s="612"/>
      <c r="B254" s="682"/>
      <c r="C254" s="612"/>
      <c r="D254" s="612"/>
      <c r="E254" s="612"/>
      <c r="F254" s="612"/>
      <c r="G254" s="612"/>
      <c r="H254" s="612"/>
      <c r="I254" s="612"/>
      <c r="J254" s="612"/>
      <c r="K254" s="612"/>
      <c r="L254" s="612"/>
      <c r="M254" s="612"/>
      <c r="N254" s="612"/>
      <c r="O254" s="612"/>
      <c r="P254" s="612"/>
      <c r="Q254" s="612"/>
      <c r="R254" s="612"/>
      <c r="S254" s="612"/>
      <c r="T254" s="612"/>
      <c r="U254" s="612"/>
      <c r="V254" s="612"/>
      <c r="W254" s="612"/>
      <c r="X254" s="612"/>
      <c r="Y254" s="612"/>
      <c r="Z254" s="612"/>
      <c r="AA254" s="61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3">
    <mergeCell ref="B2:C2"/>
    <mergeCell ref="E4:I4"/>
    <mergeCell ref="J4:N4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E2FF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 outlineLevelRow="1"/>
  <cols>
    <col customWidth="1" min="1" max="1" width="3.88"/>
    <col customWidth="1" min="2" max="2" width="50.75"/>
    <col customWidth="1" min="3" max="3" width="12.88"/>
    <col customWidth="1" min="4" max="15" width="10.5" outlineLevel="1"/>
    <col customWidth="1" min="16" max="16" width="12.88"/>
    <col customWidth="1" min="17" max="28" width="12.88" outlineLevel="1"/>
    <col customWidth="1" min="29" max="31" width="12.88"/>
    <col customWidth="1" min="32" max="32" width="7.88"/>
  </cols>
  <sheetData>
    <row r="1" ht="6.75" customHeight="1">
      <c r="B1" s="479"/>
      <c r="C1" s="479"/>
      <c r="P1" s="479"/>
      <c r="Q1" s="479"/>
      <c r="AD1" s="480"/>
      <c r="AE1" s="479"/>
      <c r="AF1" s="480"/>
    </row>
    <row r="2" ht="24.75" customHeight="1">
      <c r="A2" s="482"/>
      <c r="B2" s="36" t="s">
        <v>516</v>
      </c>
      <c r="C2" s="483"/>
      <c r="D2" s="37"/>
      <c r="E2" s="37"/>
      <c r="F2" s="38"/>
      <c r="G2" s="39"/>
      <c r="H2" s="37"/>
      <c r="I2" s="739"/>
      <c r="J2" s="39"/>
      <c r="K2" s="39"/>
      <c r="L2" s="39"/>
      <c r="M2" s="39"/>
      <c r="N2" s="39"/>
      <c r="O2" s="39"/>
      <c r="P2" s="37"/>
      <c r="Q2" s="483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484"/>
      <c r="AE2" s="483"/>
      <c r="AF2" s="740"/>
    </row>
    <row r="3" ht="6.75" customHeight="1">
      <c r="A3" s="486"/>
      <c r="B3" s="169"/>
      <c r="C3" s="487"/>
      <c r="D3" s="488"/>
      <c r="E3" s="488"/>
      <c r="F3" s="488"/>
      <c r="G3" s="486"/>
      <c r="H3" s="486"/>
      <c r="I3" s="486"/>
      <c r="J3" s="486"/>
      <c r="K3" s="488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9"/>
      <c r="AF3" s="488"/>
    </row>
    <row r="4" ht="24.75" customHeight="1">
      <c r="A4" s="490"/>
      <c r="B4" s="172"/>
      <c r="C4" s="625"/>
      <c r="D4" s="626">
        <f>YEAR(date_début)</f>
        <v>2025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626">
        <f>YEAR(EDATE(date_début,12))</f>
        <v>2026</v>
      </c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1"/>
      <c r="AD4" s="741">
        <f>YEAR(EDATE(date_début,24))</f>
        <v>2027</v>
      </c>
      <c r="AE4" s="625">
        <f>YEAR(EDATE(date_début,36))</f>
        <v>2028</v>
      </c>
      <c r="AF4" s="491"/>
    </row>
    <row r="5" ht="12.75" customHeight="1">
      <c r="A5" s="490"/>
      <c r="B5" s="177"/>
      <c r="C5" s="490"/>
      <c r="D5" s="178" t="s">
        <v>187</v>
      </c>
      <c r="E5" s="178" t="s">
        <v>188</v>
      </c>
      <c r="F5" s="178" t="s">
        <v>189</v>
      </c>
      <c r="G5" s="178" t="s">
        <v>190</v>
      </c>
      <c r="H5" s="178" t="s">
        <v>191</v>
      </c>
      <c r="I5" s="178" t="s">
        <v>192</v>
      </c>
      <c r="J5" s="178" t="s">
        <v>193</v>
      </c>
      <c r="K5" s="178" t="s">
        <v>194</v>
      </c>
      <c r="L5" s="178" t="s">
        <v>195</v>
      </c>
      <c r="M5" s="178" t="s">
        <v>196</v>
      </c>
      <c r="N5" s="178" t="s">
        <v>197</v>
      </c>
      <c r="O5" s="178" t="s">
        <v>198</v>
      </c>
      <c r="P5" s="492"/>
      <c r="Q5" s="178" t="s">
        <v>187</v>
      </c>
      <c r="R5" s="178" t="s">
        <v>188</v>
      </c>
      <c r="S5" s="178" t="s">
        <v>189</v>
      </c>
      <c r="T5" s="178" t="s">
        <v>190</v>
      </c>
      <c r="U5" s="178" t="s">
        <v>191</v>
      </c>
      <c r="V5" s="178" t="s">
        <v>192</v>
      </c>
      <c r="W5" s="178" t="s">
        <v>193</v>
      </c>
      <c r="X5" s="178" t="s">
        <v>194</v>
      </c>
      <c r="Y5" s="178" t="s">
        <v>195</v>
      </c>
      <c r="Z5" s="178" t="s">
        <v>196</v>
      </c>
      <c r="AA5" s="178" t="s">
        <v>197</v>
      </c>
      <c r="AB5" s="178" t="s">
        <v>198</v>
      </c>
      <c r="AC5" s="492"/>
      <c r="AD5" s="490"/>
      <c r="AE5" s="490"/>
      <c r="AF5" s="493"/>
    </row>
    <row r="6" ht="21.0" customHeight="1">
      <c r="A6" s="180"/>
      <c r="B6" s="181" t="s">
        <v>517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0"/>
    </row>
    <row r="7" ht="15.0" customHeight="1" outlineLevel="1">
      <c r="A7" s="308"/>
      <c r="B7" s="742" t="s">
        <v>518</v>
      </c>
      <c r="C7" s="743"/>
      <c r="D7" s="453">
        <f>CR!$D61/3</f>
        <v>2378.232424</v>
      </c>
      <c r="E7" s="453">
        <f>CR!$D61/3</f>
        <v>2378.232424</v>
      </c>
      <c r="F7" s="453">
        <f>CR!$D61/3</f>
        <v>2378.232424</v>
      </c>
      <c r="G7" s="453">
        <f>CR!$E61/3</f>
        <v>9631.924596</v>
      </c>
      <c r="H7" s="453">
        <f>CR!$E61/3</f>
        <v>9631.924596</v>
      </c>
      <c r="I7" s="453">
        <f>CR!$E61/3</f>
        <v>9631.924596</v>
      </c>
      <c r="J7" s="453">
        <f>CR!$F61/3</f>
        <v>10776.47091</v>
      </c>
      <c r="K7" s="453">
        <f>CR!$F61/3</f>
        <v>10776.47091</v>
      </c>
      <c r="L7" s="453">
        <f>CR!$F61/3</f>
        <v>10776.47091</v>
      </c>
      <c r="M7" s="453">
        <f>CR!$G61/3</f>
        <v>-1566.133687</v>
      </c>
      <c r="N7" s="453">
        <f>CR!$G61/3</f>
        <v>-1566.133687</v>
      </c>
      <c r="O7" s="744">
        <f>CR!$G61/3</f>
        <v>-1566.133687</v>
      </c>
      <c r="P7" s="745">
        <f t="shared" ref="P7:P10" si="1">SUM(D7:O7)</f>
        <v>63661.48273</v>
      </c>
      <c r="Q7" s="453">
        <f>CR!$I61/3</f>
        <v>118.5441257</v>
      </c>
      <c r="R7" s="453">
        <f>CR!$I61/3</f>
        <v>118.5441257</v>
      </c>
      <c r="S7" s="453">
        <f>CR!$I61/3</f>
        <v>118.5441257</v>
      </c>
      <c r="T7" s="453">
        <f>CR!$J61/3</f>
        <v>10354.37087</v>
      </c>
      <c r="U7" s="453">
        <f>CR!$J61/3</f>
        <v>10354.37087</v>
      </c>
      <c r="V7" s="453">
        <f>CR!$J61/3</f>
        <v>10354.37087</v>
      </c>
      <c r="W7" s="453">
        <f>CR!$K61/3</f>
        <v>13041.82718</v>
      </c>
      <c r="X7" s="453">
        <f>CR!$K61/3</f>
        <v>13041.82718</v>
      </c>
      <c r="Y7" s="453">
        <f>CR!$K61/3</f>
        <v>13041.82718</v>
      </c>
      <c r="Z7" s="453">
        <f>CR!$L61/3</f>
        <v>-3927.107169</v>
      </c>
      <c r="AA7" s="453">
        <f>CR!$L61/3</f>
        <v>-3927.107169</v>
      </c>
      <c r="AB7" s="744">
        <f>CR!$L61/3</f>
        <v>-3927.107169</v>
      </c>
      <c r="AC7" s="447">
        <f t="shared" ref="AC7:AC10" si="2">SUM(Q7:AB7)</f>
        <v>58762.90503</v>
      </c>
      <c r="AD7" s="746">
        <f>CR!N61</f>
        <v>69293.47519</v>
      </c>
      <c r="AE7" s="746">
        <f>CR!O61</f>
        <v>90944.61486</v>
      </c>
      <c r="AF7" s="747"/>
    </row>
    <row r="8" ht="15.0" customHeight="1" outlineLevel="1">
      <c r="A8" s="308"/>
      <c r="B8" s="742" t="s">
        <v>519</v>
      </c>
      <c r="C8" s="743"/>
      <c r="D8" s="453">
        <f>-(CR!$D$45/3)</f>
        <v>0</v>
      </c>
      <c r="E8" s="453">
        <f>-(CR!$D$45/3)</f>
        <v>0</v>
      </c>
      <c r="F8" s="453">
        <f>-(CR!$D$45/3)</f>
        <v>0</v>
      </c>
      <c r="G8" s="453">
        <f>-(CR!$E$45/3)</f>
        <v>0</v>
      </c>
      <c r="H8" s="453">
        <f>-(CR!$E$45/3)</f>
        <v>0</v>
      </c>
      <c r="I8" s="453">
        <f>-(CR!$E$45/3)</f>
        <v>0</v>
      </c>
      <c r="J8" s="453">
        <f>-(CR!$F$45/3)</f>
        <v>0</v>
      </c>
      <c r="K8" s="453">
        <f>-(CR!$F$45/3)</f>
        <v>0</v>
      </c>
      <c r="L8" s="453">
        <f>-(CR!$F$45/3)</f>
        <v>0</v>
      </c>
      <c r="M8" s="453">
        <f>-(CR!$G$45/3)</f>
        <v>0</v>
      </c>
      <c r="N8" s="453">
        <f>-(CR!$G$45/3)</f>
        <v>0</v>
      </c>
      <c r="O8" s="748">
        <f>-(CR!$G$45/3)</f>
        <v>0</v>
      </c>
      <c r="P8" s="745">
        <f t="shared" si="1"/>
        <v>0</v>
      </c>
      <c r="Q8" s="453">
        <f>-(CR!$I$45/3)</f>
        <v>0</v>
      </c>
      <c r="R8" s="453">
        <f>-(CR!$I$45/3)</f>
        <v>0</v>
      </c>
      <c r="S8" s="453">
        <f>-(CR!$I$45/3)</f>
        <v>0</v>
      </c>
      <c r="T8" s="453">
        <f>-(CR!$J$45/3)</f>
        <v>0</v>
      </c>
      <c r="U8" s="453">
        <f>-(CR!$J$45/3)</f>
        <v>0</v>
      </c>
      <c r="V8" s="453">
        <f>-(CR!$J$45/3)</f>
        <v>0</v>
      </c>
      <c r="W8" s="453">
        <f>-(CR!$K$45/3)</f>
        <v>0</v>
      </c>
      <c r="X8" s="453">
        <f>-(CR!$K$45/3)</f>
        <v>0</v>
      </c>
      <c r="Y8" s="453">
        <f>-(CR!$K$45/3)</f>
        <v>0</v>
      </c>
      <c r="Z8" s="453">
        <f>-(CR!$L$45/3)</f>
        <v>0</v>
      </c>
      <c r="AA8" s="453">
        <f>-(CR!$L$45/3)</f>
        <v>0</v>
      </c>
      <c r="AB8" s="748">
        <f>-(CR!$L$45/3)</f>
        <v>0</v>
      </c>
      <c r="AC8" s="447">
        <f t="shared" si="2"/>
        <v>0</v>
      </c>
      <c r="AD8" s="444">
        <f>-CR!$N$45</f>
        <v>0</v>
      </c>
      <c r="AE8" s="453">
        <f>-CR!$O$45</f>
        <v>0</v>
      </c>
      <c r="AF8" s="747"/>
    </row>
    <row r="9" ht="15.0" customHeight="1" outlineLevel="1">
      <c r="A9" s="308"/>
      <c r="B9" s="749" t="s">
        <v>520</v>
      </c>
      <c r="C9" s="750"/>
      <c r="D9" s="751">
        <f>-'BFR '!$D$46/3</f>
        <v>4767.971285</v>
      </c>
      <c r="E9" s="751">
        <f>-'BFR '!$D$46/3</f>
        <v>4767.971285</v>
      </c>
      <c r="F9" s="751">
        <f>-'BFR '!$D$46/3</f>
        <v>4767.971285</v>
      </c>
      <c r="G9" s="751">
        <f>-'BFR '!$E$46/3</f>
        <v>3712.419042</v>
      </c>
      <c r="H9" s="751">
        <f>-'BFR '!$E$46/3</f>
        <v>3712.419042</v>
      </c>
      <c r="I9" s="751">
        <f>-'BFR '!$E$46/3</f>
        <v>3712.419042</v>
      </c>
      <c r="J9" s="751">
        <f>-'BFR '!$F$46/3</f>
        <v>2463.015956</v>
      </c>
      <c r="K9" s="751">
        <f>-'BFR '!$F$46/3</f>
        <v>2463.015956</v>
      </c>
      <c r="L9" s="751">
        <f>-'BFR '!$F$46/3</f>
        <v>2463.015956</v>
      </c>
      <c r="M9" s="751">
        <f>-'BFR '!$G$46/3</f>
        <v>6959.507291</v>
      </c>
      <c r="N9" s="751">
        <f>-'BFR '!$G$46/3</f>
        <v>6959.507291</v>
      </c>
      <c r="O9" s="752">
        <f>-'BFR '!$G$46/3</f>
        <v>6959.507291</v>
      </c>
      <c r="P9" s="753">
        <f t="shared" si="1"/>
        <v>53708.74072</v>
      </c>
      <c r="Q9" s="751">
        <f>-'BFR '!$I$46/3</f>
        <v>-6304.416864</v>
      </c>
      <c r="R9" s="751">
        <f>-'BFR '!$I$46/3</f>
        <v>-6304.416864</v>
      </c>
      <c r="S9" s="751">
        <f>-'BFR '!$I$46/3</f>
        <v>-6304.416864</v>
      </c>
      <c r="T9" s="751">
        <f>-'BFR '!$J$46/3</f>
        <v>-810.8781322</v>
      </c>
      <c r="U9" s="751">
        <f>-'BFR '!$J$46/3</f>
        <v>-810.8781322</v>
      </c>
      <c r="V9" s="751">
        <f>-'BFR '!$J$46/3</f>
        <v>-810.8781322</v>
      </c>
      <c r="W9" s="751">
        <f>-'BFR '!$K$46/3</f>
        <v>795.061244</v>
      </c>
      <c r="X9" s="751">
        <f>-'BFR '!$K$46/3</f>
        <v>795.061244</v>
      </c>
      <c r="Y9" s="751">
        <f>-'BFR '!$K$46/3</f>
        <v>795.061244</v>
      </c>
      <c r="Z9" s="751">
        <f>-'BFR '!$L$46/3</f>
        <v>6020.344758</v>
      </c>
      <c r="AA9" s="751">
        <f>-'BFR '!$L$46/3</f>
        <v>6020.344758</v>
      </c>
      <c r="AB9" s="752">
        <f>-'BFR '!$L$46/3</f>
        <v>6020.344758</v>
      </c>
      <c r="AC9" s="394">
        <f t="shared" si="2"/>
        <v>-899.6669838</v>
      </c>
      <c r="AD9" s="754">
        <f>-'BFR '!N46</f>
        <v>5202.703933</v>
      </c>
      <c r="AE9" s="755">
        <f>-'BFR '!O46</f>
        <v>8835.304401</v>
      </c>
      <c r="AF9" s="747"/>
    </row>
    <row r="10" ht="15.0" customHeight="1">
      <c r="A10" s="2"/>
      <c r="B10" s="756" t="s">
        <v>521</v>
      </c>
      <c r="C10" s="718"/>
      <c r="D10" s="716">
        <f t="shared" ref="D10:O10" si="3">SUM(D7:D9)</f>
        <v>7146.203709</v>
      </c>
      <c r="E10" s="716">
        <f t="shared" si="3"/>
        <v>7146.203709</v>
      </c>
      <c r="F10" s="716">
        <f t="shared" si="3"/>
        <v>7146.203709</v>
      </c>
      <c r="G10" s="716">
        <f t="shared" si="3"/>
        <v>13344.34364</v>
      </c>
      <c r="H10" s="716">
        <f t="shared" si="3"/>
        <v>13344.34364</v>
      </c>
      <c r="I10" s="716">
        <f t="shared" si="3"/>
        <v>13344.34364</v>
      </c>
      <c r="J10" s="716">
        <f t="shared" si="3"/>
        <v>13239.48687</v>
      </c>
      <c r="K10" s="716">
        <f t="shared" si="3"/>
        <v>13239.48687</v>
      </c>
      <c r="L10" s="716">
        <f t="shared" si="3"/>
        <v>13239.48687</v>
      </c>
      <c r="M10" s="716">
        <f t="shared" si="3"/>
        <v>5393.373604</v>
      </c>
      <c r="N10" s="716">
        <f t="shared" si="3"/>
        <v>5393.373604</v>
      </c>
      <c r="O10" s="717">
        <f t="shared" si="3"/>
        <v>5393.373604</v>
      </c>
      <c r="P10" s="718">
        <f t="shared" si="1"/>
        <v>117370.2234</v>
      </c>
      <c r="Q10" s="716">
        <f t="shared" ref="Q10:AB10" si="4">SUM(Q7:Q9)</f>
        <v>-6185.872738</v>
      </c>
      <c r="R10" s="716">
        <f t="shared" si="4"/>
        <v>-6185.872738</v>
      </c>
      <c r="S10" s="716">
        <f t="shared" si="4"/>
        <v>-6185.872738</v>
      </c>
      <c r="T10" s="716">
        <f t="shared" si="4"/>
        <v>9543.492741</v>
      </c>
      <c r="U10" s="716">
        <f t="shared" si="4"/>
        <v>9543.492741</v>
      </c>
      <c r="V10" s="716">
        <f t="shared" si="4"/>
        <v>9543.492741</v>
      </c>
      <c r="W10" s="716">
        <f t="shared" si="4"/>
        <v>13836.88842</v>
      </c>
      <c r="X10" s="716">
        <f t="shared" si="4"/>
        <v>13836.88842</v>
      </c>
      <c r="Y10" s="716">
        <f t="shared" si="4"/>
        <v>13836.88842</v>
      </c>
      <c r="Z10" s="716">
        <f t="shared" si="4"/>
        <v>2093.237588</v>
      </c>
      <c r="AA10" s="716">
        <f t="shared" si="4"/>
        <v>2093.237588</v>
      </c>
      <c r="AB10" s="717">
        <f t="shared" si="4"/>
        <v>2093.237588</v>
      </c>
      <c r="AC10" s="718">
        <f t="shared" si="2"/>
        <v>57863.23805</v>
      </c>
      <c r="AD10" s="720">
        <f t="shared" ref="AD10:AE10" si="5">SUM(AD7:AD9)</f>
        <v>74496.17912</v>
      </c>
      <c r="AE10" s="719">
        <f t="shared" si="5"/>
        <v>99779.91926</v>
      </c>
      <c r="AF10" s="2"/>
    </row>
    <row r="11" ht="15.0" customHeight="1">
      <c r="A11" s="308"/>
      <c r="B11" s="343"/>
      <c r="C11" s="757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758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388"/>
      <c r="AD11" s="758"/>
      <c r="AE11" s="758"/>
      <c r="AF11" s="747"/>
    </row>
    <row r="12" ht="21.0" customHeight="1">
      <c r="A12" s="180"/>
      <c r="B12" s="181" t="s">
        <v>522</v>
      </c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0"/>
    </row>
    <row r="13" ht="15.0" customHeight="1" outlineLevel="1">
      <c r="A13" s="308"/>
      <c r="B13" s="742" t="s">
        <v>523</v>
      </c>
      <c r="C13" s="743"/>
      <c r="D13" s="453">
        <f>-Investissements!$E53/3</f>
        <v>0</v>
      </c>
      <c r="E13" s="453">
        <f>-Investissements!$E53/3</f>
        <v>0</v>
      </c>
      <c r="F13" s="453">
        <f>-Investissements!$E53/3</f>
        <v>0</v>
      </c>
      <c r="G13" s="453">
        <f>-Investissements!$F53/3</f>
        <v>0</v>
      </c>
      <c r="H13" s="453">
        <f>-Investissements!$F53/3</f>
        <v>0</v>
      </c>
      <c r="I13" s="453">
        <f>-Investissements!$F53/3</f>
        <v>0</v>
      </c>
      <c r="J13" s="453">
        <f>-Investissements!$G53/3</f>
        <v>0</v>
      </c>
      <c r="K13" s="453">
        <f>-Investissements!$G53/3</f>
        <v>0</v>
      </c>
      <c r="L13" s="453">
        <f>-Investissements!$G53/3</f>
        <v>0</v>
      </c>
      <c r="M13" s="453">
        <f>-Investissements!$H53/3</f>
        <v>0</v>
      </c>
      <c r="N13" s="453">
        <f>-Investissements!$H53/3</f>
        <v>0</v>
      </c>
      <c r="O13" s="744">
        <f>-Investissements!$H53/3</f>
        <v>0</v>
      </c>
      <c r="P13" s="745">
        <f t="shared" ref="P13:P20" si="6">SUM(D13:O13)</f>
        <v>0</v>
      </c>
      <c r="Q13" s="453">
        <f>-Investissements!$J53/3</f>
        <v>0</v>
      </c>
      <c r="R13" s="453">
        <f>-Investissements!$J53/3</f>
        <v>0</v>
      </c>
      <c r="S13" s="453">
        <f>-Investissements!$J53/3</f>
        <v>0</v>
      </c>
      <c r="T13" s="453">
        <f>-Investissements!$K53/3</f>
        <v>0</v>
      </c>
      <c r="U13" s="453">
        <f>-Investissements!$K53/3</f>
        <v>0</v>
      </c>
      <c r="V13" s="453">
        <f>-Investissements!$K53/3</f>
        <v>0</v>
      </c>
      <c r="W13" s="453">
        <f>-Investissements!$L53/3</f>
        <v>0</v>
      </c>
      <c r="X13" s="453">
        <f>-Investissements!$L53/3</f>
        <v>0</v>
      </c>
      <c r="Y13" s="453">
        <f>-Investissements!$L53/3</f>
        <v>0</v>
      </c>
      <c r="Z13" s="453">
        <f>-Investissements!$M53/3</f>
        <v>0</v>
      </c>
      <c r="AA13" s="453">
        <f>-Investissements!$M53/3</f>
        <v>0</v>
      </c>
      <c r="AB13" s="744">
        <f>-Investissements!$M53/3</f>
        <v>0</v>
      </c>
      <c r="AC13" s="447">
        <f t="shared" ref="AC13:AC20" si="7">SUM(Q13:AB13)</f>
        <v>0</v>
      </c>
      <c r="AD13" s="759">
        <f>-Investissements!$O53</f>
        <v>0</v>
      </c>
      <c r="AE13" s="453">
        <f>-Investissements!$P53</f>
        <v>0</v>
      </c>
      <c r="AF13" s="747"/>
    </row>
    <row r="14" ht="15.0" customHeight="1" outlineLevel="1">
      <c r="A14" s="308"/>
      <c r="B14" s="742" t="s">
        <v>524</v>
      </c>
      <c r="C14" s="743"/>
      <c r="D14" s="453">
        <f>Financements!$E10</f>
        <v>100000</v>
      </c>
      <c r="E14" s="453"/>
      <c r="F14" s="453"/>
      <c r="G14" s="453">
        <f>Financements!$F10</f>
        <v>0</v>
      </c>
      <c r="H14" s="453"/>
      <c r="I14" s="453"/>
      <c r="J14" s="453"/>
      <c r="K14" s="453">
        <f>Financements!$H10</f>
        <v>0</v>
      </c>
      <c r="L14" s="453"/>
      <c r="M14" s="390"/>
      <c r="N14" s="453"/>
      <c r="O14" s="748"/>
      <c r="P14" s="745">
        <f t="shared" si="6"/>
        <v>100000</v>
      </c>
      <c r="Q14" s="453">
        <f>Financements!$J10</f>
        <v>0</v>
      </c>
      <c r="R14" s="453"/>
      <c r="S14" s="453"/>
      <c r="T14" s="453">
        <f>Financements!$K10</f>
        <v>0</v>
      </c>
      <c r="U14" s="453"/>
      <c r="V14" s="453"/>
      <c r="W14" s="453">
        <f>Financements!$L10</f>
        <v>0</v>
      </c>
      <c r="X14" s="453"/>
      <c r="Y14" s="453"/>
      <c r="Z14" s="453">
        <f>Financements!$M10</f>
        <v>0</v>
      </c>
      <c r="AA14" s="453"/>
      <c r="AB14" s="748"/>
      <c r="AC14" s="447">
        <f t="shared" si="7"/>
        <v>0</v>
      </c>
      <c r="AD14" s="746">
        <f>Financements!O10</f>
        <v>0</v>
      </c>
      <c r="AE14" s="747">
        <f>Financements!P10</f>
        <v>0</v>
      </c>
      <c r="AF14" s="747"/>
    </row>
    <row r="15" ht="15.0" customHeight="1" outlineLevel="1">
      <c r="A15" s="308"/>
      <c r="B15" s="742" t="s">
        <v>525</v>
      </c>
      <c r="C15" s="743"/>
      <c r="D15" s="453" t="str">
        <f>Financements!$E14</f>
        <v/>
      </c>
      <c r="E15" s="308"/>
      <c r="F15" s="453" t="str">
        <f>Financements!$F14</f>
        <v/>
      </c>
      <c r="H15" s="308"/>
      <c r="I15" s="308"/>
      <c r="J15" s="453" t="str">
        <f>Financements!$G14</f>
        <v/>
      </c>
      <c r="K15" s="308"/>
      <c r="L15" s="308"/>
      <c r="M15" s="453" t="str">
        <f>Financements!$H14</f>
        <v/>
      </c>
      <c r="N15" s="308"/>
      <c r="O15" s="760"/>
      <c r="P15" s="745">
        <f t="shared" si="6"/>
        <v>0</v>
      </c>
      <c r="Q15" s="453" t="str">
        <f>Financements!$J14</f>
        <v/>
      </c>
      <c r="R15" s="308"/>
      <c r="S15" s="308"/>
      <c r="T15" s="453" t="str">
        <f>Financements!$K14</f>
        <v/>
      </c>
      <c r="U15" s="308"/>
      <c r="V15" s="308"/>
      <c r="W15" s="453" t="str">
        <f>Financements!$L14</f>
        <v/>
      </c>
      <c r="X15" s="308"/>
      <c r="Y15" s="308"/>
      <c r="Z15" s="453" t="str">
        <f>Financements!$M14</f>
        <v/>
      </c>
      <c r="AA15" s="308"/>
      <c r="AB15" s="760"/>
      <c r="AC15" s="447">
        <f t="shared" si="7"/>
        <v>0</v>
      </c>
      <c r="AD15" s="746" t="str">
        <f>Financements!O14</f>
        <v/>
      </c>
      <c r="AE15" s="747" t="str">
        <f>Financements!P14</f>
        <v/>
      </c>
      <c r="AF15" s="308"/>
    </row>
    <row r="16" ht="15.0" customHeight="1" outlineLevel="1">
      <c r="A16" s="308"/>
      <c r="B16" s="742" t="s">
        <v>526</v>
      </c>
      <c r="C16" s="743"/>
      <c r="D16" s="453"/>
      <c r="E16" s="453"/>
      <c r="F16" s="453">
        <f>-Financements!$E16</f>
        <v>0</v>
      </c>
      <c r="G16" s="453"/>
      <c r="H16" s="453"/>
      <c r="I16" s="453">
        <f>-Financements!$F16</f>
        <v>0</v>
      </c>
      <c r="J16" s="453"/>
      <c r="K16" s="453"/>
      <c r="L16" s="453">
        <f>-Financements!$G16</f>
        <v>0</v>
      </c>
      <c r="M16" s="453"/>
      <c r="N16" s="453"/>
      <c r="O16" s="748">
        <f>-Financements!$H16</f>
        <v>0</v>
      </c>
      <c r="P16" s="745">
        <f t="shared" si="6"/>
        <v>0</v>
      </c>
      <c r="Q16" s="453"/>
      <c r="R16" s="453"/>
      <c r="S16" s="453">
        <f>-Financements!$J16</f>
        <v>0</v>
      </c>
      <c r="T16" s="453"/>
      <c r="U16" s="453"/>
      <c r="V16" s="453">
        <f>-Financements!$K16</f>
        <v>0</v>
      </c>
      <c r="W16" s="453"/>
      <c r="X16" s="453"/>
      <c r="Y16" s="453">
        <f>-Financements!$L16</f>
        <v>0</v>
      </c>
      <c r="Z16" s="453"/>
      <c r="AA16" s="453"/>
      <c r="AB16" s="748">
        <f>-Financements!$M16</f>
        <v>0</v>
      </c>
      <c r="AC16" s="447">
        <f t="shared" si="7"/>
        <v>0</v>
      </c>
      <c r="AD16" s="746">
        <f>-Financements!O16</f>
        <v>0</v>
      </c>
      <c r="AE16" s="747">
        <f>-Financements!P16</f>
        <v>0</v>
      </c>
      <c r="AF16" s="308"/>
    </row>
    <row r="17" ht="15.0" customHeight="1" outlineLevel="1">
      <c r="A17" s="308"/>
      <c r="B17" s="742" t="s">
        <v>527</v>
      </c>
      <c r="C17" s="743"/>
      <c r="D17" s="453">
        <f>Financements!E35</f>
        <v>0</v>
      </c>
      <c r="E17" s="453"/>
      <c r="F17" s="453"/>
      <c r="G17" s="453">
        <f>Financements!F35</f>
        <v>190000</v>
      </c>
      <c r="H17" s="453"/>
      <c r="I17" s="453"/>
      <c r="J17" s="453">
        <f>Financements!G35</f>
        <v>0</v>
      </c>
      <c r="K17" s="453"/>
      <c r="L17" s="453"/>
      <c r="M17" s="453">
        <f>Financements!H35</f>
        <v>0</v>
      </c>
      <c r="N17" s="453"/>
      <c r="O17" s="748"/>
      <c r="P17" s="745">
        <f t="shared" si="6"/>
        <v>190000</v>
      </c>
      <c r="Q17" s="453">
        <f>Financements!J35</f>
        <v>0</v>
      </c>
      <c r="R17" s="453"/>
      <c r="S17" s="453"/>
      <c r="T17" s="453">
        <f>Financements!K35</f>
        <v>0</v>
      </c>
      <c r="U17" s="453"/>
      <c r="V17" s="453"/>
      <c r="W17" s="453">
        <f>Financements!L35</f>
        <v>0</v>
      </c>
      <c r="X17" s="453"/>
      <c r="Y17" s="453"/>
      <c r="Z17" s="453">
        <f>Financements!M35</f>
        <v>0</v>
      </c>
      <c r="AA17" s="453"/>
      <c r="AB17" s="748"/>
      <c r="AC17" s="447">
        <f t="shared" si="7"/>
        <v>0</v>
      </c>
      <c r="AD17" s="746">
        <f>Financements!O35</f>
        <v>0</v>
      </c>
      <c r="AE17" s="747">
        <f>Financements!P35</f>
        <v>0</v>
      </c>
      <c r="AF17" s="308"/>
    </row>
    <row r="18" ht="15.0" customHeight="1" outlineLevel="1">
      <c r="A18" s="308"/>
      <c r="B18" s="761" t="s">
        <v>528</v>
      </c>
      <c r="C18" s="743"/>
      <c r="D18" s="453"/>
      <c r="E18" s="453"/>
      <c r="F18" s="453">
        <f>-Financements!$E36</f>
        <v>0</v>
      </c>
      <c r="G18" s="453"/>
      <c r="H18" s="453"/>
      <c r="I18" s="453">
        <f>-Financements!$F36</f>
        <v>0</v>
      </c>
      <c r="J18" s="453"/>
      <c r="K18" s="453"/>
      <c r="L18" s="453">
        <f>-Financements!$G36</f>
        <v>0</v>
      </c>
      <c r="M18" s="453"/>
      <c r="N18" s="453"/>
      <c r="O18" s="748">
        <f>-Financements!$H36</f>
        <v>0</v>
      </c>
      <c r="P18" s="745">
        <f t="shared" si="6"/>
        <v>0</v>
      </c>
      <c r="Q18" s="453"/>
      <c r="R18" s="453"/>
      <c r="S18" s="453">
        <f>-Financements!$J36</f>
        <v>-6002.952149</v>
      </c>
      <c r="T18" s="453"/>
      <c r="U18" s="453"/>
      <c r="V18" s="453">
        <f>-Financements!$K36</f>
        <v>-6062.426643</v>
      </c>
      <c r="W18" s="453"/>
      <c r="X18" s="453"/>
      <c r="Y18" s="453">
        <f>-Financements!$L36</f>
        <v>-6122.490383</v>
      </c>
      <c r="Z18" s="453"/>
      <c r="AA18" s="453"/>
      <c r="AB18" s="748">
        <f>-Financements!$M36</f>
        <v>-6183.149207</v>
      </c>
      <c r="AC18" s="447">
        <f t="shared" si="7"/>
        <v>-24371.01838</v>
      </c>
      <c r="AD18" s="746">
        <f>-Financements!O36</f>
        <v>-25351.29433</v>
      </c>
      <c r="AE18" s="747">
        <f>-Financements!P36</f>
        <v>-26370.99993</v>
      </c>
      <c r="AF18" s="308"/>
    </row>
    <row r="19" ht="15.0" customHeight="1" outlineLevel="1">
      <c r="A19" s="308"/>
      <c r="B19" s="749" t="s">
        <v>529</v>
      </c>
      <c r="C19" s="750"/>
      <c r="D19" s="762"/>
      <c r="E19" s="762"/>
      <c r="F19" s="762"/>
      <c r="G19" s="762"/>
      <c r="H19" s="762"/>
      <c r="I19" s="762"/>
      <c r="J19" s="762"/>
      <c r="K19" s="762"/>
      <c r="L19" s="762"/>
      <c r="M19" s="762"/>
      <c r="N19" s="762"/>
      <c r="O19" s="763"/>
      <c r="P19" s="753">
        <f t="shared" si="6"/>
        <v>0</v>
      </c>
      <c r="Q19" s="751"/>
      <c r="R19" s="751"/>
      <c r="S19" s="751"/>
      <c r="T19" s="751"/>
      <c r="U19" s="751"/>
      <c r="V19" s="751"/>
      <c r="W19" s="751"/>
      <c r="X19" s="751"/>
      <c r="Y19" s="751"/>
      <c r="Z19" s="751"/>
      <c r="AA19" s="751"/>
      <c r="AB19" s="752"/>
      <c r="AC19" s="394">
        <f t="shared" si="7"/>
        <v>0</v>
      </c>
      <c r="AD19" s="754">
        <v>0.0</v>
      </c>
      <c r="AE19" s="755">
        <v>0.0</v>
      </c>
      <c r="AF19" s="187"/>
    </row>
    <row r="20" ht="15.0" customHeight="1">
      <c r="A20" s="2"/>
      <c r="B20" s="756" t="s">
        <v>530</v>
      </c>
      <c r="C20" s="718"/>
      <c r="D20" s="716">
        <f t="shared" ref="D20:O20" si="8">SUM(D13:D19)</f>
        <v>100000</v>
      </c>
      <c r="E20" s="716">
        <f t="shared" si="8"/>
        <v>0</v>
      </c>
      <c r="F20" s="716">
        <f t="shared" si="8"/>
        <v>0</v>
      </c>
      <c r="G20" s="716">
        <f t="shared" si="8"/>
        <v>190000</v>
      </c>
      <c r="H20" s="716">
        <f t="shared" si="8"/>
        <v>0</v>
      </c>
      <c r="I20" s="716">
        <f t="shared" si="8"/>
        <v>0</v>
      </c>
      <c r="J20" s="716">
        <f t="shared" si="8"/>
        <v>0</v>
      </c>
      <c r="K20" s="716">
        <f t="shared" si="8"/>
        <v>0</v>
      </c>
      <c r="L20" s="716">
        <f t="shared" si="8"/>
        <v>0</v>
      </c>
      <c r="M20" s="716">
        <f t="shared" si="8"/>
        <v>0</v>
      </c>
      <c r="N20" s="716">
        <f t="shared" si="8"/>
        <v>0</v>
      </c>
      <c r="O20" s="717">
        <f t="shared" si="8"/>
        <v>0</v>
      </c>
      <c r="P20" s="718">
        <f t="shared" si="6"/>
        <v>290000</v>
      </c>
      <c r="Q20" s="716">
        <f t="shared" ref="Q20:AB20" si="9">SUM(Q13:Q19)</f>
        <v>0</v>
      </c>
      <c r="R20" s="716">
        <f t="shared" si="9"/>
        <v>0</v>
      </c>
      <c r="S20" s="716">
        <f t="shared" si="9"/>
        <v>-6002.952149</v>
      </c>
      <c r="T20" s="716">
        <f t="shared" si="9"/>
        <v>0</v>
      </c>
      <c r="U20" s="716">
        <f t="shared" si="9"/>
        <v>0</v>
      </c>
      <c r="V20" s="716">
        <f t="shared" si="9"/>
        <v>-6062.426643</v>
      </c>
      <c r="W20" s="716">
        <f t="shared" si="9"/>
        <v>0</v>
      </c>
      <c r="X20" s="716">
        <f t="shared" si="9"/>
        <v>0</v>
      </c>
      <c r="Y20" s="716">
        <f t="shared" si="9"/>
        <v>-6122.490383</v>
      </c>
      <c r="Z20" s="716">
        <f t="shared" si="9"/>
        <v>0</v>
      </c>
      <c r="AA20" s="716">
        <f t="shared" si="9"/>
        <v>0</v>
      </c>
      <c r="AB20" s="717">
        <f t="shared" si="9"/>
        <v>-6183.149207</v>
      </c>
      <c r="AC20" s="718">
        <f t="shared" si="7"/>
        <v>-24371.01838</v>
      </c>
      <c r="AD20" s="720">
        <f t="shared" ref="AD20:AE20" si="10">SUM(AD13:AD19)</f>
        <v>-25351.29433</v>
      </c>
      <c r="AE20" s="719">
        <f t="shared" si="10"/>
        <v>-26370.99993</v>
      </c>
      <c r="AF20" s="2"/>
    </row>
    <row r="21" ht="15.0" customHeight="1">
      <c r="A21" s="308"/>
      <c r="B21" s="343"/>
      <c r="C21" s="75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758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88"/>
      <c r="AD21" s="758"/>
      <c r="AE21" s="758"/>
      <c r="AF21" s="308"/>
    </row>
    <row r="22" ht="21.0" customHeight="1">
      <c r="A22" s="308"/>
      <c r="B22" s="764" t="s">
        <v>531</v>
      </c>
      <c r="C22" s="765"/>
      <c r="D22" s="302">
        <f t="shared" ref="D22:AE22" si="11">D10+D20</f>
        <v>107146.2037</v>
      </c>
      <c r="E22" s="302">
        <f t="shared" si="11"/>
        <v>7146.203709</v>
      </c>
      <c r="F22" s="302">
        <f t="shared" si="11"/>
        <v>7146.203709</v>
      </c>
      <c r="G22" s="302">
        <f t="shared" si="11"/>
        <v>203344.3436</v>
      </c>
      <c r="H22" s="302">
        <f t="shared" si="11"/>
        <v>13344.34364</v>
      </c>
      <c r="I22" s="302">
        <f t="shared" si="11"/>
        <v>13344.34364</v>
      </c>
      <c r="J22" s="302">
        <f t="shared" si="11"/>
        <v>13239.48687</v>
      </c>
      <c r="K22" s="302">
        <f t="shared" si="11"/>
        <v>13239.48687</v>
      </c>
      <c r="L22" s="302">
        <f t="shared" si="11"/>
        <v>13239.48687</v>
      </c>
      <c r="M22" s="302">
        <f t="shared" si="11"/>
        <v>5393.373604</v>
      </c>
      <c r="N22" s="302">
        <f t="shared" si="11"/>
        <v>5393.373604</v>
      </c>
      <c r="O22" s="302">
        <f t="shared" si="11"/>
        <v>5393.373604</v>
      </c>
      <c r="P22" s="766">
        <f t="shared" si="11"/>
        <v>407370.2234</v>
      </c>
      <c r="Q22" s="302">
        <f t="shared" si="11"/>
        <v>-6185.872738</v>
      </c>
      <c r="R22" s="302">
        <f t="shared" si="11"/>
        <v>-6185.872738</v>
      </c>
      <c r="S22" s="302">
        <f t="shared" si="11"/>
        <v>-12188.82489</v>
      </c>
      <c r="T22" s="302">
        <f t="shared" si="11"/>
        <v>9543.492741</v>
      </c>
      <c r="U22" s="302">
        <f t="shared" si="11"/>
        <v>9543.492741</v>
      </c>
      <c r="V22" s="302">
        <f t="shared" si="11"/>
        <v>3481.066098</v>
      </c>
      <c r="W22" s="302">
        <f t="shared" si="11"/>
        <v>13836.88842</v>
      </c>
      <c r="X22" s="302">
        <f t="shared" si="11"/>
        <v>13836.88842</v>
      </c>
      <c r="Y22" s="302">
        <f t="shared" si="11"/>
        <v>7714.398042</v>
      </c>
      <c r="Z22" s="302">
        <f t="shared" si="11"/>
        <v>2093.237588</v>
      </c>
      <c r="AA22" s="302">
        <f t="shared" si="11"/>
        <v>2093.237588</v>
      </c>
      <c r="AB22" s="302">
        <f t="shared" si="11"/>
        <v>-4089.911618</v>
      </c>
      <c r="AC22" s="304">
        <f t="shared" si="11"/>
        <v>33492.21967</v>
      </c>
      <c r="AD22" s="767">
        <f t="shared" si="11"/>
        <v>49144.88479</v>
      </c>
      <c r="AE22" s="323">
        <f t="shared" si="11"/>
        <v>73408.91933</v>
      </c>
      <c r="AF22" s="308"/>
    </row>
    <row r="23" ht="12.75" customHeight="1">
      <c r="A23" s="308"/>
      <c r="B23" s="343"/>
      <c r="C23" s="757"/>
      <c r="D23" s="757"/>
      <c r="E23" s="757"/>
      <c r="F23" s="757"/>
      <c r="G23" s="757"/>
      <c r="H23" s="757"/>
      <c r="I23" s="757"/>
      <c r="J23" s="757"/>
      <c r="K23" s="757"/>
      <c r="L23" s="757"/>
      <c r="M23" s="757"/>
      <c r="N23" s="757"/>
      <c r="O23" s="757"/>
      <c r="P23" s="758"/>
      <c r="Q23" s="757"/>
      <c r="R23" s="757"/>
      <c r="S23" s="757"/>
      <c r="T23" s="757"/>
      <c r="U23" s="757"/>
      <c r="V23" s="757"/>
      <c r="W23" s="757"/>
      <c r="X23" s="757"/>
      <c r="Y23" s="757"/>
      <c r="Z23" s="757"/>
      <c r="AA23" s="757"/>
      <c r="AB23" s="757"/>
      <c r="AC23" s="758"/>
      <c r="AD23" s="758"/>
      <c r="AE23" s="758"/>
      <c r="AF23" s="308"/>
    </row>
    <row r="24" ht="12.75" customHeight="1">
      <c r="A24" s="308"/>
      <c r="B24" s="768" t="s">
        <v>532</v>
      </c>
      <c r="C24" s="769"/>
      <c r="D24" s="770" t="str">
        <f t="shared" ref="D24:O24" si="12">C25</f>
        <v/>
      </c>
      <c r="E24" s="770">
        <f t="shared" si="12"/>
        <v>107146.2037</v>
      </c>
      <c r="F24" s="770">
        <f t="shared" si="12"/>
        <v>114292.4074</v>
      </c>
      <c r="G24" s="770">
        <f t="shared" si="12"/>
        <v>121438.6111</v>
      </c>
      <c r="H24" s="770">
        <f t="shared" si="12"/>
        <v>324782.9548</v>
      </c>
      <c r="I24" s="770">
        <f t="shared" si="12"/>
        <v>338127.2984</v>
      </c>
      <c r="J24" s="770">
        <f t="shared" si="12"/>
        <v>351471.642</v>
      </c>
      <c r="K24" s="770">
        <f t="shared" si="12"/>
        <v>364711.1289</v>
      </c>
      <c r="L24" s="770">
        <f t="shared" si="12"/>
        <v>377950.6158</v>
      </c>
      <c r="M24" s="770">
        <f t="shared" si="12"/>
        <v>391190.1026</v>
      </c>
      <c r="N24" s="770">
        <f t="shared" si="12"/>
        <v>396583.4762</v>
      </c>
      <c r="O24" s="771">
        <f t="shared" si="12"/>
        <v>401976.8498</v>
      </c>
      <c r="P24" s="772" t="str">
        <f>D24</f>
        <v/>
      </c>
      <c r="Q24" s="770">
        <f>O25</f>
        <v>407370.2234</v>
      </c>
      <c r="R24" s="770">
        <f t="shared" ref="R24:AB24" si="13">Q25</f>
        <v>401184.3507</v>
      </c>
      <c r="S24" s="770">
        <f t="shared" si="13"/>
        <v>394998.478</v>
      </c>
      <c r="T24" s="770">
        <f t="shared" si="13"/>
        <v>382809.6531</v>
      </c>
      <c r="U24" s="770">
        <f t="shared" si="13"/>
        <v>392353.1458</v>
      </c>
      <c r="V24" s="770">
        <f t="shared" si="13"/>
        <v>401896.6386</v>
      </c>
      <c r="W24" s="770">
        <f t="shared" si="13"/>
        <v>405377.7047</v>
      </c>
      <c r="X24" s="770">
        <f t="shared" si="13"/>
        <v>419214.5931</v>
      </c>
      <c r="Y24" s="770">
        <f t="shared" si="13"/>
        <v>433051.4815</v>
      </c>
      <c r="Z24" s="770">
        <f t="shared" si="13"/>
        <v>440765.8796</v>
      </c>
      <c r="AA24" s="770">
        <f t="shared" si="13"/>
        <v>442859.1171</v>
      </c>
      <c r="AB24" s="771">
        <f t="shared" si="13"/>
        <v>444952.3547</v>
      </c>
      <c r="AC24" s="772">
        <f>Q24</f>
        <v>407370.2234</v>
      </c>
      <c r="AD24" s="773">
        <f>AB25</f>
        <v>440862.4431</v>
      </c>
      <c r="AE24" s="773">
        <f>AD25</f>
        <v>490007.3279</v>
      </c>
      <c r="AF24" s="308"/>
    </row>
    <row r="25" ht="12.75" customHeight="1">
      <c r="A25" s="308"/>
      <c r="B25" s="774" t="s">
        <v>533</v>
      </c>
      <c r="C25" s="775"/>
      <c r="D25" s="776">
        <f t="shared" ref="D25:O25" si="14">D24+D22</f>
        <v>107146.2037</v>
      </c>
      <c r="E25" s="776">
        <f t="shared" si="14"/>
        <v>114292.4074</v>
      </c>
      <c r="F25" s="776">
        <f t="shared" si="14"/>
        <v>121438.6111</v>
      </c>
      <c r="G25" s="776">
        <f t="shared" si="14"/>
        <v>324782.9548</v>
      </c>
      <c r="H25" s="776">
        <f t="shared" si="14"/>
        <v>338127.2984</v>
      </c>
      <c r="I25" s="776">
        <f t="shared" si="14"/>
        <v>351471.642</v>
      </c>
      <c r="J25" s="776">
        <f t="shared" si="14"/>
        <v>364711.1289</v>
      </c>
      <c r="K25" s="776">
        <f t="shared" si="14"/>
        <v>377950.6158</v>
      </c>
      <c r="L25" s="776">
        <f t="shared" si="14"/>
        <v>391190.1026</v>
      </c>
      <c r="M25" s="776">
        <f t="shared" si="14"/>
        <v>396583.4762</v>
      </c>
      <c r="N25" s="776">
        <f t="shared" si="14"/>
        <v>401976.8498</v>
      </c>
      <c r="O25" s="777">
        <f t="shared" si="14"/>
        <v>407370.2234</v>
      </c>
      <c r="P25" s="778">
        <f>O25</f>
        <v>407370.2234</v>
      </c>
      <c r="Q25" s="776">
        <f t="shared" ref="Q25:AB25" si="15">Q24+Q22</f>
        <v>401184.3507</v>
      </c>
      <c r="R25" s="776">
        <f t="shared" si="15"/>
        <v>394998.478</v>
      </c>
      <c r="S25" s="776">
        <f t="shared" si="15"/>
        <v>382809.6531</v>
      </c>
      <c r="T25" s="776">
        <f t="shared" si="15"/>
        <v>392353.1458</v>
      </c>
      <c r="U25" s="776">
        <f t="shared" si="15"/>
        <v>401896.6386</v>
      </c>
      <c r="V25" s="776">
        <f t="shared" si="15"/>
        <v>405377.7047</v>
      </c>
      <c r="W25" s="776">
        <f t="shared" si="15"/>
        <v>419214.5931</v>
      </c>
      <c r="X25" s="776">
        <f t="shared" si="15"/>
        <v>433051.4815</v>
      </c>
      <c r="Y25" s="776">
        <f t="shared" si="15"/>
        <v>440765.8796</v>
      </c>
      <c r="Z25" s="776">
        <f t="shared" si="15"/>
        <v>442859.1171</v>
      </c>
      <c r="AA25" s="776">
        <f t="shared" si="15"/>
        <v>444952.3547</v>
      </c>
      <c r="AB25" s="777">
        <f t="shared" si="15"/>
        <v>440862.4431</v>
      </c>
      <c r="AC25" s="778">
        <f>AB25</f>
        <v>440862.4431</v>
      </c>
      <c r="AD25" s="779">
        <f t="shared" ref="AD25:AE25" si="16">AD24+AD22</f>
        <v>490007.3279</v>
      </c>
      <c r="AE25" s="779">
        <f t="shared" si="16"/>
        <v>563416.2472</v>
      </c>
      <c r="AF25" s="308"/>
    </row>
    <row r="26" ht="12.75" customHeight="1">
      <c r="A26" s="308"/>
      <c r="B26" s="308"/>
      <c r="C26" s="747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0"/>
      <c r="P26" s="780"/>
      <c r="Q26" s="780"/>
      <c r="R26" s="780"/>
      <c r="S26" s="780"/>
      <c r="T26" s="780"/>
      <c r="U26" s="780"/>
      <c r="V26" s="780"/>
      <c r="W26" s="780"/>
      <c r="X26" s="780"/>
      <c r="Y26" s="780"/>
      <c r="Z26" s="780"/>
      <c r="AA26" s="780"/>
      <c r="AB26" s="780"/>
      <c r="AC26" s="780"/>
      <c r="AD26" s="780"/>
      <c r="AE26" s="780"/>
      <c r="AF26" s="308"/>
    </row>
    <row r="27" ht="12.75" customHeight="1">
      <c r="A27" s="308"/>
      <c r="B27" s="308"/>
      <c r="C27" s="308"/>
      <c r="D27" s="747"/>
      <c r="E27" s="747"/>
      <c r="F27" s="747"/>
      <c r="G27" s="747"/>
      <c r="H27" s="747"/>
      <c r="I27" s="747"/>
      <c r="J27" s="747"/>
      <c r="K27" s="747"/>
      <c r="L27" s="747"/>
      <c r="M27" s="747"/>
      <c r="N27" s="747"/>
      <c r="O27" s="747"/>
      <c r="P27" s="747"/>
      <c r="Q27" s="747"/>
      <c r="R27" s="747"/>
      <c r="S27" s="747"/>
      <c r="T27" s="747"/>
      <c r="U27" s="747"/>
      <c r="V27" s="747"/>
      <c r="W27" s="747"/>
      <c r="X27" s="747"/>
      <c r="Y27" s="747"/>
      <c r="Z27" s="747"/>
      <c r="AA27" s="747"/>
      <c r="AB27" s="747"/>
      <c r="AC27" s="747"/>
      <c r="AD27" s="747"/>
      <c r="AE27" s="747"/>
      <c r="AF27" s="308"/>
    </row>
    <row r="28" ht="12.75" customHeight="1">
      <c r="A28" s="308"/>
      <c r="B28" s="308"/>
      <c r="C28" s="308"/>
      <c r="D28" s="747"/>
      <c r="E28" s="747"/>
      <c r="F28" s="308"/>
      <c r="G28" s="308"/>
      <c r="H28" s="781"/>
      <c r="I28" s="781"/>
      <c r="J28" s="781"/>
      <c r="K28" s="781"/>
      <c r="L28" s="781"/>
      <c r="M28" s="346" t="s">
        <v>256</v>
      </c>
      <c r="N28" s="308"/>
      <c r="O28" s="308"/>
      <c r="P28" s="782">
        <f>D24+D22+E22+F22+G22+H22+I22+J22+K22+L22+M22+N22+O22-O25</f>
        <v>0</v>
      </c>
      <c r="Q28" s="782"/>
      <c r="R28" s="782"/>
      <c r="S28" s="782"/>
      <c r="T28" s="782"/>
      <c r="U28" s="782"/>
      <c r="V28" s="782"/>
      <c r="W28" s="782"/>
      <c r="X28" s="782"/>
      <c r="Y28" s="782"/>
      <c r="Z28" s="782"/>
      <c r="AA28" s="782"/>
      <c r="AB28" s="782"/>
      <c r="AC28" s="782">
        <f>Q24+Q22+R22+S22+T22+U22+V22+W22+X22+Y22+Z22+AA22+AB22-AB25</f>
        <v>0</v>
      </c>
      <c r="AD28" s="782">
        <f>AB25+AD22-AD25</f>
        <v>0</v>
      </c>
      <c r="AE28" s="782">
        <f>D24+P22+AC22+AD22+AE22-AE25</f>
        <v>-0.0000000001164153218</v>
      </c>
      <c r="AF28" s="308"/>
    </row>
    <row r="29" ht="12.75" customHeight="1">
      <c r="A29" s="308"/>
      <c r="B29" s="308"/>
      <c r="C29" s="747"/>
      <c r="D29" s="747"/>
      <c r="E29" s="747"/>
      <c r="F29" s="747"/>
      <c r="G29" s="747"/>
      <c r="H29" s="747"/>
      <c r="I29" s="747"/>
      <c r="J29" s="747"/>
      <c r="K29" s="747"/>
      <c r="L29" s="747"/>
      <c r="M29" s="747"/>
      <c r="N29" s="747"/>
      <c r="O29" s="747"/>
      <c r="P29" s="747"/>
      <c r="Q29" s="747"/>
      <c r="R29" s="747"/>
      <c r="S29" s="747"/>
      <c r="T29" s="747"/>
      <c r="U29" s="747"/>
      <c r="V29" s="747"/>
      <c r="W29" s="747"/>
      <c r="X29" s="747"/>
      <c r="Y29" s="747"/>
      <c r="Z29" s="747"/>
      <c r="AA29" s="747"/>
      <c r="AB29" s="747"/>
      <c r="AC29" s="747"/>
      <c r="AD29" s="747"/>
      <c r="AE29" s="747"/>
      <c r="AF29" s="308"/>
    </row>
    <row r="30" ht="12.75" customHeight="1"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83"/>
      <c r="R30" s="783"/>
      <c r="S30" s="783"/>
      <c r="T30" s="783"/>
      <c r="U30" s="783"/>
      <c r="V30" s="783"/>
      <c r="W30" s="783"/>
      <c r="X30" s="783"/>
      <c r="Y30" s="783"/>
      <c r="Z30" s="783"/>
      <c r="AA30" s="783"/>
      <c r="AB30" s="783"/>
      <c r="AC30" s="783"/>
      <c r="AD30" s="783"/>
      <c r="AE30" s="783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4:P4"/>
    <mergeCell ref="Q4:AC4"/>
  </mergeCells>
  <conditionalFormatting sqref="P28:AE28">
    <cfRule type="cellIs" dxfId="0" priority="1" operator="notEqual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E2FF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 outlineLevelRow="1"/>
  <cols>
    <col customWidth="1" min="1" max="1" width="3.88"/>
    <col customWidth="1" min="2" max="2" width="43.0"/>
    <col customWidth="1" min="3" max="3" width="12.88"/>
    <col customWidth="1" min="4" max="7" width="11.38" outlineLevel="1"/>
    <col customWidth="1" min="8" max="8" width="12.88"/>
    <col customWidth="1" min="9" max="12" width="11.38" outlineLevel="1"/>
    <col customWidth="1" min="13" max="13" width="12.88"/>
    <col customWidth="1" min="14" max="15" width="13.88"/>
    <col customWidth="1" min="16" max="26" width="10.75"/>
  </cols>
  <sheetData>
    <row r="1" ht="6.75" customHeight="1">
      <c r="B1" s="479"/>
      <c r="C1" s="479"/>
      <c r="D1" s="479"/>
      <c r="E1" s="479"/>
      <c r="F1" s="479"/>
      <c r="G1" s="32"/>
      <c r="H1" s="784"/>
      <c r="I1" s="784"/>
      <c r="J1" s="784"/>
      <c r="K1" s="784"/>
      <c r="L1" s="784"/>
      <c r="M1" s="784"/>
      <c r="N1" s="784"/>
      <c r="O1" s="784"/>
    </row>
    <row r="2" ht="24.75" customHeight="1">
      <c r="A2" s="482"/>
      <c r="B2" s="36" t="s">
        <v>534</v>
      </c>
      <c r="C2" s="785"/>
      <c r="D2" s="785"/>
      <c r="E2" s="785"/>
      <c r="F2" s="785"/>
      <c r="G2" s="785"/>
      <c r="H2" s="38"/>
      <c r="I2" s="38"/>
      <c r="J2" s="38"/>
      <c r="K2" s="38"/>
      <c r="L2" s="37"/>
      <c r="M2" s="786"/>
      <c r="N2" s="786"/>
      <c r="O2" s="786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</row>
    <row r="3" ht="6.75" customHeight="1">
      <c r="A3" s="621"/>
      <c r="B3" s="622"/>
      <c r="C3" s="787"/>
      <c r="D3" s="621"/>
      <c r="E3" s="621"/>
      <c r="F3" s="788"/>
      <c r="G3" s="789"/>
      <c r="H3" s="789"/>
      <c r="I3" s="789"/>
      <c r="J3" s="789"/>
      <c r="K3" s="789"/>
      <c r="L3" s="789"/>
      <c r="M3" s="789"/>
      <c r="N3" s="789"/>
      <c r="O3" s="789"/>
      <c r="P3" s="621"/>
      <c r="Q3" s="621"/>
      <c r="R3" s="621"/>
      <c r="S3" s="621"/>
      <c r="T3" s="621"/>
      <c r="U3" s="790"/>
      <c r="V3" s="787"/>
      <c r="W3" s="790"/>
      <c r="X3" s="621"/>
      <c r="Y3" s="791"/>
      <c r="Z3" s="792"/>
    </row>
    <row r="4" ht="24.0" customHeight="1">
      <c r="A4" s="621"/>
      <c r="B4" s="793"/>
      <c r="C4" s="625">
        <f>YEAR(EDATE(date_début,-12))</f>
        <v>2024</v>
      </c>
      <c r="D4" s="626">
        <f>YEAR(date_début)</f>
        <v>2025</v>
      </c>
      <c r="E4" s="123"/>
      <c r="F4" s="123"/>
      <c r="G4" s="123"/>
      <c r="H4" s="121"/>
      <c r="I4" s="626">
        <f>YEAR(EDATE(date_début,12))</f>
        <v>2026</v>
      </c>
      <c r="J4" s="123"/>
      <c r="K4" s="123"/>
      <c r="L4" s="123"/>
      <c r="M4" s="121"/>
      <c r="N4" s="741">
        <f>YEAR(EDATE(date_début,24))</f>
        <v>2027</v>
      </c>
      <c r="O4" s="625">
        <f>YEAR(EDATE(date_début,36))</f>
        <v>2028</v>
      </c>
      <c r="P4" s="794"/>
      <c r="Q4" s="794"/>
      <c r="R4" s="794"/>
      <c r="S4" s="794"/>
      <c r="T4" s="794"/>
      <c r="U4" s="794"/>
      <c r="V4" s="794"/>
      <c r="W4" s="794"/>
      <c r="X4" s="794"/>
      <c r="Y4" s="794"/>
      <c r="Z4" s="794"/>
    </row>
    <row r="5" ht="12.75" customHeight="1">
      <c r="A5" s="790"/>
      <c r="B5" s="795"/>
      <c r="C5" s="795"/>
      <c r="D5" s="795" t="s">
        <v>492</v>
      </c>
      <c r="E5" s="795" t="s">
        <v>493</v>
      </c>
      <c r="F5" s="795" t="s">
        <v>494</v>
      </c>
      <c r="G5" s="795" t="s">
        <v>495</v>
      </c>
      <c r="H5" s="795"/>
      <c r="I5" s="795" t="s">
        <v>492</v>
      </c>
      <c r="J5" s="795" t="s">
        <v>493</v>
      </c>
      <c r="K5" s="795" t="s">
        <v>494</v>
      </c>
      <c r="L5" s="795" t="s">
        <v>495</v>
      </c>
      <c r="M5" s="795"/>
      <c r="N5" s="795"/>
      <c r="O5" s="795"/>
      <c r="P5" s="796"/>
      <c r="Q5" s="796"/>
      <c r="R5" s="796"/>
      <c r="S5" s="796"/>
      <c r="T5" s="796"/>
      <c r="U5" s="796"/>
      <c r="V5" s="796"/>
      <c r="W5" s="796"/>
      <c r="X5" s="796"/>
      <c r="Y5" s="796"/>
      <c r="Z5" s="796"/>
    </row>
    <row r="6" ht="21.0" customHeight="1">
      <c r="A6" s="161"/>
      <c r="B6" s="181" t="s">
        <v>535</v>
      </c>
      <c r="C6" s="181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</row>
    <row r="7" ht="15.0" customHeight="1" outlineLevel="1">
      <c r="A7" s="308"/>
      <c r="B7" s="453" t="str">
        <f>CA!B22</f>
        <v>Chiffre d'Affaires - Restauration</v>
      </c>
      <c r="C7" s="743"/>
      <c r="D7" s="221">
        <f>CR!$D7</f>
        <v>40569.18182</v>
      </c>
      <c r="E7" s="221">
        <f>CR!$E7</f>
        <v>59125.63636</v>
      </c>
      <c r="F7" s="221">
        <f>CR!$F7</f>
        <v>74141.36364</v>
      </c>
      <c r="G7" s="333">
        <f>CR!$G7</f>
        <v>51022.59091</v>
      </c>
      <c r="H7" s="189">
        <f t="shared" ref="H7:H10" si="1">SUM(D7:G7)</f>
        <v>224858.7727</v>
      </c>
      <c r="I7" s="221">
        <f>CR!I7</f>
        <v>40992.455</v>
      </c>
      <c r="J7" s="221">
        <f>CR!J7</f>
        <v>63474.78</v>
      </c>
      <c r="K7" s="221">
        <f>CR!K7</f>
        <v>84628.17091</v>
      </c>
      <c r="L7" s="333">
        <f>CR!L7</f>
        <v>47604.25909</v>
      </c>
      <c r="M7" s="189">
        <f t="shared" ref="M7:M10" si="2">+SUM(I7:L7)</f>
        <v>236699.665</v>
      </c>
      <c r="N7" s="297">
        <f>CR!N7</f>
        <v>245532.7671</v>
      </c>
      <c r="O7" s="221">
        <f>CR!O7</f>
        <v>283117.9166</v>
      </c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</row>
    <row r="8" ht="12.75" customHeight="1" outlineLevel="1">
      <c r="A8" s="308"/>
      <c r="B8" s="453" t="str">
        <f>CA!B39</f>
        <v>Chiffre d'Affaires - Vente-platforme</v>
      </c>
      <c r="C8" s="743"/>
      <c r="D8" s="221">
        <f>CR!$D8</f>
        <v>0</v>
      </c>
      <c r="E8" s="221">
        <f>CR!$E8</f>
        <v>14225.45</v>
      </c>
      <c r="F8" s="221">
        <f>CR!$F8</f>
        <v>18713.4</v>
      </c>
      <c r="G8" s="296">
        <f>CR!$G8</f>
        <v>13330.2</v>
      </c>
      <c r="H8" s="189">
        <f t="shared" si="1"/>
        <v>46269.05</v>
      </c>
      <c r="I8" s="221">
        <f>CR!I8</f>
        <v>11052.621</v>
      </c>
      <c r="J8" s="221">
        <f>CR!J8</f>
        <v>12517.281</v>
      </c>
      <c r="K8" s="221">
        <f>CR!K8</f>
        <v>13981.941</v>
      </c>
      <c r="L8" s="296">
        <f>CR!L8</f>
        <v>11784.951</v>
      </c>
      <c r="M8" s="189">
        <f t="shared" si="2"/>
        <v>49336.794</v>
      </c>
      <c r="N8" s="297">
        <f>CR!N8</f>
        <v>54382.47663</v>
      </c>
      <c r="O8" s="221">
        <f>CR!O8</f>
        <v>58662.6119</v>
      </c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</row>
    <row r="9" ht="12.75" customHeight="1" outlineLevel="1">
      <c r="A9" s="308"/>
      <c r="B9" s="453" t="str">
        <f>CA!B43</f>
        <v>Chiffre d'Affaires - Epicerie</v>
      </c>
      <c r="C9" s="743"/>
      <c r="D9" s="221">
        <f>CR!$D9</f>
        <v>0</v>
      </c>
      <c r="E9" s="221">
        <f>CR!$E9</f>
        <v>6500</v>
      </c>
      <c r="F9" s="221">
        <f>CR!$F9</f>
        <v>0</v>
      </c>
      <c r="G9" s="296">
        <f>CR!$G9</f>
        <v>0</v>
      </c>
      <c r="H9" s="189">
        <f t="shared" si="1"/>
        <v>6500</v>
      </c>
      <c r="I9" s="221">
        <f>CR!I9</f>
        <v>0</v>
      </c>
      <c r="J9" s="221">
        <f>CR!J9</f>
        <v>8550</v>
      </c>
      <c r="K9" s="221">
        <f>CR!K9</f>
        <v>0</v>
      </c>
      <c r="L9" s="296">
        <f>CR!L9</f>
        <v>0</v>
      </c>
      <c r="M9" s="189">
        <f t="shared" si="2"/>
        <v>8550</v>
      </c>
      <c r="N9" s="297">
        <f>CR!N9</f>
        <v>15700</v>
      </c>
      <c r="O9" s="221">
        <f>CR!O9</f>
        <v>15700</v>
      </c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</row>
    <row r="10" ht="12.75" customHeight="1" outlineLevel="1">
      <c r="A10" s="308"/>
      <c r="B10" s="751" t="str">
        <f>CA!B47</f>
        <v>Chiffre d'Affaires - Traiteur</v>
      </c>
      <c r="C10" s="750"/>
      <c r="D10" s="392">
        <f>CR!$D10</f>
        <v>0</v>
      </c>
      <c r="E10" s="392">
        <f>CR!$E10</f>
        <v>0</v>
      </c>
      <c r="F10" s="392">
        <f>CR!$F10</f>
        <v>0</v>
      </c>
      <c r="G10" s="393">
        <f>CR!$G10</f>
        <v>7000</v>
      </c>
      <c r="H10" s="230">
        <f t="shared" si="1"/>
        <v>7000</v>
      </c>
      <c r="I10" s="392">
        <f>CR!I10</f>
        <v>3125</v>
      </c>
      <c r="J10" s="392">
        <f>CR!J10</f>
        <v>3125</v>
      </c>
      <c r="K10" s="392">
        <f>CR!K10</f>
        <v>3125</v>
      </c>
      <c r="L10" s="393">
        <f>CR!L10</f>
        <v>3125</v>
      </c>
      <c r="M10" s="230">
        <f t="shared" si="2"/>
        <v>12500</v>
      </c>
      <c r="N10" s="797">
        <f>CR!N10</f>
        <v>12500</v>
      </c>
      <c r="O10" s="392">
        <f>CR!O10</f>
        <v>13000</v>
      </c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</row>
    <row r="11" ht="15.0" customHeight="1">
      <c r="A11" s="308"/>
      <c r="B11" s="756" t="s">
        <v>536</v>
      </c>
      <c r="C11" s="216"/>
      <c r="D11" s="217">
        <f t="shared" ref="D11:O11" si="3">SUM(D7:D10)</f>
        <v>40569.18182</v>
      </c>
      <c r="E11" s="217">
        <f t="shared" si="3"/>
        <v>79851.08636</v>
      </c>
      <c r="F11" s="217">
        <f t="shared" si="3"/>
        <v>92854.76364</v>
      </c>
      <c r="G11" s="386">
        <f t="shared" si="3"/>
        <v>71352.79091</v>
      </c>
      <c r="H11" s="216">
        <f t="shared" si="3"/>
        <v>284627.8227</v>
      </c>
      <c r="I11" s="217">
        <f t="shared" si="3"/>
        <v>55170.076</v>
      </c>
      <c r="J11" s="217">
        <f t="shared" si="3"/>
        <v>87667.061</v>
      </c>
      <c r="K11" s="217">
        <f t="shared" si="3"/>
        <v>101735.1119</v>
      </c>
      <c r="L11" s="386">
        <f t="shared" si="3"/>
        <v>62514.21009</v>
      </c>
      <c r="M11" s="216">
        <f t="shared" si="3"/>
        <v>307086.459</v>
      </c>
      <c r="N11" s="216">
        <f t="shared" si="3"/>
        <v>328115.2437</v>
      </c>
      <c r="O11" s="798">
        <f t="shared" si="3"/>
        <v>370480.5285</v>
      </c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</row>
    <row r="12" ht="15.0" customHeight="1" outlineLevel="1">
      <c r="A12" s="308"/>
      <c r="B12" s="453" t="s">
        <v>537</v>
      </c>
      <c r="C12" s="743"/>
      <c r="D12" s="221">
        <f>D7*(Délai_encaissement_A/90)*(1+Taux_de_TVA_moyen)</f>
        <v>0</v>
      </c>
      <c r="E12" s="221">
        <f>E7*(Délai_encaissement_A/90)*(1+Taux_de_TVA_moyen)</f>
        <v>0</v>
      </c>
      <c r="F12" s="221">
        <f>F7*(Délai_encaissement_A/90)*(1+Taux_de_TVA_moyen)</f>
        <v>0</v>
      </c>
      <c r="G12" s="296">
        <f>G7*(Délai_encaissement_A/90)*(1+Taux_de_TVA_moyen)</f>
        <v>0</v>
      </c>
      <c r="H12" s="189">
        <f t="shared" ref="H12:H15" si="4">G12</f>
        <v>0</v>
      </c>
      <c r="I12" s="221">
        <f>I7*(Délai_encaissement_A/90)*(1+Taux_de_TVA_moyen)</f>
        <v>0</v>
      </c>
      <c r="J12" s="221">
        <f>J7*(Délai_encaissement_A/90)*(1+Taux_de_TVA_moyen)</f>
        <v>0</v>
      </c>
      <c r="K12" s="221">
        <f>K7*(Délai_encaissement_A/90)*(1+Taux_de_TVA_moyen)</f>
        <v>0</v>
      </c>
      <c r="L12" s="296">
        <f>L7*(Délai_encaissement_A/90)*(1+Taux_de_TVA_moyen)</f>
        <v>0</v>
      </c>
      <c r="M12" s="189">
        <f t="shared" ref="M12:M15" si="5">L12</f>
        <v>0</v>
      </c>
      <c r="N12" s="297">
        <f>N7*(Délai_encaissement_A/360)*(1+Taux_de_TVA_moyen)</f>
        <v>0</v>
      </c>
      <c r="O12" s="221">
        <f>O7*(Délai_encaissement_A/360)*(1+Taux_de_TVA_moyen)</f>
        <v>0</v>
      </c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</row>
    <row r="13" ht="15.0" customHeight="1" outlineLevel="1">
      <c r="A13" s="308"/>
      <c r="B13" s="453" t="s">
        <v>538</v>
      </c>
      <c r="C13" s="743"/>
      <c r="D13" s="221">
        <f>D8*(Délai_encaissement_B/90)*(1+Taux_de_TVA_moyen)</f>
        <v>0</v>
      </c>
      <c r="E13" s="221">
        <f>E8*(Délai_encaissement_B/90)*(1+Taux_de_TVA_moyen)</f>
        <v>177.0278222</v>
      </c>
      <c r="F13" s="221">
        <f>F8*(Délai_encaissement_B/90)*(1+Taux_de_TVA_moyen)</f>
        <v>232.8778667</v>
      </c>
      <c r="G13" s="296">
        <f>G8*(Délai_encaissement_B/90)*(1+Taux_de_TVA_moyen)</f>
        <v>165.8869333</v>
      </c>
      <c r="H13" s="189">
        <f t="shared" si="4"/>
        <v>165.8869333</v>
      </c>
      <c r="I13" s="221">
        <f>I8*(Délai_encaissement_B/90)*(1+Taux_de_TVA_moyen)</f>
        <v>137.543728</v>
      </c>
      <c r="J13" s="221">
        <f>J8*(Délai_encaissement_B/90)*(1+Taux_de_TVA_moyen)</f>
        <v>155.770608</v>
      </c>
      <c r="K13" s="221">
        <f>K8*(Délai_encaissement_B/90)*(1+Taux_de_TVA_moyen)</f>
        <v>173.997488</v>
      </c>
      <c r="L13" s="296">
        <f>L8*(Délai_encaissement_B/90)*(1+Taux_de_TVA_moyen)</f>
        <v>146.657168</v>
      </c>
      <c r="M13" s="189">
        <f t="shared" si="5"/>
        <v>146.657168</v>
      </c>
      <c r="N13" s="297">
        <f>N8*(Délai_encaissement_B/360)*(1+Taux_de_TVA_moyen)</f>
        <v>169.1899273</v>
      </c>
      <c r="O13" s="221">
        <f>O8*(Délai_encaissement_B/360)*(1+Taux_de_TVA_moyen)</f>
        <v>182.5059037</v>
      </c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</row>
    <row r="14" ht="15.0" customHeight="1" outlineLevel="1">
      <c r="A14" s="308"/>
      <c r="B14" s="453" t="s">
        <v>539</v>
      </c>
      <c r="C14" s="743"/>
      <c r="D14" s="221">
        <f>D9*(Délai_encaissement_C/90)*(1+Taux_de_TVA_moyen)</f>
        <v>0</v>
      </c>
      <c r="E14" s="221">
        <f>E9*(Délai_encaissement_C/90)*(1+Taux_de_TVA_moyen)</f>
        <v>80.88888889</v>
      </c>
      <c r="F14" s="221">
        <f>F9*(Délai_encaissement_C/90)*(1+Taux_de_TVA_moyen)</f>
        <v>0</v>
      </c>
      <c r="G14" s="296">
        <f>G9*(Délai_encaissement_C/90)*(1+Taux_de_TVA_moyen)</f>
        <v>0</v>
      </c>
      <c r="H14" s="189">
        <f t="shared" si="4"/>
        <v>0</v>
      </c>
      <c r="I14" s="221">
        <f>I9*(Délai_encaissement_C/90)*(1+Taux_de_TVA_moyen)</f>
        <v>0</v>
      </c>
      <c r="J14" s="221">
        <f>J9*(Délai_encaissement_C/90)*(1+Taux_de_TVA_moyen)</f>
        <v>106.4</v>
      </c>
      <c r="K14" s="221">
        <f>K9*(Délai_encaissement_C/90)*(1+Taux_de_TVA_moyen)</f>
        <v>0</v>
      </c>
      <c r="L14" s="296">
        <f>L9*(Délai_encaissement_C/90)*(1+Taux_de_TVA_moyen)</f>
        <v>0</v>
      </c>
      <c r="M14" s="189">
        <f t="shared" si="5"/>
        <v>0</v>
      </c>
      <c r="N14" s="297">
        <f>N9*(Délai_encaissement_C/360)*(1+Taux_de_TVA_moyen)</f>
        <v>48.84444444</v>
      </c>
      <c r="O14" s="221">
        <f>O9*(Délai_encaissement_C/360)*(1+Taux_de_TVA_moyen)</f>
        <v>48.84444444</v>
      </c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</row>
    <row r="15" ht="15.0" customHeight="1" outlineLevel="1">
      <c r="A15" s="308"/>
      <c r="B15" s="751" t="s">
        <v>540</v>
      </c>
      <c r="C15" s="750"/>
      <c r="D15" s="392">
        <f>D10*(Délai_encaissement_D/90)*(1+Taux_de_TVA_moyen)</f>
        <v>0</v>
      </c>
      <c r="E15" s="392">
        <f>E10*(Délai_encaissement_D/90)*(1+Taux_de_TVA_moyen)</f>
        <v>0</v>
      </c>
      <c r="F15" s="392">
        <f>F10*(Délai_encaissement_D/90)*(1+Taux_de_TVA_moyen)</f>
        <v>0</v>
      </c>
      <c r="G15" s="393">
        <f>G10*(Délai_encaissement_D/90)*(1+Taux_de_TVA_moyen)</f>
        <v>0</v>
      </c>
      <c r="H15" s="230">
        <f t="shared" si="4"/>
        <v>0</v>
      </c>
      <c r="I15" s="392">
        <f>I10*(Délai_encaissement_D/90)*(1+Taux_de_TVA_moyen)</f>
        <v>0</v>
      </c>
      <c r="J15" s="392">
        <f>J10*(Délai_encaissement_D/90)*(1+Taux_de_TVA_moyen)</f>
        <v>0</v>
      </c>
      <c r="K15" s="392">
        <f>K10*(Délai_encaissement_D/90)*(1+Taux_de_TVA_moyen)</f>
        <v>0</v>
      </c>
      <c r="L15" s="393">
        <f>L10*(Délai_encaissement_D/90)*(1+Taux_de_TVA_moyen)</f>
        <v>0</v>
      </c>
      <c r="M15" s="230">
        <f t="shared" si="5"/>
        <v>0</v>
      </c>
      <c r="N15" s="797">
        <f>N10*(Délai_encaissement_D/360)*(1+Taux_de_TVA_moyen)</f>
        <v>0</v>
      </c>
      <c r="O15" s="392">
        <f>O10*(Délai_encaissement_D/360)*(1+Taux_de_TVA_moyen)</f>
        <v>0</v>
      </c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</row>
    <row r="16" ht="15.0" customHeight="1">
      <c r="A16" s="308"/>
      <c r="B16" s="756" t="s">
        <v>541</v>
      </c>
      <c r="C16" s="216" t="str">
        <f>Bilan!C16</f>
        <v/>
      </c>
      <c r="D16" s="217">
        <f t="shared" ref="D16:O16" si="6">SUM(D12:D15)</f>
        <v>0</v>
      </c>
      <c r="E16" s="217">
        <f t="shared" si="6"/>
        <v>257.9167111</v>
      </c>
      <c r="F16" s="217">
        <f t="shared" si="6"/>
        <v>232.8778667</v>
      </c>
      <c r="G16" s="386">
        <f t="shared" si="6"/>
        <v>165.8869333</v>
      </c>
      <c r="H16" s="216">
        <f t="shared" si="6"/>
        <v>165.8869333</v>
      </c>
      <c r="I16" s="217">
        <f t="shared" si="6"/>
        <v>137.543728</v>
      </c>
      <c r="J16" s="217">
        <f t="shared" si="6"/>
        <v>262.170608</v>
      </c>
      <c r="K16" s="217">
        <f t="shared" si="6"/>
        <v>173.997488</v>
      </c>
      <c r="L16" s="386">
        <f t="shared" si="6"/>
        <v>146.657168</v>
      </c>
      <c r="M16" s="216">
        <f t="shared" si="6"/>
        <v>146.657168</v>
      </c>
      <c r="N16" s="216">
        <f t="shared" si="6"/>
        <v>218.0343717</v>
      </c>
      <c r="O16" s="798">
        <f t="shared" si="6"/>
        <v>231.3503481</v>
      </c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</row>
    <row r="17" ht="6.0" customHeight="1">
      <c r="A17" s="187"/>
      <c r="B17" s="388"/>
      <c r="C17" s="406"/>
      <c r="D17" s="406"/>
      <c r="E17" s="406"/>
      <c r="F17" s="406"/>
      <c r="G17" s="799"/>
      <c r="H17" s="799"/>
      <c r="I17" s="799"/>
      <c r="J17" s="799"/>
      <c r="K17" s="799"/>
      <c r="L17" s="799"/>
      <c r="M17" s="406"/>
      <c r="N17" s="406"/>
      <c r="O17" s="406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21.0" customHeight="1">
      <c r="A18" s="308"/>
      <c r="B18" s="181" t="s">
        <v>542</v>
      </c>
      <c r="C18" s="181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</row>
    <row r="19" ht="15.0" customHeight="1" outlineLevel="1">
      <c r="A19" s="308"/>
      <c r="B19" s="453" t="s">
        <v>543</v>
      </c>
      <c r="C19" s="743"/>
      <c r="D19" s="221">
        <f>SUM(CA!D67:F67)*Durée_de_stockage_A/90*(1+Taux_de_TVA_moyen)</f>
        <v>0</v>
      </c>
      <c r="E19" s="221">
        <f>SUM(CA!G67:I67)*(Durée_de_stockage_A/90)*(1+Taux_de_TVA_moyen)</f>
        <v>0</v>
      </c>
      <c r="F19" s="221">
        <f>SUM(CA!J67:L67)*(Durée_de_stockage_A/90)*(1+Taux_de_TVA_moyen)</f>
        <v>0</v>
      </c>
      <c r="G19" s="333">
        <f>SUM(CA!M67:O67)*(Durée_de_stockage_A/90)*(1+Taux_de_TVA_moyen)</f>
        <v>0</v>
      </c>
      <c r="H19" s="189">
        <f t="shared" ref="H19:H20" si="7">G19</f>
        <v>0</v>
      </c>
      <c r="I19" s="221">
        <f>SUM(CA!Q67:S67)*(Durée_de_stockage_A/90)*(1+Taux_de_TVA_moyen)</f>
        <v>0</v>
      </c>
      <c r="J19" s="221">
        <f>SUM(CA!T67:V67)*(Durée_de_stockage_A/90)*(1+Taux_de_TVA_moyen)</f>
        <v>0</v>
      </c>
      <c r="K19" s="221">
        <f>SUM(CA!W67:Y67)*(Durée_de_stockage_A/90)*(1+Taux_de_TVA_moyen)</f>
        <v>0</v>
      </c>
      <c r="L19" s="333">
        <f>SUM(CA!Z67:AB67)*(Durée_de_stockage_A/90)*(1+Taux_de_TVA_moyen)</f>
        <v>0</v>
      </c>
      <c r="M19" s="189">
        <f t="shared" ref="M19:M21" si="8">L19</f>
        <v>0</v>
      </c>
      <c r="N19" s="297">
        <f>CA!AD67*(Durée_de_stockage_A/360)*(1+Taux_de_TVA_moyen)</f>
        <v>0</v>
      </c>
      <c r="O19" s="221">
        <f>CA!AE67*(Durée_de_stockage_A/360)*(1+Taux_de_TVA_moyen)</f>
        <v>0</v>
      </c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</row>
    <row r="20" ht="15.0" customHeight="1" outlineLevel="1">
      <c r="A20" s="308"/>
      <c r="B20" s="751" t="s">
        <v>544</v>
      </c>
      <c r="C20" s="750"/>
      <c r="D20" s="392">
        <f>SUM(CA!D75:F75)*(Durée_de_stockage_B/90)*(1+Taux_de_TVA_moyen)</f>
        <v>0</v>
      </c>
      <c r="E20" s="392">
        <f>SUM(CA!G75:I75)*(Durée_de_stockage_B/90)*(1+Taux_de_TVA_moyen)</f>
        <v>0</v>
      </c>
      <c r="F20" s="392">
        <f>SUM(CA!J75:L75)*(Durée_de_stockage_B/90)*(1+Taux_de_TVA_moyen)</f>
        <v>0</v>
      </c>
      <c r="G20" s="393">
        <f>SUM(CA!M75:O75)*(Durée_de_stockage_B/90)*(1+Taux_de_TVA_moyen)</f>
        <v>0</v>
      </c>
      <c r="H20" s="230">
        <f t="shared" si="7"/>
        <v>0</v>
      </c>
      <c r="I20" s="392">
        <f>SUM(CA!Q75:S75)*(Durée_de_stockage_B/90)*(1+Taux_de_TVA_moyen)</f>
        <v>0</v>
      </c>
      <c r="J20" s="392">
        <f>SUM(CA!T75:V75)*(Durée_de_stockage_B/90)*(1+Taux_de_TVA_moyen)</f>
        <v>0</v>
      </c>
      <c r="K20" s="392">
        <f>SUM(CA!W75:Y75)*(Durée_de_stockage_B/90)*(1+Taux_de_TVA_moyen)</f>
        <v>0</v>
      </c>
      <c r="L20" s="393">
        <f>SUM(CA!Z75:AB75)*(Durée_de_stockage_B/90)*(1+Taux_de_TVA_moyen)</f>
        <v>0</v>
      </c>
      <c r="M20" s="230">
        <f t="shared" si="8"/>
        <v>0</v>
      </c>
      <c r="N20" s="797">
        <f>CA!AD75*(Durée_de_stockage_B/360)*(1+Taux_de_TVA_moyen)</f>
        <v>0</v>
      </c>
      <c r="O20" s="392">
        <f>CA!AE75*(Durée_de_stockage_B/360)*(1+Taux_de_TVA_moyen)</f>
        <v>0</v>
      </c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</row>
    <row r="21" ht="15.0" customHeight="1">
      <c r="A21" s="308"/>
      <c r="B21" s="756" t="s">
        <v>545</v>
      </c>
      <c r="C21" s="216" t="str">
        <f>Bilan!C15</f>
        <v/>
      </c>
      <c r="D21" s="217">
        <f t="shared" ref="D21:G21" si="9">SUM(D19:D20)</f>
        <v>0</v>
      </c>
      <c r="E21" s="217">
        <f t="shared" si="9"/>
        <v>0</v>
      </c>
      <c r="F21" s="217">
        <f t="shared" si="9"/>
        <v>0</v>
      </c>
      <c r="G21" s="386">
        <f t="shared" si="9"/>
        <v>0</v>
      </c>
      <c r="H21" s="216">
        <f>H19+H20</f>
        <v>0</v>
      </c>
      <c r="I21" s="217">
        <f t="shared" ref="I21:L21" si="10">SUM(I19:I20)</f>
        <v>0</v>
      </c>
      <c r="J21" s="217">
        <f t="shared" si="10"/>
        <v>0</v>
      </c>
      <c r="K21" s="217">
        <f t="shared" si="10"/>
        <v>0</v>
      </c>
      <c r="L21" s="386">
        <f t="shared" si="10"/>
        <v>0</v>
      </c>
      <c r="M21" s="216">
        <f t="shared" si="8"/>
        <v>0</v>
      </c>
      <c r="N21" s="216">
        <f t="shared" ref="N21:O21" si="11">SUM(N19:N20)</f>
        <v>0</v>
      </c>
      <c r="O21" s="798">
        <f t="shared" si="11"/>
        <v>0</v>
      </c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</row>
    <row r="22" ht="9.0" customHeight="1">
      <c r="A22" s="187"/>
      <c r="B22" s="388"/>
      <c r="C22" s="406"/>
      <c r="D22" s="399"/>
      <c r="E22" s="399"/>
      <c r="F22" s="399"/>
      <c r="G22" s="399"/>
      <c r="H22" s="406"/>
      <c r="I22" s="399"/>
      <c r="J22" s="399"/>
      <c r="K22" s="399"/>
      <c r="L22" s="399"/>
      <c r="M22" s="406"/>
      <c r="N22" s="406"/>
      <c r="O22" s="406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23.25" customHeight="1">
      <c r="A23" s="800"/>
      <c r="B23" s="764" t="s">
        <v>546</v>
      </c>
      <c r="C23" s="304">
        <f t="shared" ref="C23:O23" si="12">C16+C21</f>
        <v>0</v>
      </c>
      <c r="D23" s="302">
        <f t="shared" si="12"/>
        <v>0</v>
      </c>
      <c r="E23" s="302">
        <f t="shared" si="12"/>
        <v>257.9167111</v>
      </c>
      <c r="F23" s="302">
        <f t="shared" si="12"/>
        <v>232.8778667</v>
      </c>
      <c r="G23" s="302">
        <f t="shared" si="12"/>
        <v>165.8869333</v>
      </c>
      <c r="H23" s="304">
        <f t="shared" si="12"/>
        <v>165.8869333</v>
      </c>
      <c r="I23" s="302">
        <f t="shared" si="12"/>
        <v>137.543728</v>
      </c>
      <c r="J23" s="302">
        <f t="shared" si="12"/>
        <v>262.170608</v>
      </c>
      <c r="K23" s="302">
        <f t="shared" si="12"/>
        <v>173.997488</v>
      </c>
      <c r="L23" s="302">
        <f t="shared" si="12"/>
        <v>146.657168</v>
      </c>
      <c r="M23" s="304">
        <f t="shared" si="12"/>
        <v>146.657168</v>
      </c>
      <c r="N23" s="304">
        <f t="shared" si="12"/>
        <v>218.0343717</v>
      </c>
      <c r="O23" s="465">
        <f t="shared" si="12"/>
        <v>231.3503481</v>
      </c>
      <c r="P23" s="800"/>
      <c r="Q23" s="800"/>
      <c r="R23" s="800"/>
      <c r="S23" s="800"/>
      <c r="T23" s="800"/>
      <c r="U23" s="800"/>
      <c r="V23" s="800"/>
      <c r="W23" s="800"/>
      <c r="X23" s="800"/>
      <c r="Y23" s="800"/>
      <c r="Z23" s="800"/>
    </row>
    <row r="24" ht="16.5" customHeight="1">
      <c r="A24" s="308"/>
      <c r="B24" s="343"/>
      <c r="C24" s="757"/>
      <c r="D24" s="801"/>
      <c r="E24" s="801"/>
      <c r="F24" s="802"/>
      <c r="G24" s="801"/>
      <c r="H24" s="801"/>
      <c r="I24" s="801"/>
      <c r="J24" s="801"/>
      <c r="K24" s="801"/>
      <c r="L24" s="801"/>
      <c r="M24" s="801"/>
      <c r="N24" s="801"/>
      <c r="O24" s="801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</row>
    <row r="25" ht="21.0" customHeight="1">
      <c r="A25" s="161"/>
      <c r="B25" s="181" t="s">
        <v>547</v>
      </c>
      <c r="C25" s="181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 ht="15.0" customHeight="1" outlineLevel="1">
      <c r="A26" s="308"/>
      <c r="B26" s="453" t="s">
        <v>548</v>
      </c>
      <c r="C26" s="743"/>
      <c r="D26" s="221">
        <f>SUM(CA!D94:F94)</f>
        <v>12170.75455</v>
      </c>
      <c r="E26" s="221">
        <f>SUM(CA!G94:I94)</f>
        <v>22005.32591</v>
      </c>
      <c r="F26" s="221">
        <f>SUM(CA!J94:L94)</f>
        <v>24149.36091</v>
      </c>
      <c r="G26" s="333">
        <f>SUM(CA!M94:O94)</f>
        <v>16754.70773</v>
      </c>
      <c r="H26" s="189">
        <f t="shared" ref="H26:H28" si="13">SUM(D26:G26)</f>
        <v>75080.14909</v>
      </c>
      <c r="I26" s="221">
        <f>SUM(CA!Q94:CA!S94)</f>
        <v>13563.90005</v>
      </c>
      <c r="J26" s="221">
        <f>SUM(CA!T94:CA!V94)</f>
        <v>19623.8793</v>
      </c>
      <c r="K26" s="221">
        <f>SUM(CA!W94:CA!Y94)</f>
        <v>25351.62503</v>
      </c>
      <c r="L26" s="333">
        <f>SUM(CA!Z94:CA!AB94)</f>
        <v>15436.55007</v>
      </c>
      <c r="M26" s="189">
        <f t="shared" ref="M26:M28" si="14">+SUM(I26:L26)</f>
        <v>73975.95445</v>
      </c>
      <c r="N26" s="297">
        <f>CA!AD94</f>
        <v>74340.62991</v>
      </c>
      <c r="O26" s="221">
        <f>CA!AE94</f>
        <v>84507.95283</v>
      </c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</row>
    <row r="27" ht="15.0" customHeight="1" outlineLevel="1">
      <c r="A27" s="308"/>
      <c r="B27" s="453" t="s">
        <v>549</v>
      </c>
      <c r="C27" s="743"/>
      <c r="D27" s="221">
        <f>SUM(Personnel!D75:F75)</f>
        <v>0</v>
      </c>
      <c r="E27" s="221">
        <f>SUM(Personnel!G75:I75)</f>
        <v>0</v>
      </c>
      <c r="F27" s="221">
        <f>SUM(Personnel!J75:L75)</f>
        <v>0</v>
      </c>
      <c r="G27" s="296">
        <f>SUM(Personnel!M75:O75)</f>
        <v>0</v>
      </c>
      <c r="H27" s="189">
        <f t="shared" si="13"/>
        <v>0</v>
      </c>
      <c r="I27" s="221">
        <f>SUM(Personnel!Q75:Personnel!S75)</f>
        <v>0</v>
      </c>
      <c r="J27" s="221">
        <f>SUM(Personnel!T75:Personnel!V75)</f>
        <v>0</v>
      </c>
      <c r="K27" s="221">
        <f>SUM(Personnel!W75:Personnel!Y75)</f>
        <v>0</v>
      </c>
      <c r="L27" s="296">
        <f>SUM(Personnel!Z75:Personnel!AB75)</f>
        <v>0</v>
      </c>
      <c r="M27" s="189">
        <f t="shared" si="14"/>
        <v>0</v>
      </c>
      <c r="N27" s="297">
        <f>Personnel!AD75</f>
        <v>0</v>
      </c>
      <c r="O27" s="221">
        <f>Personnel!AE75</f>
        <v>0</v>
      </c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</row>
    <row r="28" ht="15.0" customHeight="1" outlineLevel="1">
      <c r="A28" s="308"/>
      <c r="B28" s="453" t="s">
        <v>550</v>
      </c>
      <c r="C28" s="743"/>
      <c r="D28" s="445">
        <f>SUM('Charges dexploitation'!C94:E94)</f>
        <v>2631.23</v>
      </c>
      <c r="E28" s="446">
        <f>SUM('Charges dexploitation'!F94:H94)</f>
        <v>8692.07</v>
      </c>
      <c r="F28" s="446">
        <f>SUM('Charges dexploitation'!I94:K94)</f>
        <v>14367.24</v>
      </c>
      <c r="G28" s="446">
        <f>SUM('Charges dexploitation'!L94:N94)</f>
        <v>17067.24</v>
      </c>
      <c r="H28" s="803">
        <f t="shared" si="13"/>
        <v>42757.78</v>
      </c>
      <c r="I28" s="221">
        <f>SUM('Charges dexploitation'!P94:R94)</f>
        <v>20761.51</v>
      </c>
      <c r="J28" s="221">
        <f>SUM('Charges dexploitation'!S94:U94)</f>
        <v>15550.51</v>
      </c>
      <c r="K28" s="221">
        <f>SUM('Charges dexploitation'!V94:X94)</f>
        <v>15388.51</v>
      </c>
      <c r="L28" s="296">
        <f>SUM('Charges dexploitation'!Y94:AA94)</f>
        <v>18462.51</v>
      </c>
      <c r="M28" s="189">
        <f t="shared" si="14"/>
        <v>70163.04</v>
      </c>
      <c r="N28" s="297">
        <f>'Charges dexploitation'!AC94</f>
        <v>71987.04</v>
      </c>
      <c r="O28" s="221">
        <f>'Charges dexploitation'!AD94</f>
        <v>72171.04</v>
      </c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</row>
    <row r="29" ht="15.0" customHeight="1" outlineLevel="1">
      <c r="A29" s="308"/>
      <c r="B29" s="751" t="s">
        <v>551</v>
      </c>
      <c r="C29" s="750"/>
      <c r="D29" s="392">
        <f>Investissements!E45</f>
        <v>0</v>
      </c>
      <c r="E29" s="392">
        <f>Investissements!F45</f>
        <v>0</v>
      </c>
      <c r="F29" s="392">
        <f>Investissements!G45</f>
        <v>0</v>
      </c>
      <c r="G29" s="393">
        <f>Investissements!H45</f>
        <v>0</v>
      </c>
      <c r="H29" s="230">
        <f>Investissements!I45</f>
        <v>0</v>
      </c>
      <c r="I29" s="392">
        <f>Investissements!J45</f>
        <v>0</v>
      </c>
      <c r="J29" s="392">
        <f>Investissements!K45</f>
        <v>0</v>
      </c>
      <c r="K29" s="392">
        <f>Investissements!L45</f>
        <v>0</v>
      </c>
      <c r="L29" s="393">
        <f>Investissements!M45</f>
        <v>0</v>
      </c>
      <c r="M29" s="230">
        <f>Investissements!N45</f>
        <v>0</v>
      </c>
      <c r="N29" s="797">
        <f>Investissements!O45</f>
        <v>0</v>
      </c>
      <c r="O29" s="392">
        <f>Investissements!P45</f>
        <v>0</v>
      </c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</row>
    <row r="30" ht="15.0" customHeight="1">
      <c r="A30" s="308"/>
      <c r="B30" s="756" t="s">
        <v>552</v>
      </c>
      <c r="C30" s="216"/>
      <c r="D30" s="217">
        <f t="shared" ref="D30:L30" si="15">SUM(D26:D29)</f>
        <v>14801.98455</v>
      </c>
      <c r="E30" s="217">
        <f t="shared" si="15"/>
        <v>30697.39591</v>
      </c>
      <c r="F30" s="217">
        <f t="shared" si="15"/>
        <v>38516.60091</v>
      </c>
      <c r="G30" s="386">
        <f t="shared" si="15"/>
        <v>33821.94773</v>
      </c>
      <c r="H30" s="216">
        <f t="shared" si="15"/>
        <v>117837.9291</v>
      </c>
      <c r="I30" s="217">
        <f t="shared" si="15"/>
        <v>34325.41005</v>
      </c>
      <c r="J30" s="217">
        <f t="shared" si="15"/>
        <v>35174.3893</v>
      </c>
      <c r="K30" s="217">
        <f t="shared" si="15"/>
        <v>40740.13503</v>
      </c>
      <c r="L30" s="386">
        <f t="shared" si="15"/>
        <v>33899.06007</v>
      </c>
      <c r="M30" s="216">
        <f>+SUM(M26:M29)</f>
        <v>144138.9945</v>
      </c>
      <c r="N30" s="216">
        <f t="shared" ref="N30:O30" si="16">SUM(N26:N29)</f>
        <v>146327.6699</v>
      </c>
      <c r="O30" s="798">
        <f t="shared" si="16"/>
        <v>156678.9928</v>
      </c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</row>
    <row r="31" ht="15.0" customHeight="1" outlineLevel="1">
      <c r="A31" s="308"/>
      <c r="B31" s="453" t="s">
        <v>553</v>
      </c>
      <c r="C31" s="743"/>
      <c r="D31" s="221">
        <f>D26*Délai_paiement_Achat/90*(1+Taux_de_TVA_moyen)</f>
        <v>4543.748364</v>
      </c>
      <c r="E31" s="221">
        <f>E26*Délai_paiement_Achat/90*(1+Taux_de_TVA_moyen)</f>
        <v>8215.321673</v>
      </c>
      <c r="F31" s="221">
        <f>F26*Délai_paiement_Achat/90*(1+Taux_de_TVA_moyen)</f>
        <v>9015.761406</v>
      </c>
      <c r="G31" s="296">
        <f>G26*Délai_paiement_Achat/90*(1+Taux_de_TVA_moyen)</f>
        <v>6255.090885</v>
      </c>
      <c r="H31" s="189">
        <f t="shared" ref="H31:H35" si="17">G31</f>
        <v>6255.090885</v>
      </c>
      <c r="I31" s="221">
        <f>I26*Délai_paiement_Achat/90*(1+Taux_de_TVA_moyen)</f>
        <v>5063.856019</v>
      </c>
      <c r="J31" s="221">
        <f>J26*Délai_paiement_Achat/90*(1+Taux_de_TVA_moyen)</f>
        <v>7326.248272</v>
      </c>
      <c r="K31" s="221">
        <f>K26*Délai_paiement_Achat/90*(1+Taux_de_TVA_moyen)</f>
        <v>9464.606677</v>
      </c>
      <c r="L31" s="296">
        <f>L26*Délai_paiement_Achat/90*(1+Taux_de_TVA_moyen)</f>
        <v>5762.978694</v>
      </c>
      <c r="M31" s="189">
        <f t="shared" ref="M31:M35" si="18">L31</f>
        <v>5762.978694</v>
      </c>
      <c r="N31" s="297">
        <f>N26*Délai_paiement_Achat/360*(1+Taux_de_TVA_moyen)</f>
        <v>6938.458792</v>
      </c>
      <c r="O31" s="221">
        <f>O26*Délai_paiement_Achat/360*(1+Taux_de_TVA_moyen)</f>
        <v>7887.408931</v>
      </c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</row>
    <row r="32" ht="15.0" customHeight="1" outlineLevel="1">
      <c r="A32" s="308"/>
      <c r="B32" s="453" t="s">
        <v>554</v>
      </c>
      <c r="C32" s="743"/>
      <c r="D32" s="221">
        <f>D27*Délai_paiement_ST/90*(1+Taux_de_TVA_moyen)</f>
        <v>0</v>
      </c>
      <c r="E32" s="221">
        <f>E27*Délai_paiement_ST/90*(1+Taux_de_TVA_moyen)</f>
        <v>0</v>
      </c>
      <c r="F32" s="221">
        <f>F27*Délai_paiement_ST/90*(1+Taux_de_TVA_moyen)</f>
        <v>0</v>
      </c>
      <c r="G32" s="296">
        <f>G27*Délai_paiement_ST/90*(1+Taux_de_TVA_moyen)</f>
        <v>0</v>
      </c>
      <c r="H32" s="189">
        <f t="shared" si="17"/>
        <v>0</v>
      </c>
      <c r="I32" s="221">
        <f>I27*Délai_paiement_ST/90*(1+Taux_de_TVA_moyen)</f>
        <v>0</v>
      </c>
      <c r="J32" s="221">
        <f>J27*Délai_paiement_ST/90*(1+Taux_de_TVA_moyen)</f>
        <v>0</v>
      </c>
      <c r="K32" s="221">
        <f>K27*Délai_paiement_ST/90*(1+Taux_de_TVA_moyen)</f>
        <v>0</v>
      </c>
      <c r="L32" s="296">
        <f>L27*Délai_paiement_ST/90*(1+Taux_de_TVA_moyen)</f>
        <v>0</v>
      </c>
      <c r="M32" s="189">
        <f t="shared" si="18"/>
        <v>0</v>
      </c>
      <c r="N32" s="297">
        <f>N27*Délai_paiement_ST/360*(1+Taux_de_TVA_moyen)</f>
        <v>0</v>
      </c>
      <c r="O32" s="221">
        <f>O27*Délai_paiement_ST/360*(1+Taux_de_TVA_moyen)</f>
        <v>0</v>
      </c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</row>
    <row r="33" ht="15.0" customHeight="1" outlineLevel="1">
      <c r="A33" s="308"/>
      <c r="B33" s="453" t="s">
        <v>555</v>
      </c>
      <c r="C33" s="743"/>
      <c r="D33" s="221">
        <f>D28*Délai_paiement_charges/90*(1+Taux_de_TVA_moyen)</f>
        <v>2946.9776</v>
      </c>
      <c r="E33" s="221">
        <f>E28*Délai_paiement_charges/90*(1+Taux_de_TVA_moyen)</f>
        <v>9735.1184</v>
      </c>
      <c r="F33" s="221">
        <f>F28*Délai_paiement_charges/90*(1+Taux_de_TVA_moyen)</f>
        <v>16091.3088</v>
      </c>
      <c r="G33" s="296">
        <f>G28*Délai_paiement_charges/90*(1+Taux_de_TVA_moyen)</f>
        <v>19115.3088</v>
      </c>
      <c r="H33" s="189">
        <f t="shared" si="17"/>
        <v>19115.3088</v>
      </c>
      <c r="I33" s="221">
        <f>I28*Délai_paiement_charges/90*(1+Taux_de_TVA_moyen)</f>
        <v>23252.8912</v>
      </c>
      <c r="J33" s="221">
        <f>J28*Délai_paiement_charges/90*(1+Taux_de_TVA_moyen)</f>
        <v>17416.5712</v>
      </c>
      <c r="K33" s="221">
        <f>K28*Délai_paiement_charges/90*(1+Taux_de_TVA_moyen)</f>
        <v>17235.1312</v>
      </c>
      <c r="L33" s="296">
        <f>L28*Délai_paiement_charges/90*(1+Taux_de_TVA_moyen)</f>
        <v>20678.0112</v>
      </c>
      <c r="M33" s="189">
        <f t="shared" si="18"/>
        <v>20678.0112</v>
      </c>
      <c r="N33" s="297">
        <f>N28*Délai_paiement_charges/360*(1+Taux_de_TVA_moyen)</f>
        <v>20156.3712</v>
      </c>
      <c r="O33" s="221">
        <f>O28*Délai_paiement_charges/360*(1+Taux_de_TVA_moyen)</f>
        <v>20207.8912</v>
      </c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</row>
    <row r="34" ht="15.0" customHeight="1" outlineLevel="1">
      <c r="A34" s="308"/>
      <c r="B34" s="751" t="s">
        <v>556</v>
      </c>
      <c r="C34" s="750"/>
      <c r="D34" s="392">
        <f>D29*Délai_paiement_invest/90*(Taux_de_TVA_investissement)</f>
        <v>0</v>
      </c>
      <c r="E34" s="392">
        <f>E29*Délai_paiement_invest/90*(Taux_de_TVA_investissement)</f>
        <v>0</v>
      </c>
      <c r="F34" s="392">
        <f>F29*Délai_paiement_invest/90*(Taux_de_TVA_investissement)</f>
        <v>0</v>
      </c>
      <c r="G34" s="393">
        <f>G29*Délai_paiement_invest/90*(Taux_de_TVA_investissement)</f>
        <v>0</v>
      </c>
      <c r="H34" s="230">
        <f t="shared" si="17"/>
        <v>0</v>
      </c>
      <c r="I34" s="392">
        <f>I29*Délai_paiement_invest/90*(Taux_de_TVA_investissement)</f>
        <v>0</v>
      </c>
      <c r="J34" s="392">
        <f>J29*Délai_paiement_invest/90*(Taux_de_TVA_investissement)</f>
        <v>0</v>
      </c>
      <c r="K34" s="392">
        <f>K29*Délai_paiement_invest/90*(Taux_de_TVA_investissement)</f>
        <v>0</v>
      </c>
      <c r="L34" s="393">
        <f>L29*Délai_paiement_invest/90*(Taux_de_TVA_investissement)</f>
        <v>0</v>
      </c>
      <c r="M34" s="230">
        <f t="shared" si="18"/>
        <v>0</v>
      </c>
      <c r="N34" s="797">
        <f>N29*Délai_paiement_invest/360*(1+Taux_de_TVA_investissement)</f>
        <v>0</v>
      </c>
      <c r="O34" s="392">
        <f>O29*Délai_paiement_invest/360*(1+Taux_de_TVA_investissement)</f>
        <v>0</v>
      </c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</row>
    <row r="35" ht="15.0" customHeight="1">
      <c r="A35" s="308"/>
      <c r="B35" s="756" t="s">
        <v>557</v>
      </c>
      <c r="C35" s="216" t="str">
        <f>Bilan!C35</f>
        <v/>
      </c>
      <c r="D35" s="217">
        <f t="shared" ref="D35:G35" si="19">SUM(D31:D34)</f>
        <v>7490.725964</v>
      </c>
      <c r="E35" s="217">
        <f t="shared" si="19"/>
        <v>17950.44007</v>
      </c>
      <c r="F35" s="217">
        <f t="shared" si="19"/>
        <v>25107.07021</v>
      </c>
      <c r="G35" s="386">
        <f t="shared" si="19"/>
        <v>25370.39968</v>
      </c>
      <c r="H35" s="216">
        <f t="shared" si="17"/>
        <v>25370.39968</v>
      </c>
      <c r="I35" s="217">
        <f t="shared" ref="I35:L35" si="20">SUM(I31:I34)</f>
        <v>28316.74722</v>
      </c>
      <c r="J35" s="217">
        <f t="shared" si="20"/>
        <v>24742.81947</v>
      </c>
      <c r="K35" s="217">
        <f t="shared" si="20"/>
        <v>26699.73788</v>
      </c>
      <c r="L35" s="386">
        <f t="shared" si="20"/>
        <v>26440.98989</v>
      </c>
      <c r="M35" s="216">
        <f t="shared" si="18"/>
        <v>26440.98989</v>
      </c>
      <c r="N35" s="216">
        <f t="shared" ref="N35:O35" si="21">SUM(N31:N34)</f>
        <v>27094.82999</v>
      </c>
      <c r="O35" s="798">
        <f t="shared" si="21"/>
        <v>28095.30013</v>
      </c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</row>
    <row r="36" ht="15.0" customHeight="1">
      <c r="A36" s="308"/>
      <c r="B36" s="308"/>
      <c r="C36" s="747"/>
      <c r="D36" s="747"/>
      <c r="E36" s="747"/>
      <c r="F36" s="804"/>
      <c r="G36" s="804"/>
      <c r="H36" s="747"/>
      <c r="I36" s="747"/>
      <c r="J36" s="747"/>
      <c r="K36" s="804"/>
      <c r="L36" s="804"/>
      <c r="M36" s="747"/>
      <c r="N36" s="747"/>
      <c r="O36" s="747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</row>
    <row r="37" ht="21.0" customHeight="1">
      <c r="A37" s="161"/>
      <c r="B37" s="181" t="s">
        <v>558</v>
      </c>
      <c r="C37" s="181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 ht="15.0" customHeight="1" outlineLevel="1">
      <c r="A38" s="308"/>
      <c r="B38" s="453" t="s">
        <v>559</v>
      </c>
      <c r="C38" s="743"/>
      <c r="D38" s="221">
        <f>SUM(Personnel!D74:F74)</f>
        <v>5782.5</v>
      </c>
      <c r="E38" s="221">
        <f>SUM(Personnel!G74:I74)</f>
        <v>5782.5</v>
      </c>
      <c r="F38" s="221">
        <f>SUM(Personnel!J74:L74)</f>
        <v>5782.5</v>
      </c>
      <c r="G38" s="333">
        <f>SUM(Personnel!M74:O74)</f>
        <v>5782.5</v>
      </c>
      <c r="H38" s="189">
        <f t="shared" ref="H38:H39" si="22">G38</f>
        <v>5782.5</v>
      </c>
      <c r="I38" s="221">
        <f>SUM(Personnel!Q74:S74)</f>
        <v>5782.5</v>
      </c>
      <c r="J38" s="221">
        <f>SUM(Personnel!T74:V74)</f>
        <v>5782.5</v>
      </c>
      <c r="K38" s="221">
        <f>SUM(Personnel!W74:Y74)</f>
        <v>5782.5</v>
      </c>
      <c r="L38" s="333">
        <f>SUM(Personnel!Z74:AB74)</f>
        <v>5782.5</v>
      </c>
      <c r="M38" s="189">
        <f t="shared" ref="M38:M39" si="23">L38</f>
        <v>5782.5</v>
      </c>
      <c r="N38" s="805">
        <f>Personnel!AD74/4</f>
        <v>6219.28125</v>
      </c>
      <c r="O38" s="806">
        <f>Personnel!AE74/4</f>
        <v>6530.245313</v>
      </c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</row>
    <row r="39" ht="15.0" customHeight="1" outlineLevel="1">
      <c r="A39" s="308"/>
      <c r="B39" s="453" t="s">
        <v>560</v>
      </c>
      <c r="C39" s="743"/>
      <c r="D39" s="221">
        <f>(D11-D30)*Taux_de_TVA_moyen/3</f>
        <v>1030.687891</v>
      </c>
      <c r="E39" s="221">
        <f>(E11-E30)*Taux_de_TVA_moyen/3</f>
        <v>1966.147618</v>
      </c>
      <c r="F39" s="221">
        <f>(F11-F30)*Taux_de_TVA_moyen/3</f>
        <v>2173.526509</v>
      </c>
      <c r="G39" s="296">
        <f>(G11-G30)*Taux_de_TVA_moyen/3</f>
        <v>1501.233727</v>
      </c>
      <c r="H39" s="189">
        <f t="shared" si="22"/>
        <v>1501.233727</v>
      </c>
      <c r="I39" s="221">
        <f>(I11-I30)*Taux_de_TVA_moyen/3</f>
        <v>833.786638</v>
      </c>
      <c r="J39" s="221">
        <f>(J11-J30)*Taux_de_TVA_moyen/3</f>
        <v>2099.706868</v>
      </c>
      <c r="K39" s="221">
        <f>(K11-K30)*Taux_de_TVA_moyen/3</f>
        <v>2439.799075</v>
      </c>
      <c r="L39" s="296">
        <f>(L11-L30)*Taux_de_TVA_moyen/3</f>
        <v>1144.606001</v>
      </c>
      <c r="M39" s="189">
        <f t="shared" si="23"/>
        <v>1144.606001</v>
      </c>
      <c r="N39" s="297">
        <f>(N11-N30)*Taux_de_TVA_moyen/12</f>
        <v>1817.875738</v>
      </c>
      <c r="O39" s="221">
        <f>(O11-O30)*Taux_de_TVA_moyen/12</f>
        <v>2138.015357</v>
      </c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</row>
    <row r="40" ht="15.0" customHeight="1" outlineLevel="1">
      <c r="A40" s="308"/>
      <c r="B40" s="751" t="s">
        <v>561</v>
      </c>
      <c r="C40" s="750"/>
      <c r="D40" s="392">
        <f>-(CR!D60)</f>
        <v>0</v>
      </c>
      <c r="E40" s="392">
        <f>-(CR!E60)</f>
        <v>0</v>
      </c>
      <c r="F40" s="392">
        <f>-(CR!F60)</f>
        <v>0</v>
      </c>
      <c r="G40" s="393">
        <f>-(CR!G60)</f>
        <v>21220.49424</v>
      </c>
      <c r="H40" s="230">
        <f>-(CR!H60)</f>
        <v>21220.49424</v>
      </c>
      <c r="I40" s="392">
        <f>-(CR!I60)</f>
        <v>0</v>
      </c>
      <c r="J40" s="392">
        <f>-(CR!J60)</f>
        <v>0</v>
      </c>
      <c r="K40" s="392">
        <f>-(CR!K60)</f>
        <v>0</v>
      </c>
      <c r="L40" s="393">
        <f>-(CR!L60)</f>
        <v>19587.63501</v>
      </c>
      <c r="M40" s="230">
        <f>-(CR!M60)</f>
        <v>19587.63501</v>
      </c>
      <c r="N40" s="797">
        <f>-(CR!N60)</f>
        <v>23097.82506</v>
      </c>
      <c r="O40" s="392">
        <f>-(CR!O60)</f>
        <v>30314.87162</v>
      </c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</row>
    <row r="41" ht="15.0" customHeight="1">
      <c r="A41" s="308"/>
      <c r="B41" s="756" t="s">
        <v>562</v>
      </c>
      <c r="C41" s="216" t="str">
        <f>Bilan!C36</f>
        <v/>
      </c>
      <c r="D41" s="217">
        <f t="shared" ref="D41:O41" si="24">SUM(D38:D40)</f>
        <v>6813.187891</v>
      </c>
      <c r="E41" s="217">
        <f t="shared" si="24"/>
        <v>7748.647618</v>
      </c>
      <c r="F41" s="217">
        <f t="shared" si="24"/>
        <v>7956.026509</v>
      </c>
      <c r="G41" s="386">
        <f t="shared" si="24"/>
        <v>28504.22797</v>
      </c>
      <c r="H41" s="216">
        <f t="shared" si="24"/>
        <v>28504.22797</v>
      </c>
      <c r="I41" s="217">
        <f t="shared" si="24"/>
        <v>6616.286638</v>
      </c>
      <c r="J41" s="217">
        <f t="shared" si="24"/>
        <v>7882.206868</v>
      </c>
      <c r="K41" s="217">
        <f t="shared" si="24"/>
        <v>8222.299075</v>
      </c>
      <c r="L41" s="386">
        <f t="shared" si="24"/>
        <v>26514.74101</v>
      </c>
      <c r="M41" s="216">
        <f t="shared" si="24"/>
        <v>26514.74101</v>
      </c>
      <c r="N41" s="216">
        <f t="shared" si="24"/>
        <v>31134.98205</v>
      </c>
      <c r="O41" s="798">
        <f t="shared" si="24"/>
        <v>38983.13229</v>
      </c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</row>
    <row r="42" ht="13.5" customHeight="1">
      <c r="A42" s="308"/>
      <c r="B42" s="453"/>
      <c r="C42" s="747"/>
      <c r="D42" s="747"/>
      <c r="E42" s="747"/>
      <c r="F42" s="804"/>
      <c r="G42" s="804"/>
      <c r="H42" s="747"/>
      <c r="I42" s="747"/>
      <c r="J42" s="747"/>
      <c r="K42" s="804"/>
      <c r="L42" s="804"/>
      <c r="M42" s="747"/>
      <c r="N42" s="747"/>
      <c r="O42" s="747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</row>
    <row r="43" ht="23.25" customHeight="1">
      <c r="A43" s="800"/>
      <c r="B43" s="764" t="s">
        <v>563</v>
      </c>
      <c r="C43" s="304">
        <f>C35+C41</f>
        <v>0</v>
      </c>
      <c r="D43" s="302">
        <f t="shared" ref="D43:L43" si="25">D35+D38+D39+D40</f>
        <v>14303.91385</v>
      </c>
      <c r="E43" s="302">
        <f t="shared" si="25"/>
        <v>25699.08769</v>
      </c>
      <c r="F43" s="302">
        <f t="shared" si="25"/>
        <v>33063.09672</v>
      </c>
      <c r="G43" s="303">
        <f t="shared" si="25"/>
        <v>53874.62765</v>
      </c>
      <c r="H43" s="304">
        <f t="shared" si="25"/>
        <v>53874.62765</v>
      </c>
      <c r="I43" s="302">
        <f t="shared" si="25"/>
        <v>34933.03386</v>
      </c>
      <c r="J43" s="302">
        <f t="shared" si="25"/>
        <v>32625.02634</v>
      </c>
      <c r="K43" s="302">
        <f t="shared" si="25"/>
        <v>34922.03695</v>
      </c>
      <c r="L43" s="303">
        <f t="shared" si="25"/>
        <v>52955.73091</v>
      </c>
      <c r="M43" s="304">
        <f>+M35+M38+M39+M40</f>
        <v>52955.73091</v>
      </c>
      <c r="N43" s="304">
        <f t="shared" ref="N43:O43" si="26">N35+N38+N39+N40</f>
        <v>58229.81204</v>
      </c>
      <c r="O43" s="465">
        <f t="shared" si="26"/>
        <v>67078.43242</v>
      </c>
      <c r="P43" s="800"/>
      <c r="Q43" s="800"/>
      <c r="R43" s="800"/>
      <c r="S43" s="800"/>
      <c r="T43" s="800"/>
      <c r="U43" s="800"/>
      <c r="V43" s="800"/>
      <c r="W43" s="800"/>
      <c r="X43" s="800"/>
      <c r="Y43" s="800"/>
      <c r="Z43" s="800"/>
    </row>
    <row r="44" ht="12.75" customHeight="1">
      <c r="A44" s="308"/>
      <c r="B44" s="343"/>
      <c r="C44" s="345"/>
      <c r="D44" s="345"/>
      <c r="E44" s="345"/>
      <c r="F44" s="345"/>
      <c r="G44" s="345"/>
      <c r="H44" s="807"/>
      <c r="I44" s="345"/>
      <c r="J44" s="345"/>
      <c r="K44" s="345"/>
      <c r="L44" s="345"/>
      <c r="M44" s="345"/>
      <c r="N44" s="346"/>
      <c r="O44" s="346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</row>
    <row r="45" ht="15.0" customHeight="1">
      <c r="A45" s="800"/>
      <c r="B45" s="808" t="s">
        <v>534</v>
      </c>
      <c r="C45" s="809">
        <f t="shared" ref="C45:G45" si="27">-C43+C23</f>
        <v>0</v>
      </c>
      <c r="D45" s="810">
        <f t="shared" si="27"/>
        <v>-14303.91385</v>
      </c>
      <c r="E45" s="810">
        <f t="shared" si="27"/>
        <v>-25441.17098</v>
      </c>
      <c r="F45" s="810">
        <f t="shared" si="27"/>
        <v>-32830.21885</v>
      </c>
      <c r="G45" s="811">
        <f t="shared" si="27"/>
        <v>-53708.74072</v>
      </c>
      <c r="H45" s="809">
        <f>G45</f>
        <v>-53708.74072</v>
      </c>
      <c r="I45" s="810">
        <f t="shared" ref="I45:L45" si="28">-I43+I23</f>
        <v>-34795.49013</v>
      </c>
      <c r="J45" s="810">
        <f t="shared" si="28"/>
        <v>-32362.85573</v>
      </c>
      <c r="K45" s="810">
        <f t="shared" si="28"/>
        <v>-34748.03946</v>
      </c>
      <c r="L45" s="811">
        <f t="shared" si="28"/>
        <v>-52809.07374</v>
      </c>
      <c r="M45" s="809">
        <f>L45</f>
        <v>-52809.07374</v>
      </c>
      <c r="N45" s="809">
        <f t="shared" ref="N45:O45" si="29">-N43+N23</f>
        <v>-58011.77767</v>
      </c>
      <c r="O45" s="812">
        <f t="shared" si="29"/>
        <v>-66847.08207</v>
      </c>
      <c r="P45" s="800"/>
      <c r="Q45" s="800"/>
      <c r="R45" s="800"/>
      <c r="S45" s="800"/>
      <c r="T45" s="800"/>
      <c r="U45" s="800"/>
      <c r="V45" s="800"/>
      <c r="W45" s="800"/>
      <c r="X45" s="800"/>
      <c r="Y45" s="800"/>
      <c r="Z45" s="800"/>
    </row>
    <row r="46" ht="15.0" customHeight="1">
      <c r="A46" s="800"/>
      <c r="B46" s="813" t="s">
        <v>564</v>
      </c>
      <c r="C46" s="814"/>
      <c r="D46" s="815">
        <f t="shared" ref="D46:G46" si="30">D45-C45</f>
        <v>-14303.91385</v>
      </c>
      <c r="E46" s="815">
        <f t="shared" si="30"/>
        <v>-11137.25713</v>
      </c>
      <c r="F46" s="815">
        <f t="shared" si="30"/>
        <v>-7389.047869</v>
      </c>
      <c r="G46" s="816">
        <f t="shared" si="30"/>
        <v>-20878.52187</v>
      </c>
      <c r="H46" s="814">
        <f>H45-C45</f>
        <v>-53708.74072</v>
      </c>
      <c r="I46" s="815">
        <f>I45-G45</f>
        <v>18913.25059</v>
      </c>
      <c r="J46" s="815">
        <f t="shared" ref="J46:L46" si="31">J45-I45</f>
        <v>2432.634397</v>
      </c>
      <c r="K46" s="815">
        <f t="shared" si="31"/>
        <v>-2385.183732</v>
      </c>
      <c r="L46" s="816">
        <f t="shared" si="31"/>
        <v>-18061.03427</v>
      </c>
      <c r="M46" s="814">
        <f>M45-H45</f>
        <v>899.6669838</v>
      </c>
      <c r="N46" s="814">
        <f>N45-L45</f>
        <v>-5202.703933</v>
      </c>
      <c r="O46" s="817">
        <f>O45-N45</f>
        <v>-8835.304401</v>
      </c>
      <c r="P46" s="800"/>
      <c r="Q46" s="800"/>
      <c r="R46" s="800"/>
      <c r="S46" s="800"/>
      <c r="T46" s="800"/>
      <c r="U46" s="800"/>
      <c r="V46" s="800"/>
      <c r="W46" s="800"/>
      <c r="X46" s="800"/>
      <c r="Y46" s="800"/>
      <c r="Z46" s="800"/>
    </row>
    <row r="47" ht="12.75" customHeight="1">
      <c r="A47" s="308"/>
      <c r="B47" s="818" t="s">
        <v>565</v>
      </c>
      <c r="C47" s="819"/>
      <c r="D47" s="819">
        <f>IFERROR((D45/CA!D106),0)</f>
        <v>-1.233342497</v>
      </c>
      <c r="E47" s="819">
        <f>IFERROR((E45/CA!E106),0)</f>
        <v>-1.83070716</v>
      </c>
      <c r="F47" s="819">
        <f>IFERROR((F45/CA!F106),0)</f>
        <v>-2.177851396</v>
      </c>
      <c r="G47" s="819">
        <f>IFERROR((G45/CA!G106),0)</f>
        <v>-2.716015045</v>
      </c>
      <c r="H47" s="819">
        <f>IFERROR((H45/CA!H106),0)</f>
        <v>-2.143208656</v>
      </c>
      <c r="I47" s="819">
        <f>IFERROR((I45/CA!I106),0)</f>
        <v>-0.9936944703</v>
      </c>
      <c r="J47" s="819">
        <f>IFERROR((J45/CA!J106),0)</f>
        <v>-1.020277393</v>
      </c>
      <c r="K47" s="819">
        <f>IFERROR((K45/CA!K106),0)</f>
        <v>-1.095473138</v>
      </c>
      <c r="L47" s="819">
        <f>IFERROR((L45/CA!L106),0)</f>
        <v>-1.79528439</v>
      </c>
      <c r="M47" s="819">
        <f>IFERROR((M45/CA!M106),0)</f>
        <v>-2.034316935</v>
      </c>
      <c r="N47" s="819">
        <f>IFERROR((N45/CA!N106),0)</f>
        <v>-2.191248031</v>
      </c>
      <c r="O47" s="819">
        <f>IFERROR((O45/CA!O106),0)</f>
        <v>-3.533262712</v>
      </c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</row>
    <row r="48" ht="12.75" customHeight="1">
      <c r="A48" s="308"/>
      <c r="B48" s="308"/>
      <c r="C48" s="747"/>
      <c r="D48" s="747"/>
      <c r="E48" s="747"/>
      <c r="F48" s="804" t="s">
        <v>566</v>
      </c>
      <c r="G48" s="341">
        <f>+SUM(D46:G46)-(G45-C45)</f>
        <v>0</v>
      </c>
      <c r="H48" s="747"/>
      <c r="I48" s="747"/>
      <c r="J48" s="747"/>
      <c r="K48" s="804"/>
      <c r="L48" s="341">
        <f>+SUM(I46:L46)-(L45-G45)</f>
        <v>0</v>
      </c>
      <c r="M48" s="747"/>
      <c r="N48" s="747"/>
      <c r="O48" s="747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</row>
    <row r="49" ht="12.75" customHeight="1">
      <c r="G49" s="31"/>
    </row>
    <row r="50" ht="12.75" customHeight="1">
      <c r="G50" s="31"/>
      <c r="H50" s="783">
        <f>-H43+H23</f>
        <v>-53708.74072</v>
      </c>
    </row>
    <row r="51" ht="12.75" customHeight="1">
      <c r="G51" s="31"/>
    </row>
    <row r="52" ht="12.75" customHeight="1">
      <c r="G52" s="31"/>
    </row>
    <row r="53" ht="12.75" customHeight="1">
      <c r="G53" s="31"/>
    </row>
    <row r="54" ht="12.75" customHeight="1">
      <c r="G54" s="31"/>
    </row>
    <row r="55" ht="12.75" customHeight="1">
      <c r="G55" s="31"/>
    </row>
    <row r="56" ht="12.75" customHeight="1">
      <c r="G56" s="31"/>
    </row>
    <row r="57" ht="12.75" customHeight="1">
      <c r="G57" s="31"/>
    </row>
    <row r="58" ht="12.75" customHeight="1">
      <c r="G58" s="31"/>
    </row>
    <row r="59" ht="12.75" customHeight="1">
      <c r="G59" s="31"/>
    </row>
    <row r="60" ht="12.75" customHeight="1">
      <c r="G60" s="31"/>
    </row>
    <row r="61" ht="12.75" customHeight="1">
      <c r="G61" s="31"/>
    </row>
    <row r="62" ht="12.75" customHeight="1">
      <c r="G62" s="31"/>
    </row>
    <row r="63" ht="12.75" customHeight="1">
      <c r="G63" s="31"/>
    </row>
    <row r="64" ht="12.75" customHeight="1">
      <c r="G64" s="31"/>
    </row>
    <row r="65" ht="12.75" customHeight="1">
      <c r="G65" s="31"/>
    </row>
    <row r="66" ht="12.75" customHeight="1">
      <c r="G66" s="31"/>
    </row>
    <row r="67" ht="12.75" customHeight="1">
      <c r="G67" s="31"/>
    </row>
    <row r="68" ht="12.75" customHeight="1">
      <c r="G68" s="31"/>
    </row>
    <row r="69" ht="12.75" customHeight="1">
      <c r="G69" s="31"/>
    </row>
    <row r="70" ht="12.75" customHeight="1">
      <c r="G70" s="31"/>
    </row>
    <row r="71" ht="12.75" customHeight="1">
      <c r="G71" s="31"/>
    </row>
    <row r="72" ht="12.75" customHeight="1">
      <c r="G72" s="31"/>
    </row>
    <row r="73" ht="12.75" customHeight="1">
      <c r="G73" s="31"/>
    </row>
    <row r="74" ht="12.75" customHeight="1">
      <c r="G74" s="31"/>
    </row>
    <row r="75" ht="12.75" customHeight="1">
      <c r="G75" s="31"/>
    </row>
    <row r="76" ht="12.75" customHeight="1">
      <c r="G76" s="31"/>
    </row>
    <row r="77" ht="12.75" customHeight="1">
      <c r="G77" s="31"/>
    </row>
    <row r="78" ht="12.75" customHeight="1">
      <c r="G78" s="31"/>
    </row>
    <row r="79" ht="12.75" customHeight="1">
      <c r="G79" s="31"/>
    </row>
    <row r="80" ht="12.75" customHeight="1">
      <c r="G80" s="31"/>
    </row>
    <row r="81" ht="12.75" customHeight="1">
      <c r="G81" s="31"/>
    </row>
    <row r="82" ht="12.75" customHeight="1">
      <c r="G82" s="31"/>
    </row>
    <row r="83" ht="12.75" customHeight="1">
      <c r="G83" s="31"/>
    </row>
    <row r="84" ht="12.75" customHeight="1">
      <c r="G84" s="31"/>
    </row>
    <row r="85" ht="12.75" customHeight="1">
      <c r="G85" s="31"/>
    </row>
    <row r="86" ht="12.75" customHeight="1">
      <c r="G86" s="31"/>
    </row>
    <row r="87" ht="12.75" customHeight="1">
      <c r="G87" s="31"/>
    </row>
    <row r="88" ht="12.75" customHeight="1">
      <c r="G88" s="31"/>
    </row>
    <row r="89" ht="12.75" customHeight="1">
      <c r="G89" s="31"/>
    </row>
    <row r="90" ht="12.75" customHeight="1">
      <c r="G90" s="31"/>
    </row>
    <row r="91" ht="12.75" customHeight="1">
      <c r="G91" s="31"/>
    </row>
    <row r="92" ht="12.75" customHeight="1">
      <c r="G92" s="31"/>
    </row>
    <row r="93" ht="12.75" customHeight="1">
      <c r="G93" s="31"/>
    </row>
    <row r="94" ht="12.75" customHeight="1">
      <c r="G94" s="31"/>
    </row>
    <row r="95" ht="12.75" customHeight="1">
      <c r="G95" s="31"/>
    </row>
    <row r="96" ht="12.75" customHeight="1">
      <c r="G96" s="31"/>
    </row>
    <row r="97" ht="12.75" customHeight="1">
      <c r="G97" s="31"/>
    </row>
    <row r="98" ht="12.75" customHeight="1">
      <c r="G98" s="31"/>
    </row>
    <row r="99" ht="12.75" customHeight="1">
      <c r="G99" s="31"/>
    </row>
    <row r="100" ht="12.75" customHeight="1">
      <c r="G100" s="31"/>
    </row>
    <row r="101" ht="12.75" customHeight="1">
      <c r="G101" s="31"/>
    </row>
    <row r="102" ht="12.75" customHeight="1">
      <c r="G102" s="31"/>
    </row>
    <row r="103" ht="12.75" customHeight="1">
      <c r="G103" s="31"/>
    </row>
    <row r="104" ht="12.75" customHeight="1">
      <c r="G104" s="31"/>
    </row>
    <row r="105" ht="12.75" customHeight="1">
      <c r="G105" s="31"/>
    </row>
    <row r="106" ht="12.75" customHeight="1">
      <c r="G106" s="31"/>
    </row>
    <row r="107" ht="12.75" customHeight="1">
      <c r="G107" s="31"/>
    </row>
    <row r="108" ht="12.75" customHeight="1">
      <c r="G108" s="31"/>
    </row>
    <row r="109" ht="12.75" customHeight="1">
      <c r="G109" s="31"/>
    </row>
    <row r="110" ht="12.75" customHeight="1">
      <c r="G110" s="31"/>
    </row>
    <row r="111" ht="12.75" customHeight="1">
      <c r="G111" s="31"/>
    </row>
    <row r="112" ht="12.75" customHeight="1">
      <c r="G112" s="31"/>
    </row>
    <row r="113" ht="12.75" customHeight="1">
      <c r="G113" s="31"/>
    </row>
    <row r="114" ht="12.75" customHeight="1">
      <c r="G114" s="31"/>
    </row>
    <row r="115" ht="12.75" customHeight="1">
      <c r="G115" s="31"/>
    </row>
    <row r="116" ht="12.75" customHeight="1">
      <c r="G116" s="31"/>
    </row>
    <row r="117" ht="12.75" customHeight="1">
      <c r="G117" s="31"/>
    </row>
    <row r="118" ht="12.75" customHeight="1">
      <c r="G118" s="31"/>
    </row>
    <row r="119" ht="12.75" customHeight="1">
      <c r="G119" s="31"/>
    </row>
    <row r="120" ht="12.75" customHeight="1">
      <c r="G120" s="31"/>
    </row>
    <row r="121" ht="12.75" customHeight="1">
      <c r="G121" s="31"/>
    </row>
    <row r="122" ht="12.75" customHeight="1">
      <c r="G122" s="31"/>
    </row>
    <row r="123" ht="12.75" customHeight="1">
      <c r="G123" s="31"/>
    </row>
    <row r="124" ht="12.75" customHeight="1">
      <c r="G124" s="31"/>
    </row>
    <row r="125" ht="12.75" customHeight="1">
      <c r="G125" s="31"/>
    </row>
    <row r="126" ht="12.75" customHeight="1">
      <c r="G126" s="31"/>
    </row>
    <row r="127" ht="12.75" customHeight="1">
      <c r="G127" s="31"/>
    </row>
    <row r="128" ht="12.75" customHeight="1">
      <c r="G128" s="31"/>
    </row>
    <row r="129" ht="12.75" customHeight="1">
      <c r="G129" s="31"/>
    </row>
    <row r="130" ht="12.75" customHeight="1">
      <c r="G130" s="31"/>
    </row>
    <row r="131" ht="12.75" customHeight="1">
      <c r="G131" s="31"/>
    </row>
    <row r="132" ht="12.75" customHeight="1">
      <c r="G132" s="31"/>
    </row>
    <row r="133" ht="12.75" customHeight="1">
      <c r="G133" s="31"/>
    </row>
    <row r="134" ht="12.75" customHeight="1">
      <c r="G134" s="31"/>
    </row>
    <row r="135" ht="12.75" customHeight="1">
      <c r="G135" s="31"/>
    </row>
    <row r="136" ht="12.75" customHeight="1">
      <c r="G136" s="31"/>
    </row>
    <row r="137" ht="12.75" customHeight="1">
      <c r="G137" s="31"/>
    </row>
    <row r="138" ht="12.75" customHeight="1">
      <c r="G138" s="31"/>
    </row>
    <row r="139" ht="12.75" customHeight="1">
      <c r="G139" s="31"/>
    </row>
    <row r="140" ht="12.75" customHeight="1">
      <c r="G140" s="31"/>
    </row>
    <row r="141" ht="12.75" customHeight="1">
      <c r="G141" s="31"/>
    </row>
    <row r="142" ht="12.75" customHeight="1">
      <c r="G142" s="31"/>
    </row>
    <row r="143" ht="12.75" customHeight="1">
      <c r="G143" s="31"/>
    </row>
    <row r="144" ht="12.75" customHeight="1">
      <c r="G144" s="31"/>
    </row>
    <row r="145" ht="12.75" customHeight="1">
      <c r="G145" s="31"/>
    </row>
    <row r="146" ht="12.75" customHeight="1">
      <c r="G146" s="31"/>
    </row>
    <row r="147" ht="12.75" customHeight="1">
      <c r="G147" s="31"/>
    </row>
    <row r="148" ht="12.75" customHeight="1">
      <c r="G148" s="31"/>
    </row>
    <row r="149" ht="12.75" customHeight="1">
      <c r="G149" s="31"/>
    </row>
    <row r="150" ht="12.75" customHeight="1">
      <c r="G150" s="31"/>
    </row>
    <row r="151" ht="12.75" customHeight="1">
      <c r="G151" s="31"/>
    </row>
    <row r="152" ht="12.75" customHeight="1">
      <c r="G152" s="31"/>
    </row>
    <row r="153" ht="12.75" customHeight="1">
      <c r="G153" s="31"/>
    </row>
    <row r="154" ht="12.75" customHeight="1">
      <c r="G154" s="31"/>
    </row>
    <row r="155" ht="12.75" customHeight="1">
      <c r="G155" s="31"/>
    </row>
    <row r="156" ht="12.75" customHeight="1">
      <c r="G156" s="31"/>
    </row>
    <row r="157" ht="12.75" customHeight="1">
      <c r="G157" s="31"/>
    </row>
    <row r="158" ht="12.75" customHeight="1">
      <c r="G158" s="31"/>
    </row>
    <row r="159" ht="12.75" customHeight="1">
      <c r="G159" s="31"/>
    </row>
    <row r="160" ht="12.75" customHeight="1">
      <c r="G160" s="31"/>
    </row>
    <row r="161" ht="12.75" customHeight="1">
      <c r="G161" s="31"/>
    </row>
    <row r="162" ht="12.75" customHeight="1">
      <c r="G162" s="31"/>
    </row>
    <row r="163" ht="12.75" customHeight="1">
      <c r="G163" s="31"/>
    </row>
    <row r="164" ht="12.75" customHeight="1">
      <c r="G164" s="31"/>
    </row>
    <row r="165" ht="12.75" customHeight="1">
      <c r="G165" s="31"/>
    </row>
    <row r="166" ht="12.75" customHeight="1">
      <c r="G166" s="31"/>
    </row>
    <row r="167" ht="12.75" customHeight="1">
      <c r="G167" s="31"/>
    </row>
    <row r="168" ht="12.75" customHeight="1">
      <c r="G168" s="31"/>
    </row>
    <row r="169" ht="12.75" customHeight="1">
      <c r="G169" s="31"/>
    </row>
    <row r="170" ht="12.75" customHeight="1">
      <c r="G170" s="31"/>
    </row>
    <row r="171" ht="12.75" customHeight="1">
      <c r="G171" s="31"/>
    </row>
    <row r="172" ht="12.75" customHeight="1">
      <c r="G172" s="31"/>
    </row>
    <row r="173" ht="12.75" customHeight="1">
      <c r="G173" s="31"/>
    </row>
    <row r="174" ht="12.75" customHeight="1">
      <c r="G174" s="31"/>
    </row>
    <row r="175" ht="12.75" customHeight="1">
      <c r="G175" s="31"/>
    </row>
    <row r="176" ht="12.75" customHeight="1">
      <c r="G176" s="31"/>
    </row>
    <row r="177" ht="12.75" customHeight="1">
      <c r="G177" s="31"/>
    </row>
    <row r="178" ht="12.75" customHeight="1">
      <c r="G178" s="31"/>
    </row>
    <row r="179" ht="12.75" customHeight="1">
      <c r="G179" s="31"/>
    </row>
    <row r="180" ht="12.75" customHeight="1">
      <c r="G180" s="31"/>
    </row>
    <row r="181" ht="12.75" customHeight="1">
      <c r="G181" s="31"/>
    </row>
    <row r="182" ht="12.75" customHeight="1">
      <c r="G182" s="31"/>
    </row>
    <row r="183" ht="12.75" customHeight="1">
      <c r="G183" s="31"/>
    </row>
    <row r="184" ht="12.75" customHeight="1">
      <c r="G184" s="31"/>
    </row>
    <row r="185" ht="12.75" customHeight="1">
      <c r="G185" s="31"/>
    </row>
    <row r="186" ht="12.75" customHeight="1">
      <c r="G186" s="31"/>
    </row>
    <row r="187" ht="12.75" customHeight="1">
      <c r="G187" s="31"/>
    </row>
    <row r="188" ht="12.75" customHeight="1">
      <c r="G188" s="31"/>
    </row>
    <row r="189" ht="12.75" customHeight="1">
      <c r="G189" s="31"/>
    </row>
    <row r="190" ht="12.75" customHeight="1">
      <c r="G190" s="31"/>
    </row>
    <row r="191" ht="12.75" customHeight="1">
      <c r="G191" s="31"/>
    </row>
    <row r="192" ht="12.75" customHeight="1">
      <c r="G192" s="31"/>
    </row>
    <row r="193" ht="12.75" customHeight="1">
      <c r="G193" s="31"/>
    </row>
    <row r="194" ht="12.75" customHeight="1">
      <c r="G194" s="31"/>
    </row>
    <row r="195" ht="12.75" customHeight="1">
      <c r="G195" s="31"/>
    </row>
    <row r="196" ht="12.75" customHeight="1">
      <c r="G196" s="31"/>
    </row>
    <row r="197" ht="12.75" customHeight="1">
      <c r="G197" s="31"/>
    </row>
    <row r="198" ht="12.75" customHeight="1">
      <c r="G198" s="31"/>
    </row>
    <row r="199" ht="12.75" customHeight="1">
      <c r="G199" s="31"/>
    </row>
    <row r="200" ht="12.75" customHeight="1">
      <c r="G200" s="31"/>
    </row>
    <row r="201" ht="12.75" customHeight="1">
      <c r="G201" s="31"/>
    </row>
    <row r="202" ht="12.75" customHeight="1">
      <c r="G202" s="31"/>
    </row>
    <row r="203" ht="12.75" customHeight="1">
      <c r="G203" s="31"/>
    </row>
    <row r="204" ht="12.75" customHeight="1">
      <c r="G204" s="31"/>
    </row>
    <row r="205" ht="12.75" customHeight="1">
      <c r="G205" s="31"/>
    </row>
    <row r="206" ht="12.75" customHeight="1">
      <c r="G206" s="31"/>
    </row>
    <row r="207" ht="12.75" customHeight="1">
      <c r="G207" s="31"/>
    </row>
    <row r="208" ht="12.75" customHeight="1">
      <c r="G208" s="31"/>
    </row>
    <row r="209" ht="12.75" customHeight="1">
      <c r="G209" s="31"/>
    </row>
    <row r="210" ht="12.75" customHeight="1">
      <c r="G210" s="31"/>
    </row>
    <row r="211" ht="12.75" customHeight="1">
      <c r="G211" s="31"/>
    </row>
    <row r="212" ht="12.75" customHeight="1">
      <c r="G212" s="31"/>
    </row>
    <row r="213" ht="12.75" customHeight="1">
      <c r="G213" s="31"/>
    </row>
    <row r="214" ht="12.75" customHeight="1">
      <c r="G214" s="31"/>
    </row>
    <row r="215" ht="12.75" customHeight="1">
      <c r="G215" s="31"/>
    </row>
    <row r="216" ht="12.75" customHeight="1">
      <c r="G216" s="31"/>
    </row>
    <row r="217" ht="12.75" customHeight="1">
      <c r="G217" s="31"/>
    </row>
    <row r="218" ht="12.75" customHeight="1">
      <c r="G218" s="31"/>
    </row>
    <row r="219" ht="12.75" customHeight="1">
      <c r="G219" s="31"/>
    </row>
    <row r="220" ht="12.75" customHeight="1">
      <c r="G220" s="31"/>
    </row>
    <row r="221" ht="12.75" customHeight="1">
      <c r="G221" s="31"/>
    </row>
    <row r="222" ht="12.75" customHeight="1">
      <c r="G222" s="31"/>
    </row>
    <row r="223" ht="12.75" customHeight="1">
      <c r="G223" s="31"/>
    </row>
    <row r="224" ht="12.75" customHeight="1">
      <c r="G224" s="31"/>
    </row>
    <row r="225" ht="12.75" customHeight="1">
      <c r="G225" s="31"/>
    </row>
    <row r="226" ht="12.75" customHeight="1">
      <c r="G226" s="31"/>
    </row>
    <row r="227" ht="12.75" customHeight="1">
      <c r="G227" s="31"/>
    </row>
    <row r="228" ht="12.75" customHeight="1">
      <c r="G228" s="31"/>
    </row>
    <row r="229" ht="12.75" customHeight="1">
      <c r="G229" s="31"/>
    </row>
    <row r="230" ht="12.75" customHeight="1">
      <c r="G230" s="31"/>
    </row>
    <row r="231" ht="12.75" customHeight="1">
      <c r="G231" s="31"/>
    </row>
    <row r="232" ht="12.75" customHeight="1">
      <c r="G232" s="31"/>
    </row>
    <row r="233" ht="12.75" customHeight="1">
      <c r="G233" s="31"/>
    </row>
    <row r="234" ht="12.75" customHeight="1">
      <c r="G234" s="31"/>
    </row>
    <row r="235" ht="12.75" customHeight="1">
      <c r="G235" s="31"/>
    </row>
    <row r="236" ht="12.75" customHeight="1">
      <c r="G236" s="31"/>
    </row>
    <row r="237" ht="12.75" customHeight="1">
      <c r="G237" s="31"/>
    </row>
    <row r="238" ht="12.75" customHeight="1">
      <c r="G238" s="31"/>
    </row>
    <row r="239" ht="12.75" customHeight="1">
      <c r="G239" s="31"/>
    </row>
    <row r="240" ht="12.75" customHeight="1">
      <c r="G240" s="31"/>
    </row>
    <row r="241" ht="12.75" customHeight="1">
      <c r="G241" s="31"/>
    </row>
    <row r="242" ht="12.75" customHeight="1">
      <c r="G242" s="31"/>
    </row>
    <row r="243" ht="12.75" customHeight="1">
      <c r="G243" s="31"/>
    </row>
    <row r="244" ht="12.75" customHeight="1">
      <c r="G244" s="31"/>
    </row>
    <row r="245" ht="12.75" customHeight="1">
      <c r="G245" s="31"/>
    </row>
    <row r="246" ht="12.75" customHeight="1">
      <c r="G246" s="31"/>
    </row>
    <row r="247" ht="12.75" customHeight="1">
      <c r="G247" s="31"/>
    </row>
    <row r="248" ht="12.75" customHeight="1">
      <c r="G248" s="31"/>
    </row>
    <row r="249" ht="12.75" customHeight="1">
      <c r="G249" s="31"/>
    </row>
    <row r="250" ht="12.75" customHeight="1">
      <c r="G250" s="3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4:H4"/>
    <mergeCell ref="I4:M4"/>
  </mergeCells>
  <conditionalFormatting sqref="G48">
    <cfRule type="cellIs" dxfId="0" priority="1" operator="notBetween">
      <formula>-0.001</formula>
      <formula>0.001</formula>
    </cfRule>
  </conditionalFormatting>
  <conditionalFormatting sqref="L48">
    <cfRule type="cellIs" dxfId="0" priority="2" operator="notBetween">
      <formula>-0.001</formula>
      <formula>0.001</formula>
    </cfRule>
  </conditionalFormatting>
  <printOptions/>
  <pageMargins bottom="0.0" footer="0.0" header="0.0" left="0.0" right="0.0" top="0.748031496062992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38C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 outlineLevelRow="1"/>
  <cols>
    <col customWidth="1" min="1" max="1" width="3.88"/>
    <col customWidth="1" min="2" max="2" width="61.13"/>
    <col customWidth="1" min="3" max="3" width="12.88"/>
    <col customWidth="1" hidden="1" min="4" max="7" width="11.25" outlineLevel="1"/>
    <col collapsed="1" customWidth="1" min="8" max="8" width="12.88"/>
    <col customWidth="1" hidden="1" min="9" max="12" width="11.25" outlineLevel="1"/>
    <col collapsed="1" customWidth="1" min="13" max="13" width="12.88"/>
    <col customWidth="1" min="14" max="15" width="12.88"/>
    <col customWidth="1" min="16" max="17" width="10.75"/>
    <col customWidth="1" min="18" max="18" width="11.0"/>
    <col customWidth="1" min="19" max="30" width="10.75"/>
  </cols>
  <sheetData>
    <row r="1" ht="6.0" customHeight="1">
      <c r="A1" s="82" t="s">
        <v>567</v>
      </c>
      <c r="B1" s="162"/>
      <c r="C1" s="479"/>
      <c r="V1" s="480"/>
      <c r="W1" s="479"/>
      <c r="X1" s="480"/>
      <c r="Z1" s="820"/>
      <c r="AA1" s="32"/>
      <c r="AD1" s="481"/>
    </row>
    <row r="2" ht="24.75" customHeight="1">
      <c r="A2" s="482"/>
      <c r="B2" s="36" t="s">
        <v>568</v>
      </c>
      <c r="C2" s="483"/>
      <c r="D2" s="37"/>
      <c r="E2" s="37"/>
      <c r="F2" s="38"/>
      <c r="G2" s="39"/>
      <c r="H2" s="39"/>
      <c r="I2" s="39"/>
      <c r="J2" s="39"/>
      <c r="K2" s="39"/>
      <c r="L2" s="39"/>
      <c r="M2" s="39"/>
      <c r="N2" s="39"/>
      <c r="O2" s="39"/>
      <c r="P2" s="482"/>
      <c r="Q2" s="482"/>
      <c r="R2" s="482"/>
      <c r="S2" s="482"/>
      <c r="T2" s="482"/>
      <c r="U2" s="482"/>
      <c r="V2" s="740"/>
      <c r="W2" s="485"/>
      <c r="X2" s="740"/>
      <c r="Y2" s="482"/>
      <c r="Z2" s="821"/>
      <c r="AA2" s="822"/>
      <c r="AB2" s="482"/>
      <c r="AC2" s="482"/>
      <c r="AD2" s="482"/>
    </row>
    <row r="3" ht="6.75" customHeight="1">
      <c r="A3" s="621"/>
      <c r="B3" s="622"/>
      <c r="C3" s="787"/>
      <c r="D3" s="621"/>
      <c r="E3" s="621"/>
      <c r="F3" s="788"/>
      <c r="G3" s="789"/>
      <c r="H3" s="789"/>
      <c r="I3" s="789"/>
      <c r="J3" s="789"/>
      <c r="K3" s="789"/>
      <c r="L3" s="789"/>
      <c r="M3" s="789"/>
      <c r="N3" s="789"/>
      <c r="O3" s="789"/>
      <c r="P3" s="621"/>
      <c r="Q3" s="621"/>
      <c r="R3" s="621"/>
      <c r="S3" s="621"/>
      <c r="T3" s="621"/>
      <c r="U3" s="621"/>
      <c r="V3" s="790"/>
      <c r="W3" s="787"/>
      <c r="X3" s="790"/>
      <c r="Y3" s="621"/>
      <c r="Z3" s="791"/>
      <c r="AA3" s="792"/>
      <c r="AB3" s="621"/>
      <c r="AC3" s="621"/>
      <c r="AD3" s="621"/>
    </row>
    <row r="4" ht="24.0" customHeight="1">
      <c r="A4" s="621"/>
      <c r="B4" s="793"/>
      <c r="C4" s="625">
        <f>YEAR(EDATE(date_début,-12))</f>
        <v>2024</v>
      </c>
      <c r="D4" s="626">
        <f>YEAR(date_début)</f>
        <v>2025</v>
      </c>
      <c r="E4" s="123"/>
      <c r="F4" s="123"/>
      <c r="G4" s="123"/>
      <c r="H4" s="121"/>
      <c r="I4" s="626">
        <f>YEAR(EDATE(date_début,12))</f>
        <v>2026</v>
      </c>
      <c r="J4" s="123"/>
      <c r="K4" s="123"/>
      <c r="L4" s="123"/>
      <c r="M4" s="121"/>
      <c r="N4" s="741">
        <f>YEAR(EDATE(date_début,24))</f>
        <v>2027</v>
      </c>
      <c r="O4" s="625">
        <f>YEAR(EDATE(date_début,36))</f>
        <v>2028</v>
      </c>
      <c r="P4" s="794"/>
      <c r="Q4" s="794"/>
      <c r="R4" s="794"/>
      <c r="S4" s="794"/>
      <c r="T4" s="794"/>
      <c r="U4" s="794"/>
      <c r="V4" s="794"/>
      <c r="W4" s="794"/>
      <c r="X4" s="794"/>
      <c r="Y4" s="794"/>
      <c r="Z4" s="794"/>
      <c r="AA4" s="794"/>
      <c r="AB4" s="794"/>
      <c r="AC4" s="794"/>
      <c r="AD4" s="794"/>
    </row>
    <row r="5" ht="12.75" customHeight="1">
      <c r="A5" s="790"/>
      <c r="B5" s="795"/>
      <c r="C5" s="795"/>
      <c r="D5" s="795" t="s">
        <v>492</v>
      </c>
      <c r="E5" s="795" t="s">
        <v>493</v>
      </c>
      <c r="F5" s="795" t="s">
        <v>494</v>
      </c>
      <c r="G5" s="795" t="s">
        <v>495</v>
      </c>
      <c r="H5" s="795"/>
      <c r="I5" s="795" t="s">
        <v>492</v>
      </c>
      <c r="J5" s="795" t="s">
        <v>493</v>
      </c>
      <c r="K5" s="795" t="s">
        <v>494</v>
      </c>
      <c r="L5" s="795" t="s">
        <v>495</v>
      </c>
      <c r="M5" s="795"/>
      <c r="N5" s="795"/>
      <c r="O5" s="795"/>
      <c r="P5" s="796"/>
      <c r="Q5" s="796"/>
      <c r="R5" s="796"/>
      <c r="S5" s="796"/>
      <c r="T5" s="796"/>
      <c r="U5" s="796"/>
      <c r="V5" s="796"/>
      <c r="W5" s="796"/>
      <c r="X5" s="796"/>
      <c r="Y5" s="796"/>
      <c r="Z5" s="796"/>
      <c r="AA5" s="796"/>
      <c r="AB5" s="796"/>
      <c r="AC5" s="796"/>
      <c r="AD5" s="796"/>
    </row>
    <row r="6" ht="24.75" customHeight="1">
      <c r="B6" s="181" t="s">
        <v>199</v>
      </c>
      <c r="C6" s="181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</row>
    <row r="7" ht="15.0" customHeight="1" outlineLevel="1">
      <c r="A7" s="498"/>
      <c r="B7" s="453" t="str">
        <f>CA!B22</f>
        <v>Chiffre d'Affaires - Restauration</v>
      </c>
      <c r="C7" s="823"/>
      <c r="D7" s="651">
        <f>SUM(CA!D22:F22)</f>
        <v>40569.18182</v>
      </c>
      <c r="E7" s="651">
        <f>SUM(CA!G22:I22)</f>
        <v>59125.63636</v>
      </c>
      <c r="F7" s="651">
        <f>SUM(CA!J22:L22)</f>
        <v>74141.36364</v>
      </c>
      <c r="G7" s="824">
        <f>SUM(CA!M22:O22)</f>
        <v>51022.59091</v>
      </c>
      <c r="H7" s="638">
        <f t="shared" ref="H7:H10" si="1">SUM(D7:G7)</f>
        <v>224858.7727</v>
      </c>
      <c r="I7" s="651">
        <f>SUM(CA!Q22:S22)</f>
        <v>40992.455</v>
      </c>
      <c r="J7" s="651">
        <f>SUM(CA!T22:V22)</f>
        <v>63474.78</v>
      </c>
      <c r="K7" s="651">
        <f>SUM(CA!W22:Y22)</f>
        <v>84628.17091</v>
      </c>
      <c r="L7" s="824">
        <f>SUM(CA!Z22:AB22)</f>
        <v>47604.25909</v>
      </c>
      <c r="M7" s="651">
        <f t="shared" ref="M7:M10" si="2">SUM(I7:L7)</f>
        <v>236699.665</v>
      </c>
      <c r="N7" s="825">
        <f>CA!AD22</f>
        <v>245532.7671</v>
      </c>
      <c r="O7" s="651">
        <f>CA!AE22</f>
        <v>283117.9166</v>
      </c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  <c r="AA7" s="498"/>
      <c r="AB7" s="498"/>
      <c r="AC7" s="498"/>
      <c r="AD7" s="498"/>
    </row>
    <row r="8" ht="15.0" customHeight="1" outlineLevel="1">
      <c r="A8" s="498"/>
      <c r="B8" s="453" t="str">
        <f>CA!B39</f>
        <v>Chiffre d'Affaires - Vente-platforme</v>
      </c>
      <c r="C8" s="823"/>
      <c r="D8" s="651">
        <f>SUM(CA!D39:F39)</f>
        <v>0</v>
      </c>
      <c r="E8" s="651">
        <f>SUM(CA!G39:I39)</f>
        <v>14225.45</v>
      </c>
      <c r="F8" s="651">
        <f>SUM(CA!J39:L39)</f>
        <v>18713.4</v>
      </c>
      <c r="G8" s="652">
        <f>SUM(CA!M39:O39)</f>
        <v>13330.2</v>
      </c>
      <c r="H8" s="638">
        <f t="shared" si="1"/>
        <v>46269.05</v>
      </c>
      <c r="I8" s="651">
        <f>SUM(CA!Q39:S39)</f>
        <v>11052.621</v>
      </c>
      <c r="J8" s="651">
        <f>SUM(CA!T39:V39)</f>
        <v>12517.281</v>
      </c>
      <c r="K8" s="651">
        <f>SUM(CA!W39:Y39)</f>
        <v>13981.941</v>
      </c>
      <c r="L8" s="652">
        <f>SUM(CA!Z39:AB39)</f>
        <v>11784.951</v>
      </c>
      <c r="M8" s="651">
        <f t="shared" si="2"/>
        <v>49336.794</v>
      </c>
      <c r="N8" s="825">
        <f>CA!AD39</f>
        <v>54382.47663</v>
      </c>
      <c r="O8" s="651">
        <f>CA!AE39</f>
        <v>58662.6119</v>
      </c>
      <c r="P8" s="498"/>
      <c r="Q8" s="498"/>
      <c r="R8" s="498"/>
      <c r="S8" s="498"/>
      <c r="T8" s="498"/>
      <c r="U8" s="498"/>
      <c r="V8" s="498"/>
      <c r="W8" s="498"/>
      <c r="X8" s="498"/>
      <c r="Y8" s="498"/>
      <c r="Z8" s="498"/>
      <c r="AA8" s="498"/>
      <c r="AB8" s="498"/>
      <c r="AC8" s="498"/>
      <c r="AD8" s="498"/>
    </row>
    <row r="9" ht="15.0" customHeight="1" outlineLevel="1">
      <c r="A9" s="498"/>
      <c r="B9" s="453" t="str">
        <f>CA!B43</f>
        <v>Chiffre d'Affaires - Epicerie</v>
      </c>
      <c r="C9" s="823"/>
      <c r="D9" s="651">
        <f>SUM(CA!D43:F43)</f>
        <v>0</v>
      </c>
      <c r="E9" s="651">
        <f>SUM(CA!G43:I43)</f>
        <v>6500</v>
      </c>
      <c r="F9" s="651">
        <f>SUM(CA!J43:L43)</f>
        <v>0</v>
      </c>
      <c r="G9" s="652">
        <f>SUM(CA!M43:O43)</f>
        <v>0</v>
      </c>
      <c r="H9" s="638">
        <f t="shared" si="1"/>
        <v>6500</v>
      </c>
      <c r="I9" s="651">
        <f>SUM(CA!Q43:S43)</f>
        <v>0</v>
      </c>
      <c r="J9" s="651">
        <f>SUM(CA!T43:V43)</f>
        <v>8550</v>
      </c>
      <c r="K9" s="651">
        <f>SUM(CA!W43:Y43)</f>
        <v>0</v>
      </c>
      <c r="L9" s="652">
        <f>SUM(CA!Z43:AB43)</f>
        <v>0</v>
      </c>
      <c r="M9" s="651">
        <f t="shared" si="2"/>
        <v>8550</v>
      </c>
      <c r="N9" s="825">
        <f>CA!AD43</f>
        <v>15700</v>
      </c>
      <c r="O9" s="651">
        <f>CA!AE43</f>
        <v>15700</v>
      </c>
      <c r="P9" s="498"/>
      <c r="Q9" s="498"/>
      <c r="R9" s="498"/>
      <c r="S9" s="498"/>
      <c r="T9" s="498"/>
      <c r="U9" s="498"/>
      <c r="V9" s="498"/>
      <c r="W9" s="498"/>
      <c r="X9" s="498"/>
      <c r="Y9" s="498"/>
      <c r="Z9" s="498"/>
      <c r="AA9" s="498"/>
      <c r="AB9" s="498"/>
      <c r="AC9" s="498"/>
      <c r="AD9" s="498"/>
    </row>
    <row r="10" ht="15.0" customHeight="1" outlineLevel="1">
      <c r="A10" s="498"/>
      <c r="B10" s="751" t="str">
        <f>CA!B47</f>
        <v>Chiffre d'Affaires - Traiteur</v>
      </c>
      <c r="C10" s="826"/>
      <c r="D10" s="827">
        <f>SUM(CA!D47:F47)</f>
        <v>0</v>
      </c>
      <c r="E10" s="827">
        <f>SUM(CA!G47:I47)</f>
        <v>0</v>
      </c>
      <c r="F10" s="827">
        <f>SUM(CA!J47:L47)</f>
        <v>0</v>
      </c>
      <c r="G10" s="828">
        <f>SUM(CA!M47:O47)</f>
        <v>7000</v>
      </c>
      <c r="H10" s="829">
        <f t="shared" si="1"/>
        <v>7000</v>
      </c>
      <c r="I10" s="827">
        <f>SUM(CA!Q47:S47)</f>
        <v>3125</v>
      </c>
      <c r="J10" s="827">
        <f>SUM(CA!T47:V47)</f>
        <v>3125</v>
      </c>
      <c r="K10" s="827">
        <f>SUM(CA!W47:Y47)</f>
        <v>3125</v>
      </c>
      <c r="L10" s="828">
        <f>SUM(CA!Z47:AB47)</f>
        <v>3125</v>
      </c>
      <c r="M10" s="827">
        <f t="shared" si="2"/>
        <v>12500</v>
      </c>
      <c r="N10" s="830">
        <f>CA!AD47</f>
        <v>12500</v>
      </c>
      <c r="O10" s="827">
        <f>CA!AE47</f>
        <v>13000</v>
      </c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8"/>
      <c r="AA10" s="498"/>
      <c r="AB10" s="498"/>
      <c r="AC10" s="498"/>
      <c r="AD10" s="498"/>
    </row>
    <row r="11" ht="17.25" customHeight="1">
      <c r="A11" s="343"/>
      <c r="B11" s="756" t="s">
        <v>253</v>
      </c>
      <c r="C11" s="216"/>
      <c r="D11" s="217">
        <f t="shared" ref="D11:O11" si="3">SUM(D7:D10)</f>
        <v>40569.18182</v>
      </c>
      <c r="E11" s="217">
        <f t="shared" si="3"/>
        <v>79851.08636</v>
      </c>
      <c r="F11" s="217">
        <f t="shared" si="3"/>
        <v>92854.76364</v>
      </c>
      <c r="G11" s="386">
        <f t="shared" si="3"/>
        <v>71352.79091</v>
      </c>
      <c r="H11" s="216">
        <f t="shared" si="3"/>
        <v>284627.8227</v>
      </c>
      <c r="I11" s="217">
        <f t="shared" si="3"/>
        <v>55170.076</v>
      </c>
      <c r="J11" s="217">
        <f t="shared" si="3"/>
        <v>87667.061</v>
      </c>
      <c r="K11" s="217">
        <f t="shared" si="3"/>
        <v>101735.1119</v>
      </c>
      <c r="L11" s="386">
        <f t="shared" si="3"/>
        <v>62514.21009</v>
      </c>
      <c r="M11" s="216">
        <f t="shared" si="3"/>
        <v>307086.459</v>
      </c>
      <c r="N11" s="216">
        <f t="shared" si="3"/>
        <v>328115.2437</v>
      </c>
      <c r="O11" s="798">
        <f t="shared" si="3"/>
        <v>370480.5285</v>
      </c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</row>
    <row r="12" ht="12.0" customHeight="1">
      <c r="A12" s="498"/>
      <c r="B12" s="455"/>
      <c r="C12" s="831"/>
      <c r="D12" s="18"/>
      <c r="E12" s="18"/>
      <c r="F12" s="18"/>
      <c r="G12" s="2"/>
      <c r="H12" s="341">
        <f>IF(SUM(D11:G11)=H11,0,SUM(D11:G11)-H11)</f>
        <v>0</v>
      </c>
      <c r="I12" s="314"/>
      <c r="J12" s="314"/>
      <c r="K12" s="314"/>
      <c r="L12" s="2"/>
      <c r="M12" s="341">
        <f>IF(SUM(I11:L11)=M11,0,SUM(I11:L11)-M11)</f>
        <v>0</v>
      </c>
      <c r="N12" s="832"/>
      <c r="O12" s="83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24.75" customHeight="1">
      <c r="B13" s="181" t="s">
        <v>569</v>
      </c>
      <c r="C13" s="181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ht="15.0" customHeight="1" outlineLevel="1">
      <c r="A14" s="498"/>
      <c r="B14" s="833" t="s">
        <v>570</v>
      </c>
      <c r="C14" s="823"/>
      <c r="D14" s="651">
        <f>-SUM(CA!D99:F99)</f>
        <v>-6600</v>
      </c>
      <c r="E14" s="651">
        <f>-SUM(CA!G99:I99)</f>
        <v>-7600</v>
      </c>
      <c r="F14" s="651">
        <f>-SUM(CA!J99:L99)</f>
        <v>-8100</v>
      </c>
      <c r="G14" s="824">
        <f>-SUM(CA!M99:O99)</f>
        <v>-7100</v>
      </c>
      <c r="H14" s="638">
        <f t="shared" ref="H14:H18" si="4">SUM(D14:G14)</f>
        <v>-29400</v>
      </c>
      <c r="I14" s="651">
        <f>-SUM(CA!Q99:S99)</f>
        <v>-6600</v>
      </c>
      <c r="J14" s="651">
        <f>-SUM(CA!T99:V99)</f>
        <v>-7600</v>
      </c>
      <c r="K14" s="651">
        <f>-SUM(CA!W99:Y99)</f>
        <v>-8100</v>
      </c>
      <c r="L14" s="824">
        <f>-SUM(CA!Z99:AB99)</f>
        <v>-7100</v>
      </c>
      <c r="M14" s="638">
        <f t="shared" ref="M14:M18" si="5">SUM(I14:L14)</f>
        <v>-29400</v>
      </c>
      <c r="N14" s="638">
        <f>-CA!AD99</f>
        <v>-30870</v>
      </c>
      <c r="O14" s="651">
        <f>-CA!AE99</f>
        <v>-32413.5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5.0" customHeight="1" outlineLevel="1">
      <c r="A15" s="498"/>
      <c r="B15" s="834" t="s">
        <v>571</v>
      </c>
      <c r="C15" s="823"/>
      <c r="D15" s="651">
        <f>-SUM(CA!D100:F100)</f>
        <v>-2970</v>
      </c>
      <c r="E15" s="651">
        <f>-SUM(CA!G100:I100)</f>
        <v>-2970</v>
      </c>
      <c r="F15" s="651">
        <f>-SUM(CA!J100:L100)</f>
        <v>-2970</v>
      </c>
      <c r="G15" s="652">
        <f>-SUM(CA!M100:O100)</f>
        <v>-2970</v>
      </c>
      <c r="H15" s="638">
        <f t="shared" si="4"/>
        <v>-11880</v>
      </c>
      <c r="I15" s="651">
        <f>-SUM(CA!Q100:S100)</f>
        <v>-2970</v>
      </c>
      <c r="J15" s="651">
        <f>-SUM(CA!T100:V100)</f>
        <v>-2970</v>
      </c>
      <c r="K15" s="651">
        <f>-SUM(CA!W100:Y100)</f>
        <v>-2970</v>
      </c>
      <c r="L15" s="652">
        <f>-SUM(CA!Z100:AB100)</f>
        <v>-2970</v>
      </c>
      <c r="M15" s="638">
        <f t="shared" si="5"/>
        <v>-11880</v>
      </c>
      <c r="N15" s="638">
        <f>-CA!AD100</f>
        <v>-12474</v>
      </c>
      <c r="O15" s="651">
        <f>-CA!AE100</f>
        <v>-13097.7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0" customHeight="1" outlineLevel="1">
      <c r="A16" s="498"/>
      <c r="B16" s="835" t="s">
        <v>572</v>
      </c>
      <c r="C16" s="826"/>
      <c r="D16" s="827">
        <f>-SUM(CA!D101:F101)</f>
        <v>0</v>
      </c>
      <c r="E16" s="827">
        <f>-SUM(CA!G101:I101)</f>
        <v>0</v>
      </c>
      <c r="F16" s="827">
        <f>-SUM(CA!J101:L101)</f>
        <v>0</v>
      </c>
      <c r="G16" s="828">
        <f>-SUM(CA!M101:O101)</f>
        <v>0</v>
      </c>
      <c r="H16" s="829">
        <f t="shared" si="4"/>
        <v>0</v>
      </c>
      <c r="I16" s="827">
        <f>-SUM(CA!Q101:S101)</f>
        <v>0</v>
      </c>
      <c r="J16" s="827">
        <f>-SUM(CA!T101:V101)</f>
        <v>0</v>
      </c>
      <c r="K16" s="827">
        <f>-SUM(CA!W101:Y101)</f>
        <v>0</v>
      </c>
      <c r="L16" s="828">
        <f>-SUM(CA!Z101:AB101)</f>
        <v>0</v>
      </c>
      <c r="M16" s="829">
        <f t="shared" si="5"/>
        <v>0</v>
      </c>
      <c r="N16" s="829">
        <f>-CA!AD101</f>
        <v>0</v>
      </c>
      <c r="O16" s="827">
        <f>-CA!AE101</f>
        <v>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0" customHeight="1" outlineLevel="1">
      <c r="A17" s="498"/>
      <c r="B17" s="836" t="s">
        <v>573</v>
      </c>
      <c r="C17" s="823"/>
      <c r="D17" s="651">
        <f>-SUM(CA!D102:F102)</f>
        <v>-9570</v>
      </c>
      <c r="E17" s="651">
        <f>-SUM(CA!G102:I102)</f>
        <v>-10570</v>
      </c>
      <c r="F17" s="651">
        <f>-SUM(CA!J102:L102)</f>
        <v>-11070</v>
      </c>
      <c r="G17" s="652">
        <f>-SUM(CA!M102:O102)</f>
        <v>-10070</v>
      </c>
      <c r="H17" s="638">
        <f t="shared" si="4"/>
        <v>-41280</v>
      </c>
      <c r="I17" s="651">
        <f>-SUM(CA!Q102:S102)</f>
        <v>-9570</v>
      </c>
      <c r="J17" s="651">
        <f>-SUM(CA!T102:V102)</f>
        <v>-10570</v>
      </c>
      <c r="K17" s="651">
        <f>-SUM(CA!W102:Y102)</f>
        <v>-11070</v>
      </c>
      <c r="L17" s="652">
        <f>-SUM(CA!Z102:AB102)</f>
        <v>-10070</v>
      </c>
      <c r="M17" s="638">
        <f t="shared" si="5"/>
        <v>-41280</v>
      </c>
      <c r="N17" s="638">
        <f>-CA!AD102</f>
        <v>-43344</v>
      </c>
      <c r="O17" s="651">
        <f>-CA!AE102</f>
        <v>-45511.2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0" customHeight="1" outlineLevel="1">
      <c r="A18" s="498"/>
      <c r="B18" s="837" t="s">
        <v>574</v>
      </c>
      <c r="C18" s="823"/>
      <c r="D18" s="650">
        <f>Investissements!E10</f>
        <v>0</v>
      </c>
      <c r="E18" s="651">
        <f>Investissements!F10</f>
        <v>0</v>
      </c>
      <c r="F18" s="651">
        <f>Investissements!G10</f>
        <v>0</v>
      </c>
      <c r="G18" s="652">
        <f>Investissements!H10</f>
        <v>0</v>
      </c>
      <c r="H18" s="638">
        <f t="shared" si="4"/>
        <v>0</v>
      </c>
      <c r="I18" s="651">
        <f>Investissements!J10</f>
        <v>0</v>
      </c>
      <c r="J18" s="651">
        <f>Investissements!K10</f>
        <v>0</v>
      </c>
      <c r="K18" s="651">
        <f>Investissements!L10</f>
        <v>0</v>
      </c>
      <c r="L18" s="652">
        <f>Investissements!M10</f>
        <v>0</v>
      </c>
      <c r="M18" s="638">
        <f t="shared" si="5"/>
        <v>0</v>
      </c>
      <c r="N18" s="638">
        <f>Investissements!O10</f>
        <v>0</v>
      </c>
      <c r="O18" s="651">
        <f>Investissements!P10</f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0" customHeight="1" outlineLevel="1">
      <c r="A19" s="308"/>
      <c r="B19" s="390" t="s">
        <v>575</v>
      </c>
      <c r="C19" s="823"/>
      <c r="D19" s="651"/>
      <c r="E19" s="651"/>
      <c r="F19" s="651"/>
      <c r="G19" s="652"/>
      <c r="H19" s="638"/>
      <c r="I19" s="651"/>
      <c r="J19" s="651"/>
      <c r="K19" s="651"/>
      <c r="L19" s="652"/>
      <c r="M19" s="638"/>
      <c r="N19" s="638"/>
      <c r="O19" s="65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0" customHeight="1" outlineLevel="1">
      <c r="A20" s="308"/>
      <c r="B20" s="838" t="s">
        <v>576</v>
      </c>
      <c r="C20" s="826"/>
      <c r="D20" s="827">
        <f>-SUM(CA!D94:F94)</f>
        <v>-12170.75455</v>
      </c>
      <c r="E20" s="827">
        <f>-SUM(CA!G94:I94)</f>
        <v>-22005.32591</v>
      </c>
      <c r="F20" s="827">
        <f>-SUM(CA!J94:L94)</f>
        <v>-24149.36091</v>
      </c>
      <c r="G20" s="828">
        <f>-SUM(CA!M94:O94)</f>
        <v>-16754.70773</v>
      </c>
      <c r="H20" s="829">
        <f>SUM(D20:G20)</f>
        <v>-75080.14909</v>
      </c>
      <c r="I20" s="827">
        <f>-SUM(CA!Q94:S94)</f>
        <v>-13563.90005</v>
      </c>
      <c r="J20" s="827">
        <f>-SUM(CA!T94:V94)</f>
        <v>-19623.8793</v>
      </c>
      <c r="K20" s="827">
        <f>-SUM(CA!W94:Y94)</f>
        <v>-25351.62503</v>
      </c>
      <c r="L20" s="828">
        <f>-SUM(CA!Z94:AB94)</f>
        <v>-15436.55007</v>
      </c>
      <c r="M20" s="829">
        <f>SUM(I20:L20)</f>
        <v>-73975.95445</v>
      </c>
      <c r="N20" s="829">
        <f>-CA!AD94</f>
        <v>-74340.62991</v>
      </c>
      <c r="O20" s="827">
        <f>-CA!AE94</f>
        <v>-84507.95283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7.25" customHeight="1">
      <c r="A21" s="343"/>
      <c r="B21" s="756" t="s">
        <v>577</v>
      </c>
      <c r="C21" s="216"/>
      <c r="D21" s="217">
        <f t="shared" ref="D21:O21" si="6">SUM(D17:D20)</f>
        <v>-21740.75455</v>
      </c>
      <c r="E21" s="217">
        <f t="shared" si="6"/>
        <v>-32575.32591</v>
      </c>
      <c r="F21" s="217">
        <f t="shared" si="6"/>
        <v>-35219.36091</v>
      </c>
      <c r="G21" s="386">
        <f t="shared" si="6"/>
        <v>-26824.70773</v>
      </c>
      <c r="H21" s="216">
        <f t="shared" si="6"/>
        <v>-116360.1491</v>
      </c>
      <c r="I21" s="217">
        <f t="shared" si="6"/>
        <v>-23133.90005</v>
      </c>
      <c r="J21" s="217">
        <f t="shared" si="6"/>
        <v>-30193.8793</v>
      </c>
      <c r="K21" s="217">
        <f t="shared" si="6"/>
        <v>-36421.62503</v>
      </c>
      <c r="L21" s="386">
        <f t="shared" si="6"/>
        <v>-25506.55007</v>
      </c>
      <c r="M21" s="216">
        <f t="shared" si="6"/>
        <v>-115255.9545</v>
      </c>
      <c r="N21" s="216">
        <f t="shared" si="6"/>
        <v>-117684.6299</v>
      </c>
      <c r="O21" s="798">
        <f t="shared" si="6"/>
        <v>-130019.1528</v>
      </c>
      <c r="P21" s="343"/>
      <c r="Q21" s="343"/>
      <c r="R21" s="343"/>
      <c r="S21" s="343"/>
      <c r="T21" s="343"/>
      <c r="U21" s="343"/>
      <c r="V21" s="343"/>
      <c r="W21" s="343"/>
      <c r="X21" s="343"/>
      <c r="Y21" s="343"/>
      <c r="Z21" s="343"/>
      <c r="AA21" s="343"/>
      <c r="AB21" s="343"/>
      <c r="AC21" s="343"/>
      <c r="AD21" s="343"/>
    </row>
    <row r="22" ht="12.75" customHeight="1">
      <c r="A22" s="498"/>
      <c r="B22" s="455"/>
      <c r="C22" s="831"/>
      <c r="D22" s="18"/>
      <c r="E22" s="18"/>
      <c r="F22" s="18"/>
      <c r="G22" s="2"/>
      <c r="H22" s="341">
        <f>IF(SUM(D21:G21)=H21,0,SUM(D21:G21)-H21)</f>
        <v>0</v>
      </c>
      <c r="I22" s="314"/>
      <c r="J22" s="314"/>
      <c r="K22" s="314"/>
      <c r="L22" s="2"/>
      <c r="M22" s="341">
        <f>IF(SUM(I21:L21)=M21,0,SUM(I21:L21)-M21)</f>
        <v>0</v>
      </c>
      <c r="N22" s="832"/>
      <c r="O22" s="832"/>
      <c r="P22" s="345"/>
      <c r="Q22" s="345"/>
      <c r="R22" s="807"/>
      <c r="S22" s="807"/>
      <c r="T22" s="807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23.25" customHeight="1">
      <c r="A23" s="498"/>
      <c r="B23" s="764" t="s">
        <v>578</v>
      </c>
      <c r="C23" s="304">
        <f>C11-C21</f>
        <v>0</v>
      </c>
      <c r="D23" s="302">
        <f t="shared" ref="D23:O23" si="7">D11+D21</f>
        <v>18828.42727</v>
      </c>
      <c r="E23" s="302">
        <f t="shared" si="7"/>
        <v>47275.76045</v>
      </c>
      <c r="F23" s="302">
        <f t="shared" si="7"/>
        <v>57635.40273</v>
      </c>
      <c r="G23" s="303">
        <f t="shared" si="7"/>
        <v>44528.08318</v>
      </c>
      <c r="H23" s="304">
        <f t="shared" si="7"/>
        <v>168267.6736</v>
      </c>
      <c r="I23" s="302">
        <f t="shared" si="7"/>
        <v>32036.17595</v>
      </c>
      <c r="J23" s="302">
        <f t="shared" si="7"/>
        <v>57473.1817</v>
      </c>
      <c r="K23" s="302">
        <f t="shared" si="7"/>
        <v>65313.48688</v>
      </c>
      <c r="L23" s="303">
        <f t="shared" si="7"/>
        <v>37007.66002</v>
      </c>
      <c r="M23" s="304">
        <f t="shared" si="7"/>
        <v>191830.5046</v>
      </c>
      <c r="N23" s="300">
        <f t="shared" si="7"/>
        <v>210430.6138</v>
      </c>
      <c r="O23" s="465">
        <f t="shared" si="7"/>
        <v>240461.3757</v>
      </c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  <c r="AA23" s="308"/>
      <c r="AB23" s="308"/>
      <c r="AC23" s="308"/>
      <c r="AD23" s="308"/>
    </row>
    <row r="24" ht="11.25" customHeight="1">
      <c r="A24" s="839"/>
      <c r="B24" s="840" t="s">
        <v>579</v>
      </c>
      <c r="C24" s="841">
        <f t="shared" ref="C24:O24" si="8">IFERROR(C23/C11,0%)</f>
        <v>0</v>
      </c>
      <c r="D24" s="841">
        <f t="shared" si="8"/>
        <v>0.4641066551</v>
      </c>
      <c r="E24" s="841">
        <f t="shared" si="8"/>
        <v>0.5920490579</v>
      </c>
      <c r="F24" s="841">
        <f t="shared" si="8"/>
        <v>0.6207048564</v>
      </c>
      <c r="G24" s="841">
        <f t="shared" si="8"/>
        <v>0.6240552418</v>
      </c>
      <c r="H24" s="841">
        <f t="shared" si="8"/>
        <v>0.5911849096</v>
      </c>
      <c r="I24" s="841">
        <f t="shared" si="8"/>
        <v>0.580680294</v>
      </c>
      <c r="J24" s="841">
        <f t="shared" si="8"/>
        <v>0.6555846751</v>
      </c>
      <c r="K24" s="841">
        <f t="shared" si="8"/>
        <v>0.641995528</v>
      </c>
      <c r="L24" s="841">
        <f t="shared" si="8"/>
        <v>0.591987965</v>
      </c>
      <c r="M24" s="841">
        <f t="shared" si="8"/>
        <v>0.6246791382</v>
      </c>
      <c r="N24" s="841">
        <f t="shared" si="8"/>
        <v>0.6413314158</v>
      </c>
      <c r="O24" s="841">
        <f t="shared" si="8"/>
        <v>0.6490526686</v>
      </c>
      <c r="P24" s="839"/>
      <c r="Q24" s="839"/>
      <c r="R24" s="839"/>
      <c r="S24" s="839"/>
      <c r="T24" s="839"/>
      <c r="U24" s="839"/>
      <c r="V24" s="839"/>
      <c r="W24" s="839"/>
      <c r="X24" s="839"/>
      <c r="Y24" s="839"/>
      <c r="Z24" s="839"/>
      <c r="AA24" s="839"/>
      <c r="AB24" s="839"/>
      <c r="AC24" s="839"/>
      <c r="AD24" s="839"/>
    </row>
    <row r="25" ht="12.0" customHeight="1">
      <c r="A25" s="498"/>
      <c r="B25" s="455"/>
      <c r="C25" s="831"/>
      <c r="D25" s="18"/>
      <c r="E25" s="18"/>
      <c r="F25" s="18"/>
      <c r="G25" s="2"/>
      <c r="H25" s="341">
        <f>IF(SUM(D23:G23)=H23,0,H23-SUM(D23:G23))</f>
        <v>0</v>
      </c>
      <c r="I25" s="314"/>
      <c r="J25" s="314"/>
      <c r="K25" s="314"/>
      <c r="L25" s="2"/>
      <c r="M25" s="341">
        <f>IF(SUM(I23:L23)=M23,0,SUM(I23:L23)-M23)</f>
        <v>0</v>
      </c>
      <c r="N25" s="842"/>
      <c r="O25" s="84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24.75" customHeight="1">
      <c r="B26" s="409" t="s">
        <v>580</v>
      </c>
      <c r="C26" s="181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</row>
    <row r="27" ht="15.0" customHeight="1" outlineLevel="1">
      <c r="A27" s="498"/>
      <c r="B27" s="833" t="s">
        <v>581</v>
      </c>
      <c r="C27" s="639"/>
      <c r="D27" s="651">
        <f>-((SUM(Personnel!D73:F73))+D14)</f>
        <v>-6250</v>
      </c>
      <c r="E27" s="651">
        <f>-((SUM(Personnel!G73:I73))+E14)</f>
        <v>-6250</v>
      </c>
      <c r="F27" s="651">
        <f>-((SUM(Personnel!J73:L73))+F14)</f>
        <v>-6250</v>
      </c>
      <c r="G27" s="824">
        <f>-((SUM(Personnel!M73:O73))+G14)</f>
        <v>-6250</v>
      </c>
      <c r="H27" s="638">
        <f t="shared" ref="H27:H30" si="9">SUM(D27:G27)</f>
        <v>-25000</v>
      </c>
      <c r="I27" s="651">
        <f>-((SUM(Personnel!Q73:S73))+I14)</f>
        <v>-6250</v>
      </c>
      <c r="J27" s="651">
        <f>-((SUM(Personnel!T73:V73))+J14)</f>
        <v>-6250</v>
      </c>
      <c r="K27" s="651">
        <f>-((SUM(Personnel!W73:Y73))+K14)</f>
        <v>-6250</v>
      </c>
      <c r="L27" s="824">
        <f>-((SUM(Personnel!Z73:AB73))+L14)</f>
        <v>-6250</v>
      </c>
      <c r="M27" s="638">
        <f t="shared" ref="M27:M30" si="10">SUM(I27:L27)</f>
        <v>-25000</v>
      </c>
      <c r="N27" s="825">
        <f>-(Personnel!AD73+N14)</f>
        <v>-27562.5</v>
      </c>
      <c r="O27" s="651">
        <f>-(Personnel!AE73+O14)</f>
        <v>-28940.625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0" customHeight="1" outlineLevel="1">
      <c r="A28" s="498"/>
      <c r="B28" s="833" t="s">
        <v>582</v>
      </c>
      <c r="C28" s="639"/>
      <c r="D28" s="651">
        <f>-((SUM(Personnel!D74:F74))+D15)</f>
        <v>-2812.5</v>
      </c>
      <c r="E28" s="651">
        <f>-((SUM(Personnel!G74:I74))+E15)</f>
        <v>-2812.5</v>
      </c>
      <c r="F28" s="651">
        <f>-((SUM(Personnel!J74:L74))+F15)</f>
        <v>-2812.5</v>
      </c>
      <c r="G28" s="652">
        <f>-((SUM(Personnel!M74:O74))+G15)</f>
        <v>-2812.5</v>
      </c>
      <c r="H28" s="638">
        <f t="shared" si="9"/>
        <v>-11250</v>
      </c>
      <c r="I28" s="651">
        <f>-((SUM(Personnel!Q74:S74))+I15)</f>
        <v>-2812.5</v>
      </c>
      <c r="J28" s="651">
        <f>-((SUM(Personnel!T74:V74))+J15)</f>
        <v>-2812.5</v>
      </c>
      <c r="K28" s="651">
        <f>-((SUM(Personnel!W74:Y74))+K15)</f>
        <v>-2812.5</v>
      </c>
      <c r="L28" s="652">
        <f>-((SUM(Personnel!Z74:AB74))+L15)</f>
        <v>-2812.5</v>
      </c>
      <c r="M28" s="638">
        <f t="shared" si="10"/>
        <v>-11250</v>
      </c>
      <c r="N28" s="825">
        <f>-(Personnel!AD74+CR!N15)</f>
        <v>-12403.125</v>
      </c>
      <c r="O28" s="651">
        <f>-(Personnel!AE74+CR!O15)</f>
        <v>-13023.28125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0" customHeight="1" outlineLevel="1">
      <c r="A29" s="498"/>
      <c r="B29" s="833" t="s">
        <v>583</v>
      </c>
      <c r="C29" s="639"/>
      <c r="D29" s="651">
        <f>-((SUM(Personnel!D75:F75))+D16)</f>
        <v>0</v>
      </c>
      <c r="E29" s="651">
        <f>-((SUM(Personnel!G75:I75))+E16)</f>
        <v>0</v>
      </c>
      <c r="F29" s="651">
        <f>-((SUM(Personnel!J75:L75))+F16)</f>
        <v>0</v>
      </c>
      <c r="G29" s="652">
        <f>-((SUM(Personnel!M75:O75))+G16)</f>
        <v>0</v>
      </c>
      <c r="H29" s="638">
        <f t="shared" si="9"/>
        <v>0</v>
      </c>
      <c r="I29" s="651">
        <f>-((SUM(Personnel!Q75:S75))+I16)</f>
        <v>0</v>
      </c>
      <c r="J29" s="651">
        <f>-((SUM(Personnel!T75:V75))+J16)</f>
        <v>0</v>
      </c>
      <c r="K29" s="651">
        <f>-((SUM(Personnel!W75:Y75))+K16)</f>
        <v>0</v>
      </c>
      <c r="L29" s="652">
        <f>-((SUM(Personnel!Z75:AB75))+L16)</f>
        <v>0</v>
      </c>
      <c r="M29" s="638">
        <f t="shared" si="10"/>
        <v>0</v>
      </c>
      <c r="N29" s="825">
        <f>-(Personnel!AD75+CR!N16)</f>
        <v>0</v>
      </c>
      <c r="O29" s="651">
        <f>-(Personnel!AE75+CR!O16)</f>
        <v>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0" customHeight="1" outlineLevel="1">
      <c r="A30" s="498"/>
      <c r="B30" s="843" t="s">
        <v>584</v>
      </c>
      <c r="C30" s="826"/>
      <c r="D30" s="827">
        <f>-SUM(Personnel!D14:F14)</f>
        <v>0</v>
      </c>
      <c r="E30" s="827">
        <f>-SUM(Personnel!G14:I14)</f>
        <v>0</v>
      </c>
      <c r="F30" s="827">
        <f>-SUM(Personnel!J14:L14)</f>
        <v>0</v>
      </c>
      <c r="G30" s="828">
        <f>-SUM(Personnel!M14:O14)</f>
        <v>0</v>
      </c>
      <c r="H30" s="829">
        <f t="shared" si="9"/>
        <v>0</v>
      </c>
      <c r="I30" s="827">
        <f>-SUM(Personnel!Q14:S14)</f>
        <v>0</v>
      </c>
      <c r="J30" s="827">
        <f>-SUM(Personnel!T14:V14)</f>
        <v>0</v>
      </c>
      <c r="K30" s="827">
        <f>-SUM(Personnel!W14:Y14)</f>
        <v>0</v>
      </c>
      <c r="L30" s="828">
        <f>-SUM(Personnel!Z14:AB14)</f>
        <v>0</v>
      </c>
      <c r="M30" s="829">
        <f t="shared" si="10"/>
        <v>0</v>
      </c>
      <c r="N30" s="829">
        <f>-Personnel!AD14</f>
        <v>0</v>
      </c>
      <c r="O30" s="827">
        <f>-Personnel!AE14</f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7.25" customHeight="1">
      <c r="A31" s="343"/>
      <c r="B31" s="756" t="s">
        <v>585</v>
      </c>
      <c r="C31" s="216">
        <f>C27+C28+C29</f>
        <v>0</v>
      </c>
      <c r="D31" s="217">
        <f t="shared" ref="D31:O31" si="11">SUM(D27:D30)</f>
        <v>-9062.5</v>
      </c>
      <c r="E31" s="217">
        <f t="shared" si="11"/>
        <v>-9062.5</v>
      </c>
      <c r="F31" s="217">
        <f t="shared" si="11"/>
        <v>-9062.5</v>
      </c>
      <c r="G31" s="386">
        <f t="shared" si="11"/>
        <v>-9062.5</v>
      </c>
      <c r="H31" s="216">
        <f t="shared" si="11"/>
        <v>-36250</v>
      </c>
      <c r="I31" s="217">
        <f t="shared" si="11"/>
        <v>-9062.5</v>
      </c>
      <c r="J31" s="217">
        <f t="shared" si="11"/>
        <v>-9062.5</v>
      </c>
      <c r="K31" s="217">
        <f t="shared" si="11"/>
        <v>-9062.5</v>
      </c>
      <c r="L31" s="386">
        <f t="shared" si="11"/>
        <v>-9062.5</v>
      </c>
      <c r="M31" s="216">
        <f t="shared" si="11"/>
        <v>-36250</v>
      </c>
      <c r="N31" s="216">
        <f t="shared" si="11"/>
        <v>-39965.625</v>
      </c>
      <c r="O31" s="798">
        <f t="shared" si="11"/>
        <v>-41963.90625</v>
      </c>
      <c r="P31" s="343"/>
      <c r="Q31" s="343"/>
      <c r="R31" s="343"/>
      <c r="S31" s="343"/>
      <c r="T31" s="343"/>
      <c r="U31" s="343"/>
      <c r="V31" s="343"/>
      <c r="W31" s="343"/>
      <c r="X31" s="343"/>
      <c r="Y31" s="343"/>
      <c r="Z31" s="343"/>
      <c r="AA31" s="343"/>
      <c r="AB31" s="343"/>
      <c r="AC31" s="343"/>
      <c r="AD31" s="343"/>
    </row>
    <row r="32" ht="15.0" customHeight="1">
      <c r="A32" s="343"/>
      <c r="B32" s="758"/>
      <c r="C32" s="406"/>
      <c r="D32" s="844"/>
      <c r="E32" s="844"/>
      <c r="F32" s="844"/>
      <c r="G32" s="844"/>
      <c r="H32" s="807"/>
      <c r="I32" s="844"/>
      <c r="J32" s="844"/>
      <c r="K32" s="844"/>
      <c r="L32" s="844"/>
      <c r="M32" s="807"/>
      <c r="N32" s="807"/>
      <c r="O32" s="807"/>
      <c r="P32" s="343"/>
      <c r="Q32" s="343"/>
      <c r="R32" s="343"/>
      <c r="S32" s="343"/>
      <c r="T32" s="343"/>
      <c r="U32" s="343"/>
      <c r="V32" s="343"/>
      <c r="W32" s="343"/>
      <c r="X32" s="343"/>
      <c r="Y32" s="343"/>
      <c r="Z32" s="343"/>
      <c r="AA32" s="343"/>
      <c r="AB32" s="343"/>
      <c r="AC32" s="343"/>
      <c r="AD32" s="343"/>
    </row>
    <row r="33" ht="24.75" customHeight="1">
      <c r="B33" s="181" t="s">
        <v>309</v>
      </c>
      <c r="C33" s="181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</row>
    <row r="34" ht="17.25" customHeight="1">
      <c r="A34" s="343"/>
      <c r="B34" s="756" t="str">
        <f>'Charges dexploitation'!B94</f>
        <v>Total Charges Externes </v>
      </c>
      <c r="C34" s="216"/>
      <c r="D34" s="217">
        <f>-SUM('Charges dexploitation'!C94:E94)</f>
        <v>-2631.23</v>
      </c>
      <c r="E34" s="217">
        <f>-SUM('Charges dexploitation'!F94:H94)</f>
        <v>-8692.07</v>
      </c>
      <c r="F34" s="217">
        <f>-SUM('Charges dexploitation'!I94:K94)</f>
        <v>-14367.24</v>
      </c>
      <c r="G34" s="845">
        <f>-SUM('Charges dexploitation'!L94:N994)</f>
        <v>-17067.24</v>
      </c>
      <c r="H34" s="216">
        <f>SUM(D34:G34)</f>
        <v>-42757.78</v>
      </c>
      <c r="I34" s="217">
        <f>-SUM('Charges dexploitation'!P94:R94)</f>
        <v>-20761.51</v>
      </c>
      <c r="J34" s="217">
        <f>-SUM('Charges dexploitation'!S94:U94)</f>
        <v>-15550.51</v>
      </c>
      <c r="K34" s="217">
        <f>-SUM('Charges dexploitation'!V94:X94)</f>
        <v>-15388.51</v>
      </c>
      <c r="L34" s="845">
        <f>-SUM('Charges dexploitation'!Y94:AA94)</f>
        <v>-18462.51</v>
      </c>
      <c r="M34" s="216">
        <f>SUM(I34:L34)</f>
        <v>-70163.04</v>
      </c>
      <c r="N34" s="216">
        <f>-'Charges dexploitation'!AC94</f>
        <v>-71987.04</v>
      </c>
      <c r="O34" s="798">
        <f>-'Charges dexploitation'!AD94</f>
        <v>-72171.04</v>
      </c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</row>
    <row r="35" ht="12.0" customHeight="1">
      <c r="A35" s="498"/>
      <c r="B35" s="455"/>
      <c r="C35" s="831"/>
      <c r="D35" s="18"/>
      <c r="E35" s="18"/>
      <c r="F35" s="18"/>
      <c r="G35" s="2"/>
      <c r="H35" s="341">
        <f>IF(SUM(D34:G34)=H34,0,SUM(D34:G34)-H34)</f>
        <v>0</v>
      </c>
      <c r="I35" s="314"/>
      <c r="J35" s="314"/>
      <c r="K35" s="314"/>
      <c r="L35" s="2"/>
      <c r="M35" s="341">
        <f>IF(SUM(I34:L34)=M34,0,SUM(I34:L34)-M34)</f>
        <v>0</v>
      </c>
      <c r="N35" s="842"/>
      <c r="O35" s="84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24.75" customHeight="1">
      <c r="B36" s="181" t="s">
        <v>586</v>
      </c>
      <c r="C36" s="181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</row>
    <row r="37" ht="15.0" customHeight="1" outlineLevel="1">
      <c r="A37" s="498"/>
      <c r="B37" s="833" t="s">
        <v>587</v>
      </c>
      <c r="C37" s="638"/>
      <c r="D37" s="501"/>
      <c r="E37" s="501"/>
      <c r="F37" s="501"/>
      <c r="G37" s="637"/>
      <c r="H37" s="638">
        <f t="shared" ref="H37:H39" si="12">SUM(D37:G37)</f>
        <v>0</v>
      </c>
      <c r="I37" s="501"/>
      <c r="J37" s="501"/>
      <c r="K37" s="501"/>
      <c r="L37" s="637"/>
      <c r="M37" s="638">
        <f t="shared" ref="M37:M39" si="13">SUM(I37:L37)</f>
        <v>0</v>
      </c>
      <c r="N37" s="639"/>
      <c r="O37" s="50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0" customHeight="1" outlineLevel="1">
      <c r="A38" s="498"/>
      <c r="B38" s="846" t="s">
        <v>588</v>
      </c>
      <c r="C38" s="829"/>
      <c r="D38" s="827">
        <f>-IF(Statut_CIR=1,D$17*Taux_de_CIR,0)</f>
        <v>0</v>
      </c>
      <c r="E38" s="827">
        <f>-IF(Statut_CIR=1,E$17*Taux_de_CIR,0)</f>
        <v>0</v>
      </c>
      <c r="F38" s="827">
        <f>-IF(Statut_CIR=1,F$17*Taux_de_CIR,0)</f>
        <v>0</v>
      </c>
      <c r="G38" s="828">
        <f>-IF(Statut_CIR=1,G$17*Taux_de_CIR,0)</f>
        <v>0</v>
      </c>
      <c r="H38" s="829">
        <f t="shared" si="12"/>
        <v>0</v>
      </c>
      <c r="I38" s="827">
        <f>-IF(Statut_CIR=1,I$17*Taux_de_CIR,0)</f>
        <v>0</v>
      </c>
      <c r="J38" s="827">
        <f>-IF(Statut_CIR=1,J$17*Taux_de_CIR,0)</f>
        <v>0</v>
      </c>
      <c r="K38" s="827">
        <f>-IF(Statut_CIR=1,K$17*Taux_de_CIR,0)</f>
        <v>0</v>
      </c>
      <c r="L38" s="828">
        <f>-IF(Statut_CIR=1,L$17*Taux_de_CIR,0)</f>
        <v>0</v>
      </c>
      <c r="M38" s="829">
        <f t="shared" si="13"/>
        <v>0</v>
      </c>
      <c r="N38" s="829">
        <f>-IF(Statut_CIR=1,N$17*Taux_de_CIR,0)</f>
        <v>0</v>
      </c>
      <c r="O38" s="827">
        <f>-IF(Statut_CIR=1,O$17*Taux_de_CIR,0)</f>
        <v>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7.25" customHeight="1">
      <c r="A39" s="343"/>
      <c r="B39" s="756" t="s">
        <v>589</v>
      </c>
      <c r="C39" s="216"/>
      <c r="D39" s="217">
        <f t="shared" ref="D39:G39" si="14">SUM(D37:D38)</f>
        <v>0</v>
      </c>
      <c r="E39" s="217">
        <f t="shared" si="14"/>
        <v>0</v>
      </c>
      <c r="F39" s="217">
        <f t="shared" si="14"/>
        <v>0</v>
      </c>
      <c r="G39" s="386">
        <f t="shared" si="14"/>
        <v>0</v>
      </c>
      <c r="H39" s="216">
        <f t="shared" si="12"/>
        <v>0</v>
      </c>
      <c r="I39" s="217">
        <f t="shared" ref="I39:L39" si="15">SUM(I37:I38)</f>
        <v>0</v>
      </c>
      <c r="J39" s="217">
        <f t="shared" si="15"/>
        <v>0</v>
      </c>
      <c r="K39" s="217">
        <f t="shared" si="15"/>
        <v>0</v>
      </c>
      <c r="L39" s="386">
        <f t="shared" si="15"/>
        <v>0</v>
      </c>
      <c r="M39" s="216">
        <f t="shared" si="13"/>
        <v>0</v>
      </c>
      <c r="N39" s="216">
        <f t="shared" ref="N39:O39" si="16">SUM(N37:N38)</f>
        <v>0</v>
      </c>
      <c r="O39" s="798">
        <f t="shared" si="16"/>
        <v>0</v>
      </c>
      <c r="P39" s="343"/>
      <c r="Q39" s="343"/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343"/>
      <c r="AD39" s="343"/>
    </row>
    <row r="40" ht="15.0" customHeight="1">
      <c r="A40" s="348"/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  <c r="AA40" s="348"/>
      <c r="AB40" s="348"/>
      <c r="AC40" s="348"/>
      <c r="AD40" s="348"/>
    </row>
    <row r="41" ht="24.75" customHeight="1">
      <c r="A41" s="498"/>
      <c r="B41" s="764" t="s">
        <v>590</v>
      </c>
      <c r="C41" s="304">
        <f t="shared" ref="C41:O41" si="17">C23+C31+C34+C39</f>
        <v>0</v>
      </c>
      <c r="D41" s="302">
        <f t="shared" si="17"/>
        <v>7134.697273</v>
      </c>
      <c r="E41" s="302">
        <f t="shared" si="17"/>
        <v>29521.19045</v>
      </c>
      <c r="F41" s="302">
        <f t="shared" si="17"/>
        <v>34205.66273</v>
      </c>
      <c r="G41" s="303">
        <f t="shared" si="17"/>
        <v>18398.34318</v>
      </c>
      <c r="H41" s="304">
        <f t="shared" si="17"/>
        <v>89259.89364</v>
      </c>
      <c r="I41" s="302">
        <f t="shared" si="17"/>
        <v>2212.16595</v>
      </c>
      <c r="J41" s="302">
        <f t="shared" si="17"/>
        <v>32860.1717</v>
      </c>
      <c r="K41" s="302">
        <f t="shared" si="17"/>
        <v>40862.47688</v>
      </c>
      <c r="L41" s="303">
        <f t="shared" si="17"/>
        <v>9482.650018</v>
      </c>
      <c r="M41" s="304">
        <f t="shared" si="17"/>
        <v>85417.46455</v>
      </c>
      <c r="N41" s="300">
        <f t="shared" si="17"/>
        <v>98477.94881</v>
      </c>
      <c r="O41" s="465">
        <f t="shared" si="17"/>
        <v>126326.4294</v>
      </c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  <c r="AA41" s="308"/>
      <c r="AB41" s="308"/>
      <c r="AC41" s="308"/>
      <c r="AD41" s="308"/>
    </row>
    <row r="42" ht="14.25" customHeight="1">
      <c r="A42" s="498"/>
      <c r="B42" s="840" t="s">
        <v>591</v>
      </c>
      <c r="C42" s="841">
        <f t="shared" ref="C42:O42" si="18">IFERROR(C41/C11,0%)</f>
        <v>0</v>
      </c>
      <c r="D42" s="841">
        <f t="shared" si="18"/>
        <v>0.1758649535</v>
      </c>
      <c r="E42" s="841">
        <f t="shared" si="18"/>
        <v>0.3697030535</v>
      </c>
      <c r="F42" s="841">
        <f t="shared" si="18"/>
        <v>0.3683781142</v>
      </c>
      <c r="G42" s="841">
        <f t="shared" si="18"/>
        <v>0.257850365</v>
      </c>
      <c r="H42" s="841">
        <f t="shared" si="18"/>
        <v>0.3136021376</v>
      </c>
      <c r="I42" s="841">
        <f t="shared" si="18"/>
        <v>0.04009720686</v>
      </c>
      <c r="J42" s="841">
        <f t="shared" si="18"/>
        <v>0.3748291699</v>
      </c>
      <c r="K42" s="841">
        <f t="shared" si="18"/>
        <v>0.4016555948</v>
      </c>
      <c r="L42" s="841">
        <f t="shared" si="18"/>
        <v>0.1516879123</v>
      </c>
      <c r="M42" s="841">
        <f t="shared" si="18"/>
        <v>0.2781544482</v>
      </c>
      <c r="N42" s="841">
        <f t="shared" si="18"/>
        <v>0.3001321965</v>
      </c>
      <c r="O42" s="841">
        <f t="shared" si="18"/>
        <v>0.3409799428</v>
      </c>
      <c r="P42" s="847"/>
      <c r="Q42" s="847"/>
      <c r="R42" s="847"/>
      <c r="S42" s="847"/>
      <c r="T42" s="847"/>
      <c r="U42" s="847"/>
      <c r="V42" s="847"/>
      <c r="W42" s="847"/>
      <c r="X42" s="847"/>
      <c r="Y42" s="847"/>
      <c r="Z42" s="847"/>
      <c r="AA42" s="847"/>
      <c r="AB42" s="847"/>
      <c r="AC42" s="847"/>
      <c r="AD42" s="847"/>
    </row>
    <row r="43" ht="14.25" customHeight="1">
      <c r="A43" s="498"/>
      <c r="B43" s="84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24.75" customHeight="1">
      <c r="B44" s="409" t="s">
        <v>592</v>
      </c>
      <c r="C44" s="181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</row>
    <row r="45" ht="15.0" customHeight="1" outlineLevel="1">
      <c r="A45" s="343"/>
      <c r="B45" s="846" t="s">
        <v>593</v>
      </c>
      <c r="C45" s="848"/>
      <c r="D45" s="849">
        <f>-Investissements!E54</f>
        <v>0</v>
      </c>
      <c r="E45" s="849">
        <f>-Investissements!F54</f>
        <v>0</v>
      </c>
      <c r="F45" s="849">
        <f>-Investissements!G54</f>
        <v>0</v>
      </c>
      <c r="G45" s="850">
        <f>-Investissements!H54</f>
        <v>0</v>
      </c>
      <c r="H45" s="851">
        <f t="shared" ref="H45:H46" si="20">SUM(D45:G45)</f>
        <v>0</v>
      </c>
      <c r="I45" s="849">
        <f>-Investissements!J54</f>
        <v>0</v>
      </c>
      <c r="J45" s="849">
        <f>-Investissements!K54</f>
        <v>0</v>
      </c>
      <c r="K45" s="849">
        <f>-Investissements!L54</f>
        <v>0</v>
      </c>
      <c r="L45" s="850">
        <f>-Investissements!M54</f>
        <v>0</v>
      </c>
      <c r="M45" s="851">
        <f t="shared" ref="M45:M46" si="22">SUM(I45:L45)</f>
        <v>0</v>
      </c>
      <c r="N45" s="852">
        <f>-Investissements!O54</f>
        <v>0</v>
      </c>
      <c r="O45" s="849">
        <f>-Investissements!P54</f>
        <v>0</v>
      </c>
      <c r="P45" s="343"/>
      <c r="Q45" s="343"/>
      <c r="R45" s="343"/>
      <c r="S45" s="343"/>
      <c r="T45" s="343"/>
      <c r="U45" s="343"/>
      <c r="V45" s="343"/>
      <c r="W45" s="343"/>
      <c r="X45" s="343"/>
      <c r="Y45" s="343"/>
      <c r="Z45" s="343"/>
      <c r="AA45" s="343"/>
      <c r="AB45" s="343"/>
      <c r="AC45" s="343"/>
      <c r="AD45" s="343"/>
    </row>
    <row r="46" ht="17.25" customHeight="1">
      <c r="A46" s="343"/>
      <c r="B46" s="756" t="s">
        <v>513</v>
      </c>
      <c r="C46" s="216">
        <f t="shared" ref="C46:G46" si="19">SUM(C45)</f>
        <v>0</v>
      </c>
      <c r="D46" s="217">
        <f t="shared" si="19"/>
        <v>0</v>
      </c>
      <c r="E46" s="217">
        <f t="shared" si="19"/>
        <v>0</v>
      </c>
      <c r="F46" s="217">
        <f t="shared" si="19"/>
        <v>0</v>
      </c>
      <c r="G46" s="386">
        <f t="shared" si="19"/>
        <v>0</v>
      </c>
      <c r="H46" s="216">
        <f t="shared" si="20"/>
        <v>0</v>
      </c>
      <c r="I46" s="217">
        <f t="shared" ref="I46:L46" si="21">SUM(I45)</f>
        <v>0</v>
      </c>
      <c r="J46" s="217">
        <f t="shared" si="21"/>
        <v>0</v>
      </c>
      <c r="K46" s="217">
        <f t="shared" si="21"/>
        <v>0</v>
      </c>
      <c r="L46" s="386">
        <f t="shared" si="21"/>
        <v>0</v>
      </c>
      <c r="M46" s="216">
        <f t="shared" si="22"/>
        <v>0</v>
      </c>
      <c r="N46" s="216">
        <f t="shared" ref="N46:O46" si="23">SUM(N45)</f>
        <v>0</v>
      </c>
      <c r="O46" s="798">
        <f t="shared" si="23"/>
        <v>0</v>
      </c>
      <c r="P46" s="343"/>
      <c r="Q46" s="343"/>
      <c r="R46" s="343"/>
      <c r="S46" s="343"/>
      <c r="T46" s="343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</row>
    <row r="47" ht="15.0" customHeight="1">
      <c r="A47" s="343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</row>
    <row r="48" ht="24.75" customHeight="1">
      <c r="A48" s="498"/>
      <c r="B48" s="764" t="s">
        <v>594</v>
      </c>
      <c r="C48" s="304">
        <f t="shared" ref="C48:O48" si="24">C41+C46</f>
        <v>0</v>
      </c>
      <c r="D48" s="302">
        <f t="shared" si="24"/>
        <v>7134.697273</v>
      </c>
      <c r="E48" s="302">
        <f t="shared" si="24"/>
        <v>29521.19045</v>
      </c>
      <c r="F48" s="302">
        <f t="shared" si="24"/>
        <v>34205.66273</v>
      </c>
      <c r="G48" s="303">
        <f t="shared" si="24"/>
        <v>18398.34318</v>
      </c>
      <c r="H48" s="304">
        <f t="shared" si="24"/>
        <v>89259.89364</v>
      </c>
      <c r="I48" s="302">
        <f t="shared" si="24"/>
        <v>2212.16595</v>
      </c>
      <c r="J48" s="302">
        <f t="shared" si="24"/>
        <v>32860.1717</v>
      </c>
      <c r="K48" s="302">
        <f t="shared" si="24"/>
        <v>40862.47688</v>
      </c>
      <c r="L48" s="303">
        <f t="shared" si="24"/>
        <v>9482.650018</v>
      </c>
      <c r="M48" s="304">
        <f t="shared" si="24"/>
        <v>85417.46455</v>
      </c>
      <c r="N48" s="300">
        <f t="shared" si="24"/>
        <v>98477.94881</v>
      </c>
      <c r="O48" s="465">
        <f t="shared" si="24"/>
        <v>126326.4294</v>
      </c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  <c r="AA48" s="308"/>
      <c r="AB48" s="308"/>
      <c r="AC48" s="308"/>
      <c r="AD48" s="308"/>
    </row>
    <row r="49" ht="13.5" customHeight="1">
      <c r="A49" s="853"/>
      <c r="B49" s="840" t="s">
        <v>595</v>
      </c>
      <c r="C49" s="841">
        <f t="shared" ref="C49:O49" si="25">IFERROR(C48/C11,0%)</f>
        <v>0</v>
      </c>
      <c r="D49" s="841">
        <f t="shared" si="25"/>
        <v>0.1758649535</v>
      </c>
      <c r="E49" s="841">
        <f t="shared" si="25"/>
        <v>0.3697030535</v>
      </c>
      <c r="F49" s="841">
        <f t="shared" si="25"/>
        <v>0.3683781142</v>
      </c>
      <c r="G49" s="841">
        <f t="shared" si="25"/>
        <v>0.257850365</v>
      </c>
      <c r="H49" s="841">
        <f t="shared" si="25"/>
        <v>0.3136021376</v>
      </c>
      <c r="I49" s="841">
        <f t="shared" si="25"/>
        <v>0.04009720686</v>
      </c>
      <c r="J49" s="841">
        <f t="shared" si="25"/>
        <v>0.3748291699</v>
      </c>
      <c r="K49" s="841">
        <f t="shared" si="25"/>
        <v>0.4016555948</v>
      </c>
      <c r="L49" s="841">
        <f t="shared" si="25"/>
        <v>0.1516879123</v>
      </c>
      <c r="M49" s="841">
        <f t="shared" si="25"/>
        <v>0.2781544482</v>
      </c>
      <c r="N49" s="841">
        <f t="shared" si="25"/>
        <v>0.3001321965</v>
      </c>
      <c r="O49" s="841">
        <f t="shared" si="25"/>
        <v>0.3409799428</v>
      </c>
      <c r="P49" s="847"/>
      <c r="Q49" s="847"/>
      <c r="R49" s="847"/>
      <c r="S49" s="847"/>
      <c r="T49" s="847"/>
      <c r="U49" s="847"/>
      <c r="V49" s="847"/>
      <c r="W49" s="847"/>
      <c r="X49" s="847"/>
      <c r="Y49" s="847"/>
      <c r="Z49" s="847"/>
      <c r="AA49" s="847"/>
      <c r="AB49" s="847"/>
      <c r="AC49" s="847"/>
      <c r="AD49" s="847"/>
    </row>
    <row r="50" ht="13.5" customHeight="1">
      <c r="A50" s="854"/>
      <c r="B50" s="85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24.75" customHeight="1">
      <c r="B51" s="181" t="s">
        <v>596</v>
      </c>
      <c r="C51" s="181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</row>
    <row r="52" ht="15.0" customHeight="1" outlineLevel="1">
      <c r="A52" s="498"/>
      <c r="B52" s="833" t="s">
        <v>597</v>
      </c>
      <c r="C52" s="639"/>
      <c r="D52" s="501"/>
      <c r="E52" s="501"/>
      <c r="F52" s="501"/>
      <c r="G52" s="637"/>
      <c r="H52" s="638">
        <f t="shared" ref="H52:H56" si="26">SUM(D52:G52)</f>
        <v>0</v>
      </c>
      <c r="I52" s="501"/>
      <c r="J52" s="501"/>
      <c r="K52" s="501"/>
      <c r="L52" s="637"/>
      <c r="M52" s="638">
        <f t="shared" ref="M52:M56" si="27">SUM(I52:L52)</f>
        <v>0</v>
      </c>
      <c r="N52" s="855"/>
      <c r="O52" s="50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0" customHeight="1" outlineLevel="1">
      <c r="A53" s="498"/>
      <c r="B53" s="833" t="s">
        <v>598</v>
      </c>
      <c r="C53" s="639"/>
      <c r="D53" s="651">
        <f>-(Financements!E17+Financements!E37)</f>
        <v>0</v>
      </c>
      <c r="E53" s="651">
        <f>-(Financements!F17+Financements!F37)</f>
        <v>-625.4166667</v>
      </c>
      <c r="F53" s="651">
        <f>-(Financements!G17+Financements!G37)</f>
        <v>-1876.25</v>
      </c>
      <c r="G53" s="652">
        <f>-(Financements!H17+Financements!H37)</f>
        <v>-1876.25</v>
      </c>
      <c r="H53" s="638">
        <f t="shared" si="26"/>
        <v>-4377.916667</v>
      </c>
      <c r="I53" s="651">
        <f>-(Financements!J17+Financements!J37)</f>
        <v>-1856.533573</v>
      </c>
      <c r="J53" s="651">
        <f>-(Financements!K17+Financements!K37)</f>
        <v>-1797.059079</v>
      </c>
      <c r="K53" s="651">
        <f>-(Financements!L17+Financements!L37)</f>
        <v>-1736.995339</v>
      </c>
      <c r="L53" s="652">
        <f>-(Financements!M17+Financements!M37)</f>
        <v>-1676.336516</v>
      </c>
      <c r="M53" s="638">
        <f t="shared" si="27"/>
        <v>-7066.924507</v>
      </c>
      <c r="N53" s="825">
        <f>-(Financements!O17+Financements!O37)</f>
        <v>-6086.648562</v>
      </c>
      <c r="O53" s="651">
        <f>-(Financements!P17+Financements!P37)</f>
        <v>-5066.942958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0" customHeight="1" outlineLevel="1">
      <c r="A54" s="498"/>
      <c r="B54" s="833" t="s">
        <v>599</v>
      </c>
      <c r="C54" s="639"/>
      <c r="D54" s="501"/>
      <c r="E54" s="501"/>
      <c r="F54" s="501"/>
      <c r="G54" s="502"/>
      <c r="H54" s="638">
        <f t="shared" si="26"/>
        <v>0</v>
      </c>
      <c r="I54" s="501"/>
      <c r="J54" s="501"/>
      <c r="K54" s="501"/>
      <c r="L54" s="502"/>
      <c r="M54" s="638">
        <f t="shared" si="27"/>
        <v>0</v>
      </c>
      <c r="N54" s="855"/>
      <c r="O54" s="50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0" customHeight="1" outlineLevel="1">
      <c r="A55" s="498"/>
      <c r="B55" s="846" t="s">
        <v>600</v>
      </c>
      <c r="C55" s="848"/>
      <c r="D55" s="540"/>
      <c r="E55" s="540"/>
      <c r="F55" s="540"/>
      <c r="G55" s="541"/>
      <c r="H55" s="829">
        <f t="shared" si="26"/>
        <v>0</v>
      </c>
      <c r="I55" s="540"/>
      <c r="J55" s="540"/>
      <c r="K55" s="540"/>
      <c r="L55" s="541"/>
      <c r="M55" s="829">
        <f t="shared" si="27"/>
        <v>0</v>
      </c>
      <c r="N55" s="856"/>
      <c r="O55" s="54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7.25" customHeight="1">
      <c r="A56" s="343"/>
      <c r="B56" s="215" t="s">
        <v>601</v>
      </c>
      <c r="C56" s="216">
        <f t="shared" ref="C56:G56" si="28">+C52+C53+C54+C55</f>
        <v>0</v>
      </c>
      <c r="D56" s="217">
        <f t="shared" si="28"/>
        <v>0</v>
      </c>
      <c r="E56" s="217">
        <f t="shared" si="28"/>
        <v>-625.4166667</v>
      </c>
      <c r="F56" s="217">
        <f t="shared" si="28"/>
        <v>-1876.25</v>
      </c>
      <c r="G56" s="386">
        <f t="shared" si="28"/>
        <v>-1876.25</v>
      </c>
      <c r="H56" s="216">
        <f t="shared" si="26"/>
        <v>-4377.916667</v>
      </c>
      <c r="I56" s="217">
        <f t="shared" ref="I56:L56" si="29">+I52+I53+I54+I55</f>
        <v>-1856.533573</v>
      </c>
      <c r="J56" s="217">
        <f t="shared" si="29"/>
        <v>-1797.059079</v>
      </c>
      <c r="K56" s="217">
        <f t="shared" si="29"/>
        <v>-1736.995339</v>
      </c>
      <c r="L56" s="386">
        <f t="shared" si="29"/>
        <v>-1676.336516</v>
      </c>
      <c r="M56" s="216">
        <f t="shared" si="27"/>
        <v>-7066.924507</v>
      </c>
      <c r="N56" s="216">
        <f t="shared" ref="N56:O56" si="30">+N52+N53+N54+N55</f>
        <v>-6086.648562</v>
      </c>
      <c r="O56" s="798">
        <f t="shared" si="30"/>
        <v>-5066.942958</v>
      </c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43"/>
      <c r="AA56" s="343"/>
      <c r="AB56" s="343"/>
      <c r="AC56" s="343"/>
      <c r="AD56" s="343"/>
    </row>
    <row r="57" ht="12.75" customHeight="1">
      <c r="A57" s="498"/>
      <c r="B57" s="454"/>
      <c r="C57" s="831"/>
      <c r="D57" s="18"/>
      <c r="E57" s="18"/>
      <c r="F57" s="18"/>
      <c r="G57" s="498"/>
      <c r="H57" s="341">
        <f>IF(SUM(D56:G56)=H56,0,SUM(D56:G56)-H56)</f>
        <v>0</v>
      </c>
      <c r="I57" s="314"/>
      <c r="J57" s="314"/>
      <c r="K57" s="314"/>
      <c r="L57" s="498"/>
      <c r="M57" s="341">
        <f>IF(SUM(I56:L56)=M56,0,SUM(I56:L56)-M56)</f>
        <v>0</v>
      </c>
      <c r="N57" s="18"/>
      <c r="O57" s="1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8"/>
      <c r="AB57" s="498"/>
      <c r="AC57" s="498"/>
      <c r="AD57" s="498"/>
    </row>
    <row r="58" ht="24.75" customHeight="1">
      <c r="A58" s="498"/>
      <c r="B58" s="764" t="s">
        <v>602</v>
      </c>
      <c r="C58" s="304">
        <f>C41+C39</f>
        <v>0</v>
      </c>
      <c r="D58" s="302">
        <f t="shared" ref="D58:O58" si="31">D48+D56</f>
        <v>7134.697273</v>
      </c>
      <c r="E58" s="302">
        <f t="shared" si="31"/>
        <v>28895.77379</v>
      </c>
      <c r="F58" s="302">
        <f t="shared" si="31"/>
        <v>32329.41273</v>
      </c>
      <c r="G58" s="303">
        <f t="shared" si="31"/>
        <v>16522.09318</v>
      </c>
      <c r="H58" s="304">
        <f t="shared" si="31"/>
        <v>84881.97697</v>
      </c>
      <c r="I58" s="302">
        <f t="shared" si="31"/>
        <v>355.6323772</v>
      </c>
      <c r="J58" s="302">
        <f t="shared" si="31"/>
        <v>31063.11262</v>
      </c>
      <c r="K58" s="302">
        <f t="shared" si="31"/>
        <v>39125.48154</v>
      </c>
      <c r="L58" s="303">
        <f t="shared" si="31"/>
        <v>7806.313503</v>
      </c>
      <c r="M58" s="304">
        <f t="shared" si="31"/>
        <v>78350.54004</v>
      </c>
      <c r="N58" s="300">
        <f t="shared" si="31"/>
        <v>92391.30025</v>
      </c>
      <c r="O58" s="465">
        <f t="shared" si="31"/>
        <v>121259.4865</v>
      </c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  <c r="AB58" s="308"/>
      <c r="AC58" s="308"/>
      <c r="AD58" s="308"/>
    </row>
    <row r="59" ht="15.0" customHeight="1">
      <c r="A59" s="498"/>
      <c r="B59" s="187" t="s">
        <v>603</v>
      </c>
      <c r="C59" s="638">
        <f>C58</f>
        <v>0</v>
      </c>
      <c r="D59" s="651">
        <f t="shared" ref="D59:G59" si="32">C59+D58</f>
        <v>7134.697273</v>
      </c>
      <c r="E59" s="651">
        <f t="shared" si="32"/>
        <v>36030.47106</v>
      </c>
      <c r="F59" s="651">
        <f t="shared" si="32"/>
        <v>68359.88379</v>
      </c>
      <c r="G59" s="652">
        <f t="shared" si="32"/>
        <v>84881.97697</v>
      </c>
      <c r="H59" s="638">
        <f>C59+H58</f>
        <v>84881.97697</v>
      </c>
      <c r="I59" s="651">
        <f t="shared" ref="I59:L59" si="33">H59+I58</f>
        <v>85237.60935</v>
      </c>
      <c r="J59" s="651">
        <f t="shared" si="33"/>
        <v>116300.722</v>
      </c>
      <c r="K59" s="651">
        <f t="shared" si="33"/>
        <v>155426.2035</v>
      </c>
      <c r="L59" s="652">
        <f t="shared" si="33"/>
        <v>163232.517</v>
      </c>
      <c r="M59" s="638">
        <f>H59+M58</f>
        <v>163232.517</v>
      </c>
      <c r="N59" s="825">
        <f t="shared" ref="N59:O59" si="34">M59+N58</f>
        <v>255623.8173</v>
      </c>
      <c r="O59" s="651">
        <f t="shared" si="34"/>
        <v>376883.3037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0" customHeight="1">
      <c r="A60" s="498"/>
      <c r="B60" s="187" t="s">
        <v>561</v>
      </c>
      <c r="C60" s="857"/>
      <c r="D60" s="651"/>
      <c r="E60" s="651"/>
      <c r="F60" s="651"/>
      <c r="G60" s="652">
        <f>H60</f>
        <v>-21220.49424</v>
      </c>
      <c r="H60" s="638">
        <f>-(IF(H59&gt;0,((H58-H38)*Impot_sur_sociétés),0))</f>
        <v>-21220.49424</v>
      </c>
      <c r="I60" s="651"/>
      <c r="J60" s="651"/>
      <c r="K60" s="651"/>
      <c r="L60" s="652">
        <f>M60</f>
        <v>-19587.63501</v>
      </c>
      <c r="M60" s="638">
        <f>-(IF(M59&gt;0,((M58-M38)*Impot_sur_sociétés),0))</f>
        <v>-19587.63501</v>
      </c>
      <c r="N60" s="825">
        <f>-(IF(N59&gt;0,((N58-N38)*Impot_sur_sociétés),0))</f>
        <v>-23097.82506</v>
      </c>
      <c r="O60" s="651">
        <f>-(IF(O59&gt;0,((O58-O38)*Impot_sur_sociétés),0))</f>
        <v>-30314.87162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24.75" customHeight="1">
      <c r="A61" s="498"/>
      <c r="B61" s="764" t="s">
        <v>604</v>
      </c>
      <c r="C61" s="304">
        <f>C58-C60</f>
        <v>0</v>
      </c>
      <c r="D61" s="302">
        <f t="shared" ref="D61:O61" si="35">D58+D60</f>
        <v>7134.697273</v>
      </c>
      <c r="E61" s="302">
        <f t="shared" si="35"/>
        <v>28895.77379</v>
      </c>
      <c r="F61" s="302">
        <f t="shared" si="35"/>
        <v>32329.41273</v>
      </c>
      <c r="G61" s="303">
        <f t="shared" si="35"/>
        <v>-4698.401061</v>
      </c>
      <c r="H61" s="304">
        <f t="shared" si="35"/>
        <v>63661.48273</v>
      </c>
      <c r="I61" s="302">
        <f t="shared" si="35"/>
        <v>355.6323772</v>
      </c>
      <c r="J61" s="302">
        <f t="shared" si="35"/>
        <v>31063.11262</v>
      </c>
      <c r="K61" s="302">
        <f t="shared" si="35"/>
        <v>39125.48154</v>
      </c>
      <c r="L61" s="303">
        <f t="shared" si="35"/>
        <v>-11781.32151</v>
      </c>
      <c r="M61" s="304">
        <f t="shared" si="35"/>
        <v>58762.90503</v>
      </c>
      <c r="N61" s="300">
        <f t="shared" si="35"/>
        <v>69293.47519</v>
      </c>
      <c r="O61" s="465">
        <f t="shared" si="35"/>
        <v>90944.61486</v>
      </c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  <c r="AB61" s="308"/>
      <c r="AC61" s="308"/>
      <c r="AD61" s="308"/>
    </row>
    <row r="62" ht="14.25" customHeight="1">
      <c r="A62" s="498"/>
      <c r="B62" s="840" t="s">
        <v>605</v>
      </c>
      <c r="C62" s="841">
        <f t="shared" ref="C62:O62" si="36">IFERROR(C61/C11,0%)</f>
        <v>0</v>
      </c>
      <c r="D62" s="841">
        <f t="shared" si="36"/>
        <v>0.1758649535</v>
      </c>
      <c r="E62" s="841">
        <f t="shared" si="36"/>
        <v>0.361870766</v>
      </c>
      <c r="F62" s="841">
        <f t="shared" si="36"/>
        <v>0.3481718273</v>
      </c>
      <c r="G62" s="841">
        <f t="shared" si="36"/>
        <v>-0.06584747423</v>
      </c>
      <c r="H62" s="841">
        <f t="shared" si="36"/>
        <v>0.2236657053</v>
      </c>
      <c r="I62" s="841">
        <f t="shared" si="36"/>
        <v>0.006446109974</v>
      </c>
      <c r="J62" s="841">
        <f t="shared" si="36"/>
        <v>0.3543304893</v>
      </c>
      <c r="K62" s="841">
        <f t="shared" si="36"/>
        <v>0.3845818893</v>
      </c>
      <c r="L62" s="841">
        <f t="shared" si="36"/>
        <v>-0.188458296</v>
      </c>
      <c r="M62" s="841">
        <f t="shared" si="36"/>
        <v>0.1913562233</v>
      </c>
      <c r="N62" s="841">
        <f t="shared" si="36"/>
        <v>0.2111863941</v>
      </c>
      <c r="O62" s="841">
        <f t="shared" si="36"/>
        <v>0.2454774485</v>
      </c>
      <c r="P62" s="847"/>
      <c r="Q62" s="847"/>
      <c r="R62" s="847"/>
      <c r="S62" s="847"/>
      <c r="T62" s="847"/>
      <c r="U62" s="847"/>
      <c r="V62" s="847"/>
      <c r="W62" s="847"/>
      <c r="X62" s="847"/>
      <c r="Y62" s="847"/>
      <c r="Z62" s="847"/>
      <c r="AA62" s="847"/>
      <c r="AB62" s="847"/>
      <c r="AC62" s="847"/>
      <c r="AD62" s="847"/>
    </row>
    <row r="63" ht="14.25" customHeight="1">
      <c r="A63" s="498"/>
      <c r="B63" s="455"/>
      <c r="C63" s="831"/>
      <c r="D63" s="18"/>
      <c r="E63" s="18"/>
      <c r="F63" s="18"/>
      <c r="G63" s="2"/>
      <c r="H63" s="341">
        <f>IF(SUM(D61:G61)=H61,0,SUM(D61:G61)-H61)</f>
        <v>0</v>
      </c>
      <c r="I63" s="314"/>
      <c r="J63" s="314"/>
      <c r="K63" s="314"/>
      <c r="L63" s="2"/>
      <c r="M63" s="341">
        <f>IF(SUM(I61:L61)=M61,0,SUM(I61:L61)-M61)</f>
        <v>0</v>
      </c>
      <c r="N63" s="842"/>
      <c r="O63" s="84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24.75" customHeight="1">
      <c r="A64" s="498"/>
      <c r="B64" s="764" t="s">
        <v>606</v>
      </c>
      <c r="C64" s="304">
        <f t="shared" ref="C64:O64" si="37">C61-C46</f>
        <v>0</v>
      </c>
      <c r="D64" s="302">
        <f t="shared" si="37"/>
        <v>7134.697273</v>
      </c>
      <c r="E64" s="302">
        <f t="shared" si="37"/>
        <v>28895.77379</v>
      </c>
      <c r="F64" s="302">
        <f t="shared" si="37"/>
        <v>32329.41273</v>
      </c>
      <c r="G64" s="303">
        <f t="shared" si="37"/>
        <v>-4698.401061</v>
      </c>
      <c r="H64" s="304">
        <f t="shared" si="37"/>
        <v>63661.48273</v>
      </c>
      <c r="I64" s="302">
        <f t="shared" si="37"/>
        <v>355.6323772</v>
      </c>
      <c r="J64" s="302">
        <f t="shared" si="37"/>
        <v>31063.11262</v>
      </c>
      <c r="K64" s="302">
        <f t="shared" si="37"/>
        <v>39125.48154</v>
      </c>
      <c r="L64" s="303">
        <f t="shared" si="37"/>
        <v>-11781.32151</v>
      </c>
      <c r="M64" s="304">
        <f t="shared" si="37"/>
        <v>58762.90503</v>
      </c>
      <c r="N64" s="300">
        <f t="shared" si="37"/>
        <v>69293.47519</v>
      </c>
      <c r="O64" s="465">
        <f t="shared" si="37"/>
        <v>90944.61486</v>
      </c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308"/>
      <c r="AB64" s="308"/>
      <c r="AC64" s="308"/>
      <c r="AD64" s="308"/>
    </row>
    <row r="65" ht="12.75" customHeight="1">
      <c r="A65" s="498"/>
      <c r="B65" s="343"/>
      <c r="C65" s="858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O65" s="859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  <c r="AA65" s="498"/>
      <c r="AB65" s="498"/>
      <c r="AC65" s="498"/>
      <c r="AD65" s="498"/>
    </row>
    <row r="66" ht="12.75" customHeight="1">
      <c r="A66" s="498"/>
      <c r="B66" s="343"/>
      <c r="C66" s="858"/>
      <c r="D66" s="859"/>
      <c r="E66" s="859"/>
      <c r="F66" s="859"/>
      <c r="G66" s="859"/>
      <c r="H66" s="859"/>
      <c r="I66" s="859"/>
      <c r="J66" s="859"/>
      <c r="K66" s="859"/>
      <c r="L66" s="859"/>
      <c r="M66" s="859"/>
      <c r="N66" s="859"/>
      <c r="O66" s="859"/>
      <c r="P66" s="498"/>
      <c r="Q66" s="593"/>
      <c r="R66" s="593"/>
      <c r="S66" s="498"/>
      <c r="T66" s="498"/>
      <c r="U66" s="498"/>
      <c r="V66" s="498"/>
      <c r="W66" s="498"/>
      <c r="X66" s="498"/>
      <c r="Y66" s="498"/>
      <c r="Z66" s="498"/>
      <c r="AA66" s="498"/>
      <c r="AB66" s="498"/>
      <c r="AC66" s="498"/>
      <c r="AD66" s="498"/>
    </row>
    <row r="67" ht="12.75" customHeight="1">
      <c r="B67" s="348"/>
      <c r="C67" s="860"/>
      <c r="D67" s="861"/>
      <c r="E67" s="862"/>
      <c r="F67" s="861"/>
      <c r="G67" s="863" t="s">
        <v>607</v>
      </c>
      <c r="H67" s="863">
        <v>0.0</v>
      </c>
      <c r="I67" s="861"/>
      <c r="J67" s="861"/>
      <c r="M67" s="861">
        <f t="shared" ref="M67:O67" si="38">M61*90%</f>
        <v>52886.61453</v>
      </c>
      <c r="N67" s="861">
        <f t="shared" si="38"/>
        <v>62364.12767</v>
      </c>
      <c r="O67" s="861">
        <f t="shared" si="38"/>
        <v>81850.15337</v>
      </c>
    </row>
    <row r="68" ht="12.75" customHeight="1">
      <c r="B68" s="348"/>
      <c r="C68" s="864"/>
      <c r="D68" s="865"/>
      <c r="E68" s="866"/>
      <c r="F68" s="867">
        <f t="shared" ref="F68:F69" si="40">M81</f>
        <v>0.625</v>
      </c>
      <c r="G68" s="868" t="s">
        <v>608</v>
      </c>
      <c r="H68" s="869">
        <v>0.0</v>
      </c>
      <c r="I68" s="866"/>
      <c r="J68" s="866"/>
      <c r="M68" s="870">
        <f t="shared" ref="M68:O68" si="39">M$67*$F68</f>
        <v>33054.13408</v>
      </c>
      <c r="N68" s="870">
        <f t="shared" si="39"/>
        <v>38977.57979</v>
      </c>
      <c r="O68" s="870">
        <f t="shared" si="39"/>
        <v>51156.34586</v>
      </c>
    </row>
    <row r="69" ht="12.75" customHeight="1">
      <c r="B69" s="348"/>
      <c r="C69" s="864"/>
      <c r="D69" s="871"/>
      <c r="E69" s="864"/>
      <c r="F69" s="867">
        <f t="shared" si="40"/>
        <v>0.375</v>
      </c>
      <c r="G69" s="872" t="s">
        <v>609</v>
      </c>
      <c r="H69" s="869">
        <v>0.0</v>
      </c>
      <c r="I69" s="864"/>
      <c r="J69" s="864"/>
      <c r="M69" s="870">
        <f t="shared" ref="M69:O69" si="41">M$67*$F69</f>
        <v>19832.48045</v>
      </c>
      <c r="N69" s="870">
        <f t="shared" si="41"/>
        <v>23386.54788</v>
      </c>
      <c r="O69" s="870">
        <f t="shared" si="41"/>
        <v>30693.80751</v>
      </c>
    </row>
    <row r="70" ht="12.75" customHeight="1">
      <c r="B70" s="348"/>
      <c r="C70" s="864"/>
      <c r="D70" s="871"/>
      <c r="E70" s="864"/>
      <c r="F70" s="864"/>
      <c r="G70" s="872" t="s">
        <v>610</v>
      </c>
      <c r="H70" s="864"/>
      <c r="I70" s="864"/>
      <c r="J70" s="864"/>
      <c r="M70" s="864"/>
      <c r="N70" s="872"/>
      <c r="O70" s="872"/>
    </row>
    <row r="71" ht="12.75" customHeight="1">
      <c r="B71" s="348"/>
      <c r="C71" s="864"/>
      <c r="D71" s="871"/>
      <c r="E71" s="864"/>
      <c r="F71" s="864"/>
      <c r="G71" s="872" t="s">
        <v>611</v>
      </c>
      <c r="H71" s="872">
        <v>0.0</v>
      </c>
      <c r="I71" s="864"/>
      <c r="J71" s="864"/>
      <c r="M71" s="873">
        <f t="shared" ref="M71:O71" si="42">M68-M69</f>
        <v>13221.65363</v>
      </c>
      <c r="N71" s="873">
        <f t="shared" si="42"/>
        <v>15591.03192</v>
      </c>
      <c r="O71" s="873">
        <f t="shared" si="42"/>
        <v>20462.53834</v>
      </c>
    </row>
    <row r="72" ht="12.75" customHeight="1">
      <c r="B72" s="348"/>
      <c r="C72" s="864"/>
      <c r="D72" s="871"/>
      <c r="E72" s="864"/>
      <c r="F72" s="864"/>
      <c r="G72" s="872"/>
      <c r="H72" s="872">
        <v>0.0</v>
      </c>
      <c r="I72" s="864"/>
      <c r="J72" s="864"/>
      <c r="M72" s="873">
        <f>18000-M69-M71</f>
        <v>-15054.13408</v>
      </c>
      <c r="N72" s="864"/>
      <c r="O72" s="864"/>
    </row>
    <row r="73" ht="12.75" customHeight="1">
      <c r="B73" s="348"/>
      <c r="C73" s="864"/>
      <c r="D73" s="871"/>
      <c r="E73" s="864"/>
      <c r="G73" s="82" t="s">
        <v>612</v>
      </c>
      <c r="H73" s="82">
        <v>0.0</v>
      </c>
      <c r="I73" s="864"/>
      <c r="M73" s="874">
        <f t="shared" ref="M73:O73" si="43">SUM(M69:M72)</f>
        <v>18000</v>
      </c>
      <c r="N73" s="874">
        <f t="shared" si="43"/>
        <v>38977.57979</v>
      </c>
      <c r="O73" s="874">
        <f t="shared" si="43"/>
        <v>51156.34586</v>
      </c>
    </row>
    <row r="74" ht="12.75" customHeight="1">
      <c r="B74" s="348"/>
      <c r="C74" s="864"/>
      <c r="D74" s="871"/>
      <c r="E74" s="871"/>
      <c r="H74" s="864"/>
      <c r="I74" s="864"/>
    </row>
    <row r="75" ht="12.75" customHeight="1">
      <c r="B75" s="161"/>
    </row>
    <row r="76" ht="12.75" customHeight="1">
      <c r="B76" s="161"/>
    </row>
    <row r="77" ht="12.75" customHeight="1">
      <c r="B77" s="161"/>
    </row>
    <row r="78" ht="12.75" customHeight="1">
      <c r="B78" s="161"/>
      <c r="M78" s="82" t="s">
        <v>613</v>
      </c>
      <c r="N78" s="82" t="s">
        <v>614</v>
      </c>
      <c r="P78" s="593" t="s">
        <v>615</v>
      </c>
      <c r="Q78" s="875">
        <v>300000.0</v>
      </c>
    </row>
    <row r="79" ht="12.75" customHeight="1">
      <c r="B79" s="161"/>
      <c r="J79" s="864"/>
      <c r="K79" s="864"/>
      <c r="L79" s="864"/>
      <c r="M79" s="872">
        <v>30.0</v>
      </c>
      <c r="N79" s="872">
        <f>K81-(K82+M79)</f>
        <v>40</v>
      </c>
      <c r="O79" s="864"/>
      <c r="P79" s="82" t="s">
        <v>616</v>
      </c>
      <c r="Q79" s="876" t="s">
        <v>617</v>
      </c>
      <c r="S79" s="877"/>
    </row>
    <row r="80" ht="12.75" customHeight="1">
      <c r="B80" s="161"/>
      <c r="J80" s="864"/>
      <c r="K80" s="872">
        <f>SUM(K81:K82)</f>
        <v>130</v>
      </c>
      <c r="L80" s="872" t="s">
        <v>618</v>
      </c>
      <c r="M80" s="872" t="s">
        <v>619</v>
      </c>
      <c r="N80" s="872" t="s">
        <v>620</v>
      </c>
      <c r="O80" s="872" t="s">
        <v>619</v>
      </c>
      <c r="S80" s="876"/>
    </row>
    <row r="81" ht="12.75" customHeight="1">
      <c r="B81" s="161"/>
      <c r="J81" s="82" t="s">
        <v>621</v>
      </c>
      <c r="K81" s="82">
        <v>100.0</v>
      </c>
      <c r="L81" s="878">
        <f t="shared" ref="L81:L82" si="44">K81/K$80</f>
        <v>0.7692307692</v>
      </c>
      <c r="M81" s="879">
        <f>K81/(K$80+M$79)</f>
        <v>0.625</v>
      </c>
      <c r="N81" s="880">
        <f>K81/(K$80+N$79)</f>
        <v>0.5882352941</v>
      </c>
      <c r="O81" s="879">
        <f t="shared" ref="O81:O82" si="45">70/140</f>
        <v>0.5</v>
      </c>
      <c r="P81" s="876">
        <f>Q78*N81</f>
        <v>176470.5882</v>
      </c>
      <c r="Q81" s="876"/>
    </row>
    <row r="82" ht="12.75" customHeight="1">
      <c r="B82" s="161"/>
      <c r="J82" s="82" t="s">
        <v>622</v>
      </c>
      <c r="K82" s="82">
        <v>30.0</v>
      </c>
      <c r="L82" s="878">
        <f t="shared" si="44"/>
        <v>0.2307692308</v>
      </c>
      <c r="M82" s="879">
        <f>(K82+M79)/(K$80+M$79)</f>
        <v>0.375</v>
      </c>
      <c r="N82" s="880">
        <f>(K82+N79)/(K$80+N$79)</f>
        <v>0.4117647059</v>
      </c>
      <c r="O82" s="879">
        <f t="shared" si="45"/>
        <v>0.5</v>
      </c>
      <c r="P82" s="876">
        <f>Q78*N82</f>
        <v>123529.4118</v>
      </c>
      <c r="Q82" s="876">
        <f>P82-(N79*1000)</f>
        <v>83529.41176</v>
      </c>
    </row>
    <row r="83" ht="12.75" customHeight="1">
      <c r="B83" s="161"/>
    </row>
    <row r="84" ht="12.75" customHeight="1">
      <c r="B84" s="161"/>
    </row>
    <row r="85" ht="12.75" customHeight="1">
      <c r="B85" s="161"/>
      <c r="J85" s="82" t="s">
        <v>621</v>
      </c>
    </row>
    <row r="86" ht="12.75" customHeight="1">
      <c r="B86" s="161"/>
      <c r="J86" s="82" t="s">
        <v>623</v>
      </c>
    </row>
    <row r="87" ht="12.75" customHeight="1">
      <c r="B87" s="161"/>
    </row>
    <row r="88" ht="12.75" customHeight="1">
      <c r="B88" s="161"/>
    </row>
    <row r="89" ht="12.75" customHeight="1">
      <c r="B89" s="161"/>
    </row>
    <row r="90" ht="12.75" customHeight="1">
      <c r="B90" s="161"/>
    </row>
    <row r="91" ht="12.75" customHeight="1">
      <c r="B91" s="161"/>
    </row>
    <row r="92" ht="12.75" customHeight="1">
      <c r="B92" s="161"/>
    </row>
    <row r="93" ht="12.75" customHeight="1">
      <c r="B93" s="161"/>
    </row>
    <row r="94" ht="12.75" customHeight="1">
      <c r="B94" s="161"/>
    </row>
    <row r="95" ht="12.75" customHeight="1">
      <c r="B95" s="161"/>
    </row>
    <row r="96" ht="12.75" customHeight="1">
      <c r="B96" s="161"/>
    </row>
    <row r="97" ht="12.75" customHeight="1">
      <c r="B97" s="161"/>
    </row>
    <row r="98" ht="12.75" customHeight="1">
      <c r="B98" s="161"/>
    </row>
    <row r="99" ht="12.75" customHeight="1">
      <c r="B99" s="161"/>
    </row>
    <row r="100" ht="12.75" customHeight="1">
      <c r="B100" s="161"/>
    </row>
    <row r="101" ht="12.75" customHeight="1">
      <c r="B101" s="161"/>
    </row>
    <row r="102" ht="12.75" customHeight="1">
      <c r="B102" s="161"/>
    </row>
    <row r="103" ht="12.75" customHeight="1">
      <c r="B103" s="161"/>
    </row>
    <row r="104" ht="12.75" customHeight="1">
      <c r="B104" s="161"/>
    </row>
    <row r="105" ht="12.75" customHeight="1">
      <c r="B105" s="161"/>
    </row>
    <row r="106" ht="12.75" customHeight="1">
      <c r="B106" s="161"/>
    </row>
    <row r="107" ht="12.75" customHeight="1">
      <c r="B107" s="161"/>
    </row>
    <row r="108" ht="12.75" customHeight="1">
      <c r="B108" s="161"/>
    </row>
    <row r="109" ht="12.75" customHeight="1">
      <c r="B109" s="161"/>
    </row>
    <row r="110" ht="12.75" customHeight="1">
      <c r="B110" s="161"/>
    </row>
    <row r="111" ht="12.75" customHeight="1">
      <c r="B111" s="161"/>
    </row>
    <row r="112" ht="12.75" customHeight="1">
      <c r="B112" s="161"/>
    </row>
    <row r="113" ht="12.75" customHeight="1">
      <c r="B113" s="161"/>
    </row>
    <row r="114" ht="12.75" customHeight="1">
      <c r="B114" s="161"/>
    </row>
    <row r="115" ht="12.75" customHeight="1">
      <c r="B115" s="161"/>
    </row>
    <row r="116" ht="12.75" customHeight="1">
      <c r="B116" s="161"/>
    </row>
    <row r="117" ht="12.75" customHeight="1">
      <c r="B117" s="161"/>
    </row>
    <row r="118" ht="12.75" customHeight="1">
      <c r="B118" s="161"/>
    </row>
    <row r="119" ht="12.75" customHeight="1">
      <c r="B119" s="161"/>
    </row>
    <row r="120" ht="12.75" customHeight="1">
      <c r="B120" s="161"/>
    </row>
    <row r="121" ht="12.75" customHeight="1">
      <c r="B121" s="161"/>
    </row>
    <row r="122" ht="12.75" customHeight="1">
      <c r="B122" s="161"/>
    </row>
    <row r="123" ht="12.75" customHeight="1">
      <c r="B123" s="161"/>
    </row>
    <row r="124" ht="12.75" customHeight="1">
      <c r="B124" s="161"/>
    </row>
    <row r="125" ht="12.75" customHeight="1">
      <c r="B125" s="161"/>
    </row>
    <row r="126" ht="12.75" customHeight="1">
      <c r="B126" s="161"/>
    </row>
    <row r="127" ht="12.75" customHeight="1">
      <c r="B127" s="161"/>
    </row>
    <row r="128" ht="12.75" customHeight="1">
      <c r="B128" s="161"/>
    </row>
    <row r="129" ht="12.75" customHeight="1">
      <c r="B129" s="161"/>
    </row>
    <row r="130" ht="12.75" customHeight="1">
      <c r="B130" s="161"/>
    </row>
    <row r="131" ht="12.75" customHeight="1">
      <c r="B131" s="161"/>
    </row>
    <row r="132" ht="12.75" customHeight="1">
      <c r="B132" s="161"/>
    </row>
    <row r="133" ht="12.75" customHeight="1">
      <c r="B133" s="161"/>
    </row>
    <row r="134" ht="12.75" customHeight="1">
      <c r="B134" s="161"/>
    </row>
    <row r="135" ht="12.75" customHeight="1">
      <c r="B135" s="161"/>
    </row>
    <row r="136" ht="12.75" customHeight="1">
      <c r="B136" s="161"/>
    </row>
    <row r="137" ht="12.75" customHeight="1">
      <c r="B137" s="161"/>
    </row>
    <row r="138" ht="12.75" customHeight="1">
      <c r="B138" s="161"/>
    </row>
    <row r="139" ht="12.75" customHeight="1">
      <c r="B139" s="161"/>
    </row>
    <row r="140" ht="12.75" customHeight="1">
      <c r="B140" s="161"/>
    </row>
    <row r="141" ht="12.75" customHeight="1">
      <c r="B141" s="161"/>
    </row>
    <row r="142" ht="12.75" customHeight="1">
      <c r="B142" s="161"/>
    </row>
    <row r="143" ht="12.75" customHeight="1">
      <c r="B143" s="161"/>
    </row>
    <row r="144" ht="12.75" customHeight="1">
      <c r="B144" s="161"/>
    </row>
    <row r="145" ht="12.75" customHeight="1">
      <c r="B145" s="161"/>
    </row>
    <row r="146" ht="12.75" customHeight="1">
      <c r="B146" s="161"/>
    </row>
    <row r="147" ht="12.75" customHeight="1">
      <c r="B147" s="161"/>
    </row>
    <row r="148" ht="12.75" customHeight="1">
      <c r="B148" s="161"/>
    </row>
    <row r="149" ht="12.75" customHeight="1">
      <c r="B149" s="161"/>
    </row>
    <row r="150" ht="12.75" customHeight="1">
      <c r="B150" s="161"/>
    </row>
    <row r="151" ht="12.75" customHeight="1">
      <c r="B151" s="161"/>
    </row>
    <row r="152" ht="12.75" customHeight="1">
      <c r="B152" s="161"/>
    </row>
    <row r="153" ht="12.75" customHeight="1">
      <c r="B153" s="161"/>
    </row>
    <row r="154" ht="12.75" customHeight="1">
      <c r="B154" s="161"/>
    </row>
    <row r="155" ht="12.75" customHeight="1">
      <c r="B155" s="161"/>
    </row>
    <row r="156" ht="12.75" customHeight="1">
      <c r="B156" s="161"/>
    </row>
    <row r="157" ht="12.75" customHeight="1">
      <c r="B157" s="161"/>
    </row>
    <row r="158" ht="12.75" customHeight="1">
      <c r="B158" s="161"/>
    </row>
    <row r="159" ht="12.75" customHeight="1">
      <c r="B159" s="161"/>
    </row>
    <row r="160" ht="12.75" customHeight="1">
      <c r="B160" s="161"/>
    </row>
    <row r="161" ht="12.75" customHeight="1">
      <c r="B161" s="161"/>
    </row>
    <row r="162" ht="12.75" customHeight="1">
      <c r="B162" s="161"/>
    </row>
    <row r="163" ht="12.75" customHeight="1">
      <c r="B163" s="161"/>
    </row>
    <row r="164" ht="12.75" customHeight="1">
      <c r="B164" s="161"/>
    </row>
    <row r="165" ht="12.75" customHeight="1">
      <c r="B165" s="161"/>
    </row>
    <row r="166" ht="12.75" customHeight="1">
      <c r="B166" s="161"/>
    </row>
    <row r="167" ht="12.75" customHeight="1">
      <c r="B167" s="161"/>
    </row>
    <row r="168" ht="12.75" customHeight="1">
      <c r="B168" s="161"/>
    </row>
    <row r="169" ht="12.75" customHeight="1">
      <c r="B169" s="161"/>
    </row>
    <row r="170" ht="12.75" customHeight="1">
      <c r="B170" s="161"/>
    </row>
    <row r="171" ht="12.75" customHeight="1">
      <c r="B171" s="161"/>
    </row>
    <row r="172" ht="12.75" customHeight="1">
      <c r="B172" s="161"/>
    </row>
    <row r="173" ht="12.75" customHeight="1">
      <c r="B173" s="161"/>
    </row>
    <row r="174" ht="12.75" customHeight="1">
      <c r="B174" s="161"/>
    </row>
    <row r="175" ht="12.75" customHeight="1">
      <c r="B175" s="161"/>
    </row>
    <row r="176" ht="12.75" customHeight="1">
      <c r="B176" s="161"/>
    </row>
    <row r="177" ht="12.75" customHeight="1">
      <c r="B177" s="161"/>
    </row>
    <row r="178" ht="12.75" customHeight="1">
      <c r="B178" s="161"/>
    </row>
    <row r="179" ht="12.75" customHeight="1">
      <c r="B179" s="161"/>
    </row>
    <row r="180" ht="12.75" customHeight="1">
      <c r="B180" s="161"/>
    </row>
    <row r="181" ht="12.75" customHeight="1">
      <c r="B181" s="161"/>
    </row>
    <row r="182" ht="12.75" customHeight="1">
      <c r="B182" s="161"/>
    </row>
    <row r="183" ht="12.75" customHeight="1">
      <c r="B183" s="161"/>
    </row>
    <row r="184" ht="12.75" customHeight="1">
      <c r="B184" s="161"/>
    </row>
    <row r="185" ht="12.75" customHeight="1">
      <c r="B185" s="161"/>
    </row>
    <row r="186" ht="12.75" customHeight="1">
      <c r="B186" s="161"/>
    </row>
    <row r="187" ht="12.75" customHeight="1">
      <c r="B187" s="161"/>
    </row>
    <row r="188" ht="12.75" customHeight="1">
      <c r="B188" s="161"/>
    </row>
    <row r="189" ht="12.75" customHeight="1">
      <c r="B189" s="161"/>
    </row>
    <row r="190" ht="12.75" customHeight="1">
      <c r="B190" s="161"/>
    </row>
    <row r="191" ht="12.75" customHeight="1">
      <c r="B191" s="161"/>
    </row>
    <row r="192" ht="12.75" customHeight="1">
      <c r="B192" s="161"/>
    </row>
    <row r="193" ht="12.75" customHeight="1">
      <c r="B193" s="161"/>
    </row>
    <row r="194" ht="12.75" customHeight="1">
      <c r="B194" s="161"/>
    </row>
    <row r="195" ht="12.75" customHeight="1">
      <c r="B195" s="161"/>
    </row>
    <row r="196" ht="12.75" customHeight="1">
      <c r="B196" s="161"/>
    </row>
    <row r="197" ht="12.75" customHeight="1">
      <c r="B197" s="161"/>
    </row>
    <row r="198" ht="12.75" customHeight="1">
      <c r="B198" s="161"/>
    </row>
    <row r="199" ht="12.75" customHeight="1">
      <c r="B199" s="161"/>
    </row>
    <row r="200" ht="12.75" customHeight="1">
      <c r="B200" s="161"/>
    </row>
    <row r="201" ht="12.75" customHeight="1">
      <c r="B201" s="161"/>
    </row>
    <row r="202" ht="12.75" customHeight="1">
      <c r="B202" s="161"/>
    </row>
    <row r="203" ht="12.75" customHeight="1">
      <c r="B203" s="161"/>
    </row>
    <row r="204" ht="12.75" customHeight="1">
      <c r="B204" s="161"/>
    </row>
    <row r="205" ht="12.75" customHeight="1">
      <c r="B205" s="161"/>
    </row>
    <row r="206" ht="12.75" customHeight="1">
      <c r="B206" s="161"/>
    </row>
    <row r="207" ht="12.75" customHeight="1">
      <c r="B207" s="161"/>
    </row>
    <row r="208" ht="12.75" customHeight="1">
      <c r="B208" s="161"/>
    </row>
    <row r="209" ht="12.75" customHeight="1">
      <c r="B209" s="161"/>
    </row>
    <row r="210" ht="12.75" customHeight="1">
      <c r="B210" s="161"/>
    </row>
    <row r="211" ht="12.75" customHeight="1">
      <c r="B211" s="161"/>
    </row>
    <row r="212" ht="12.75" customHeight="1">
      <c r="B212" s="161"/>
    </row>
    <row r="213" ht="12.75" customHeight="1">
      <c r="B213" s="161"/>
    </row>
    <row r="214" ht="12.75" customHeight="1">
      <c r="B214" s="161"/>
    </row>
    <row r="215" ht="12.75" customHeight="1">
      <c r="B215" s="161"/>
    </row>
    <row r="216" ht="12.75" customHeight="1">
      <c r="B216" s="161"/>
    </row>
    <row r="217" ht="12.75" customHeight="1">
      <c r="B217" s="161"/>
    </row>
    <row r="218" ht="12.75" customHeight="1">
      <c r="B218" s="161"/>
    </row>
    <row r="219" ht="12.75" customHeight="1">
      <c r="B219" s="161"/>
    </row>
    <row r="220" ht="12.75" customHeight="1">
      <c r="B220" s="161"/>
    </row>
    <row r="221" ht="12.75" customHeight="1">
      <c r="B221" s="161"/>
    </row>
    <row r="222" ht="12.75" customHeight="1">
      <c r="B222" s="161"/>
    </row>
    <row r="223" ht="12.75" customHeight="1">
      <c r="B223" s="161"/>
    </row>
    <row r="224" ht="12.75" customHeight="1">
      <c r="B224" s="161"/>
    </row>
    <row r="225" ht="12.75" customHeight="1">
      <c r="B225" s="161"/>
    </row>
    <row r="226" ht="12.75" customHeight="1">
      <c r="B226" s="161"/>
    </row>
    <row r="227" ht="12.75" customHeight="1">
      <c r="B227" s="161"/>
    </row>
    <row r="228" ht="12.75" customHeight="1">
      <c r="B228" s="161"/>
    </row>
    <row r="229" ht="12.75" customHeight="1">
      <c r="B229" s="161"/>
    </row>
    <row r="230" ht="12.75" customHeight="1">
      <c r="B230" s="161"/>
    </row>
    <row r="231" ht="12.75" customHeight="1">
      <c r="B231" s="161"/>
    </row>
    <row r="232" ht="12.75" customHeight="1">
      <c r="B232" s="161"/>
    </row>
    <row r="233" ht="12.75" customHeight="1">
      <c r="B233" s="161"/>
    </row>
    <row r="234" ht="12.75" customHeight="1">
      <c r="B234" s="161"/>
    </row>
    <row r="235" ht="12.75" customHeight="1">
      <c r="B235" s="161"/>
    </row>
    <row r="236" ht="12.75" customHeight="1">
      <c r="B236" s="161"/>
    </row>
    <row r="237" ht="12.75" customHeight="1">
      <c r="B237" s="161"/>
    </row>
    <row r="238" ht="12.75" customHeight="1">
      <c r="B238" s="161"/>
    </row>
    <row r="239" ht="12.75" customHeight="1">
      <c r="B239" s="161"/>
    </row>
    <row r="240" ht="12.75" customHeight="1">
      <c r="B240" s="161"/>
    </row>
    <row r="241" ht="12.75" customHeight="1">
      <c r="B241" s="161"/>
    </row>
    <row r="242" ht="12.75" customHeight="1">
      <c r="B242" s="161"/>
    </row>
    <row r="243" ht="12.75" customHeight="1">
      <c r="B243" s="161"/>
    </row>
    <row r="244" ht="12.75" customHeight="1">
      <c r="B244" s="161"/>
    </row>
    <row r="245" ht="12.75" customHeight="1">
      <c r="B245" s="161"/>
    </row>
    <row r="246" ht="12.75" customHeight="1">
      <c r="B246" s="161"/>
    </row>
    <row r="247" ht="12.75" customHeight="1">
      <c r="B247" s="161"/>
    </row>
    <row r="248" ht="12.75" customHeight="1">
      <c r="B248" s="161"/>
    </row>
    <row r="249" ht="12.75" customHeight="1">
      <c r="B249" s="161"/>
    </row>
    <row r="250" ht="12.75" customHeight="1">
      <c r="B250" s="161"/>
    </row>
    <row r="251" ht="12.75" customHeight="1">
      <c r="B251" s="161"/>
    </row>
    <row r="252" ht="12.75" customHeight="1">
      <c r="B252" s="161"/>
    </row>
    <row r="253" ht="12.75" customHeight="1">
      <c r="B253" s="161"/>
    </row>
    <row r="254" ht="12.75" customHeight="1">
      <c r="B254" s="161"/>
    </row>
    <row r="255" ht="12.75" customHeight="1">
      <c r="B255" s="161"/>
    </row>
    <row r="256" ht="12.75" customHeight="1">
      <c r="B256" s="161"/>
    </row>
    <row r="257" ht="12.75" customHeight="1">
      <c r="B257" s="161"/>
    </row>
    <row r="258" ht="12.75" customHeight="1">
      <c r="B258" s="161"/>
    </row>
    <row r="259" ht="12.75" customHeight="1">
      <c r="B259" s="161"/>
    </row>
    <row r="260" ht="12.75" customHeight="1">
      <c r="B260" s="161"/>
    </row>
    <row r="261" ht="12.75" customHeight="1">
      <c r="B261" s="161"/>
    </row>
    <row r="262" ht="12.75" customHeight="1">
      <c r="B262" s="161"/>
    </row>
    <row r="263" ht="12.75" customHeight="1">
      <c r="B263" s="161"/>
    </row>
    <row r="264" ht="12.75" customHeight="1">
      <c r="B264" s="161"/>
    </row>
    <row r="265" ht="12.75" customHeight="1">
      <c r="B265" s="16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">
    <mergeCell ref="D4:H4"/>
    <mergeCell ref="I4:M4"/>
  </mergeCells>
  <conditionalFormatting sqref="H12">
    <cfRule type="cellIs" dxfId="0" priority="1" operator="notBetween">
      <formula>-0.001</formula>
      <formula>0.001</formula>
    </cfRule>
  </conditionalFormatting>
  <conditionalFormatting sqref="H22">
    <cfRule type="cellIs" dxfId="0" priority="2" operator="notBetween">
      <formula>-0.001</formula>
      <formula>0.001</formula>
    </cfRule>
  </conditionalFormatting>
  <conditionalFormatting sqref="H25">
    <cfRule type="cellIs" dxfId="0" priority="3" operator="notBetween">
      <formula>-0.001</formula>
      <formula>0.001</formula>
    </cfRule>
  </conditionalFormatting>
  <conditionalFormatting sqref="H35">
    <cfRule type="cellIs" dxfId="0" priority="4" operator="notBetween">
      <formula>-0.001</formula>
      <formula>0.001</formula>
    </cfRule>
  </conditionalFormatting>
  <conditionalFormatting sqref="H57">
    <cfRule type="cellIs" dxfId="0" priority="5" operator="notBetween">
      <formula>-0.001</formula>
      <formula>0.001</formula>
    </cfRule>
  </conditionalFormatting>
  <conditionalFormatting sqref="H63">
    <cfRule type="cellIs" dxfId="0" priority="6" operator="notBetween">
      <formula>-0.001</formula>
      <formula>0.001</formula>
    </cfRule>
  </conditionalFormatting>
  <conditionalFormatting sqref="M12">
    <cfRule type="cellIs" dxfId="0" priority="7" operator="notBetween">
      <formula>-0.001</formula>
      <formula>0.001</formula>
    </cfRule>
  </conditionalFormatting>
  <conditionalFormatting sqref="M22">
    <cfRule type="cellIs" dxfId="0" priority="8" operator="notBetween">
      <formula>-0.001</formula>
      <formula>0.001</formula>
    </cfRule>
  </conditionalFormatting>
  <conditionalFormatting sqref="M25">
    <cfRule type="cellIs" dxfId="0" priority="9" operator="notBetween">
      <formula>-0.001</formula>
      <formula>0.001</formula>
    </cfRule>
  </conditionalFormatting>
  <conditionalFormatting sqref="M35">
    <cfRule type="cellIs" dxfId="0" priority="10" operator="notBetween">
      <formula>-0.001</formula>
      <formula>0.001</formula>
    </cfRule>
  </conditionalFormatting>
  <conditionalFormatting sqref="M57">
    <cfRule type="cellIs" dxfId="0" priority="11" operator="notBetween">
      <formula>-0.001</formula>
      <formula>0.001</formula>
    </cfRule>
  </conditionalFormatting>
  <conditionalFormatting sqref="M63">
    <cfRule type="cellIs" dxfId="0" priority="12" operator="notBetween">
      <formula>-0.001</formula>
      <formula>0.001</formula>
    </cfRule>
  </conditionalFormatting>
  <printOptions horizontalCentered="1" verticalCentered="1"/>
  <pageMargins bottom="0.0" footer="0.0" header="0.0" left="0.0" right="0.0" top="0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38C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3.88"/>
    <col customWidth="1" min="2" max="2" width="58.88"/>
    <col customWidth="1" min="3" max="7" width="12.88"/>
    <col customWidth="1" min="8" max="27" width="10.75"/>
  </cols>
  <sheetData>
    <row r="1" ht="6.75" customHeight="1">
      <c r="B1" s="163"/>
      <c r="C1" s="479"/>
      <c r="H1" s="479"/>
      <c r="I1" s="479"/>
      <c r="V1" s="480"/>
      <c r="W1" s="479"/>
      <c r="X1" s="480"/>
      <c r="Z1" s="820"/>
      <c r="AA1" s="32"/>
    </row>
    <row r="2" ht="24.75" customHeight="1">
      <c r="A2" s="482"/>
      <c r="B2" s="881" t="s">
        <v>624</v>
      </c>
      <c r="C2" s="483"/>
      <c r="D2" s="37"/>
      <c r="E2" s="37"/>
      <c r="F2" s="38"/>
      <c r="G2" s="39"/>
      <c r="H2" s="482"/>
      <c r="I2" s="485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740"/>
      <c r="W2" s="485"/>
      <c r="X2" s="740"/>
      <c r="Y2" s="482"/>
      <c r="Z2" s="821"/>
      <c r="AA2" s="822"/>
    </row>
    <row r="3" ht="6.75" customHeight="1">
      <c r="A3" s="633"/>
      <c r="B3" s="164"/>
      <c r="C3" s="485"/>
      <c r="D3" s="633"/>
      <c r="E3" s="633"/>
      <c r="F3" s="882"/>
      <c r="G3" s="883"/>
      <c r="H3" s="884"/>
      <c r="I3" s="485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884"/>
      <c r="W3" s="485"/>
      <c r="X3" s="884"/>
      <c r="Y3" s="633"/>
      <c r="Z3" s="885"/>
      <c r="AA3" s="822"/>
    </row>
    <row r="4" ht="24.75" customHeight="1">
      <c r="A4" s="633"/>
      <c r="B4" s="886"/>
      <c r="C4" s="625">
        <f>YEAR(EDATE(date_début,-12))</f>
        <v>2024</v>
      </c>
      <c r="D4" s="625">
        <f>YEAR(date_début)</f>
        <v>2025</v>
      </c>
      <c r="E4" s="625">
        <f>YEAR(EDATE(date_début,12))</f>
        <v>2026</v>
      </c>
      <c r="F4" s="625">
        <f>YEAR(EDATE(date_début,24))</f>
        <v>2027</v>
      </c>
      <c r="G4" s="625">
        <f>YEAR(EDATE(date_début,36))</f>
        <v>2028</v>
      </c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3"/>
    </row>
    <row r="5" ht="21.0" customHeight="1">
      <c r="A5" s="887"/>
      <c r="B5" s="888" t="s">
        <v>625</v>
      </c>
      <c r="C5" s="889"/>
      <c r="D5" s="889"/>
      <c r="E5" s="889"/>
      <c r="F5" s="889"/>
      <c r="G5" s="889"/>
      <c r="H5" s="887"/>
      <c r="I5" s="887"/>
      <c r="J5" s="887"/>
      <c r="K5" s="887"/>
      <c r="L5" s="887"/>
      <c r="M5" s="887"/>
      <c r="N5" s="887"/>
      <c r="O5" s="887"/>
      <c r="P5" s="887"/>
      <c r="Q5" s="887"/>
      <c r="R5" s="887"/>
      <c r="S5" s="887"/>
      <c r="T5" s="887"/>
      <c r="U5" s="887"/>
      <c r="V5" s="887"/>
      <c r="W5" s="887"/>
      <c r="X5" s="887"/>
      <c r="Y5" s="887"/>
      <c r="Z5" s="887"/>
      <c r="AA5" s="887"/>
    </row>
    <row r="6" ht="21.0" customHeight="1">
      <c r="A6" s="633"/>
      <c r="B6" s="890" t="s">
        <v>626</v>
      </c>
      <c r="C6" s="891"/>
      <c r="D6" s="892"/>
      <c r="E6" s="892"/>
      <c r="F6" s="892"/>
      <c r="G6" s="892"/>
      <c r="H6" s="893"/>
      <c r="I6" s="893"/>
      <c r="J6" s="894"/>
      <c r="K6" s="894"/>
      <c r="L6" s="633"/>
      <c r="M6" s="633"/>
      <c r="N6" s="633"/>
      <c r="O6" s="633"/>
      <c r="P6" s="633"/>
      <c r="Q6" s="633"/>
      <c r="R6" s="633"/>
      <c r="S6" s="633"/>
      <c r="T6" s="633"/>
      <c r="U6" s="633"/>
      <c r="V6" s="633"/>
      <c r="W6" s="633"/>
      <c r="X6" s="633"/>
      <c r="Y6" s="633"/>
      <c r="Z6" s="633"/>
      <c r="AA6" s="633"/>
    </row>
    <row r="7" ht="15.0" customHeight="1" outlineLevel="1">
      <c r="A7" s="498"/>
      <c r="B7" s="308" t="s">
        <v>627</v>
      </c>
      <c r="C7" s="639"/>
      <c r="D7" s="825">
        <f>C7+Investissements!I28</f>
        <v>0</v>
      </c>
      <c r="E7" s="825">
        <f>D7+Investissements!N28</f>
        <v>0</v>
      </c>
      <c r="F7" s="825">
        <f>E7+Investissements!O28</f>
        <v>0</v>
      </c>
      <c r="G7" s="650">
        <f>F7+Investissements!P28</f>
        <v>0</v>
      </c>
      <c r="H7" s="9"/>
      <c r="I7" s="10"/>
      <c r="J7" s="10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  <c r="AA7" s="498"/>
    </row>
    <row r="8" ht="15.0" customHeight="1" outlineLevel="1">
      <c r="A8" s="498"/>
      <c r="B8" s="742" t="s">
        <v>628</v>
      </c>
      <c r="C8" s="639"/>
      <c r="D8" s="825">
        <f>C8-Investissements!I29</f>
        <v>0</v>
      </c>
      <c r="E8" s="825">
        <f>D8-Investissements!N29</f>
        <v>0</v>
      </c>
      <c r="F8" s="825">
        <f>E8-Investissements!O29</f>
        <v>0</v>
      </c>
      <c r="G8" s="650">
        <f>F8-Investissements!P29</f>
        <v>0</v>
      </c>
      <c r="H8" s="9"/>
      <c r="I8" s="10"/>
      <c r="J8" s="10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8"/>
      <c r="X8" s="498"/>
      <c r="Y8" s="498"/>
      <c r="Z8" s="498"/>
      <c r="AA8" s="498"/>
    </row>
    <row r="9" ht="15.0" customHeight="1" outlineLevel="1">
      <c r="A9" s="498"/>
      <c r="B9" s="308" t="s">
        <v>629</v>
      </c>
      <c r="C9" s="639"/>
      <c r="D9" s="825">
        <f>C9+Investissements!I45</f>
        <v>0</v>
      </c>
      <c r="E9" s="825">
        <f>D9+Investissements!N45</f>
        <v>0</v>
      </c>
      <c r="F9" s="825">
        <f>E9+Investissements!O45</f>
        <v>0</v>
      </c>
      <c r="G9" s="650">
        <f>F9+Investissements!P45</f>
        <v>0</v>
      </c>
      <c r="H9" s="9"/>
      <c r="I9" s="10"/>
      <c r="J9" s="10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8"/>
      <c r="V9" s="498"/>
      <c r="W9" s="498"/>
      <c r="X9" s="498"/>
      <c r="Y9" s="498"/>
      <c r="Z9" s="498"/>
      <c r="AA9" s="498"/>
    </row>
    <row r="10" ht="15.0" customHeight="1" outlineLevel="1">
      <c r="A10" s="498"/>
      <c r="B10" s="742" t="s">
        <v>630</v>
      </c>
      <c r="C10" s="639"/>
      <c r="D10" s="825">
        <f>C10-Investissements!I46</f>
        <v>0</v>
      </c>
      <c r="E10" s="825">
        <f>D10-Investissements!N46</f>
        <v>0</v>
      </c>
      <c r="F10" s="825">
        <f>E10-Investissements!O46</f>
        <v>0</v>
      </c>
      <c r="G10" s="650">
        <f>F10-Investissements!P46</f>
        <v>0</v>
      </c>
      <c r="H10" s="498"/>
      <c r="I10" s="498"/>
      <c r="J10" s="49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8"/>
      <c r="AA10" s="498"/>
    </row>
    <row r="11" ht="15.0" customHeight="1" outlineLevel="1">
      <c r="A11" s="498"/>
      <c r="B11" s="538" t="s">
        <v>631</v>
      </c>
      <c r="C11" s="848"/>
      <c r="D11" s="830">
        <f>C11+Investissements!I51</f>
        <v>0</v>
      </c>
      <c r="E11" s="830">
        <f>D11+Investissements!N51</f>
        <v>0</v>
      </c>
      <c r="F11" s="830">
        <f>E11+Investissements!O51</f>
        <v>0</v>
      </c>
      <c r="G11" s="895">
        <f>F11+Investissements!P51</f>
        <v>0</v>
      </c>
      <c r="H11" s="2"/>
      <c r="I11" s="2"/>
      <c r="J11" s="2"/>
      <c r="K11" s="2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  <c r="W11" s="498"/>
      <c r="X11" s="498"/>
      <c r="Y11" s="498"/>
      <c r="Z11" s="498"/>
      <c r="AA11" s="498"/>
    </row>
    <row r="12" ht="15.0" customHeight="1">
      <c r="A12" s="2"/>
      <c r="B12" s="756" t="s">
        <v>632</v>
      </c>
      <c r="C12" s="216">
        <f t="shared" ref="C12:G12" si="1">SUM(C7:C11)</f>
        <v>0</v>
      </c>
      <c r="D12" s="896">
        <f t="shared" si="1"/>
        <v>0</v>
      </c>
      <c r="E12" s="896">
        <f t="shared" si="1"/>
        <v>0</v>
      </c>
      <c r="F12" s="896">
        <f t="shared" si="1"/>
        <v>0</v>
      </c>
      <c r="G12" s="798">
        <f t="shared" si="1"/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8.25" customHeight="1">
      <c r="A13" s="498"/>
      <c r="B13" s="897"/>
      <c r="C13" s="898"/>
      <c r="D13" s="898"/>
      <c r="E13" s="898"/>
      <c r="F13" s="898"/>
      <c r="G13" s="899"/>
      <c r="H13" s="498"/>
      <c r="I13" s="498"/>
      <c r="J13" s="498"/>
      <c r="K13" s="498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  <c r="Z13" s="498"/>
      <c r="AA13" s="498"/>
    </row>
    <row r="14" ht="21.0" customHeight="1">
      <c r="A14" s="498"/>
      <c r="B14" s="54" t="s">
        <v>633</v>
      </c>
      <c r="C14" s="900"/>
      <c r="D14" s="901"/>
      <c r="E14" s="901"/>
      <c r="F14" s="901"/>
      <c r="G14" s="901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498"/>
      <c r="X14" s="498"/>
      <c r="Y14" s="498"/>
      <c r="Z14" s="498"/>
      <c r="AA14" s="498"/>
    </row>
    <row r="15" ht="15.0" customHeight="1" outlineLevel="1">
      <c r="A15" s="498"/>
      <c r="B15" s="308" t="s">
        <v>634</v>
      </c>
      <c r="C15" s="639"/>
      <c r="D15" s="825">
        <f>'BFR '!G21</f>
        <v>0</v>
      </c>
      <c r="E15" s="825">
        <f>'BFR '!L21</f>
        <v>0</v>
      </c>
      <c r="F15" s="825">
        <f>'BFR '!N21</f>
        <v>0</v>
      </c>
      <c r="G15" s="651">
        <f>'BFR '!O21</f>
        <v>0</v>
      </c>
      <c r="H15" s="498"/>
      <c r="I15" s="498"/>
      <c r="J15" s="498"/>
      <c r="K15" s="498"/>
      <c r="L15" s="498"/>
      <c r="M15" s="498"/>
      <c r="N15" s="498"/>
      <c r="O15" s="498"/>
      <c r="P15" s="498"/>
      <c r="Q15" s="498"/>
      <c r="R15" s="498"/>
      <c r="S15" s="498"/>
      <c r="T15" s="498"/>
      <c r="U15" s="498"/>
      <c r="V15" s="498"/>
      <c r="W15" s="498"/>
      <c r="X15" s="498"/>
      <c r="Y15" s="498"/>
      <c r="Z15" s="498"/>
      <c r="AA15" s="498"/>
    </row>
    <row r="16" ht="15.0" customHeight="1" outlineLevel="1">
      <c r="A16" s="498"/>
      <c r="B16" s="308" t="s">
        <v>635</v>
      </c>
      <c r="C16" s="639"/>
      <c r="D16" s="825">
        <f>'BFR '!G16</f>
        <v>165.8869333</v>
      </c>
      <c r="E16" s="825">
        <f>'BFR '!L16</f>
        <v>146.657168</v>
      </c>
      <c r="F16" s="825">
        <f>'BFR '!N16</f>
        <v>218.0343717</v>
      </c>
      <c r="G16" s="651">
        <f>'BFR '!O16</f>
        <v>231.3503481</v>
      </c>
      <c r="H16" s="498"/>
      <c r="I16" s="498"/>
      <c r="J16" s="498"/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498"/>
      <c r="V16" s="498"/>
      <c r="W16" s="498"/>
      <c r="X16" s="498"/>
      <c r="Y16" s="498"/>
      <c r="Z16" s="498"/>
      <c r="AA16" s="498"/>
    </row>
    <row r="17" ht="15.0" customHeight="1" outlineLevel="1">
      <c r="A17" s="498"/>
      <c r="B17" s="538" t="s">
        <v>636</v>
      </c>
      <c r="C17" s="848"/>
      <c r="D17" s="830">
        <f>'Cash Flow'!O25</f>
        <v>407370.2234</v>
      </c>
      <c r="E17" s="830">
        <f>'Cash Flow'!AB25</f>
        <v>440862.4431</v>
      </c>
      <c r="F17" s="830">
        <f>'Cash Flow'!AD25</f>
        <v>490007.3279</v>
      </c>
      <c r="G17" s="827">
        <f>'Cash Flow'!AE25</f>
        <v>563416.2472</v>
      </c>
      <c r="H17" s="498"/>
      <c r="I17" s="498"/>
      <c r="J17" s="498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498"/>
      <c r="X17" s="498"/>
      <c r="Y17" s="498"/>
      <c r="Z17" s="498"/>
      <c r="AA17" s="498"/>
    </row>
    <row r="18" ht="15.0" customHeight="1">
      <c r="A18" s="2"/>
      <c r="B18" s="756" t="s">
        <v>637</v>
      </c>
      <c r="C18" s="216">
        <f>SUM(C16:C17)</f>
        <v>0</v>
      </c>
      <c r="D18" s="896">
        <f t="shared" ref="D18:G18" si="2">SUM(D15:D17)</f>
        <v>407536.1104</v>
      </c>
      <c r="E18" s="896">
        <f t="shared" si="2"/>
        <v>441009.1003</v>
      </c>
      <c r="F18" s="896">
        <f t="shared" si="2"/>
        <v>490225.3623</v>
      </c>
      <c r="G18" s="798">
        <f t="shared" si="2"/>
        <v>563647.5976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9.0" customHeight="1">
      <c r="A19" s="498"/>
      <c r="B19" s="897"/>
      <c r="C19" s="898"/>
      <c r="D19" s="898"/>
      <c r="E19" s="898"/>
      <c r="F19" s="898"/>
      <c r="G19" s="899"/>
      <c r="H19" s="498"/>
      <c r="I19" s="498"/>
      <c r="J19" s="498"/>
      <c r="K19" s="498"/>
      <c r="L19" s="498"/>
      <c r="M19" s="498"/>
      <c r="N19" s="498"/>
      <c r="O19" s="498"/>
      <c r="P19" s="498"/>
      <c r="Q19" s="498"/>
      <c r="R19" s="498"/>
      <c r="S19" s="498"/>
      <c r="T19" s="498"/>
      <c r="U19" s="498"/>
      <c r="V19" s="498"/>
      <c r="W19" s="498"/>
      <c r="X19" s="498"/>
      <c r="Y19" s="498"/>
      <c r="Z19" s="498"/>
      <c r="AA19" s="498"/>
    </row>
    <row r="20" ht="24.75" customHeight="1">
      <c r="A20" s="308"/>
      <c r="B20" s="299" t="s">
        <v>638</v>
      </c>
      <c r="C20" s="300">
        <f t="shared" ref="C20:G20" si="3">C12+C18</f>
        <v>0</v>
      </c>
      <c r="D20" s="300">
        <f t="shared" si="3"/>
        <v>407536.1104</v>
      </c>
      <c r="E20" s="300">
        <f t="shared" si="3"/>
        <v>441009.1003</v>
      </c>
      <c r="F20" s="300">
        <f t="shared" si="3"/>
        <v>490225.3623</v>
      </c>
      <c r="G20" s="323">
        <f t="shared" si="3"/>
        <v>563647.5976</v>
      </c>
      <c r="H20" s="498"/>
      <c r="I20" s="498"/>
      <c r="J20" s="498"/>
      <c r="K20" s="498"/>
      <c r="L20" s="498"/>
      <c r="M20" s="498"/>
      <c r="N20" s="308"/>
      <c r="O20" s="498"/>
      <c r="P20" s="498"/>
      <c r="Q20" s="498"/>
      <c r="R20" s="498"/>
      <c r="S20" s="498"/>
      <c r="T20" s="498"/>
      <c r="U20" s="498"/>
      <c r="V20" s="498"/>
      <c r="W20" s="498"/>
      <c r="X20" s="498"/>
      <c r="Y20" s="498"/>
      <c r="Z20" s="498"/>
      <c r="AA20" s="498"/>
    </row>
    <row r="21" ht="12.0" customHeight="1">
      <c r="A21" s="498"/>
      <c r="B21" s="902"/>
      <c r="C21" s="903"/>
      <c r="D21" s="498"/>
      <c r="E21" s="498"/>
      <c r="F21" s="904"/>
      <c r="G21" s="905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8"/>
    </row>
    <row r="22" ht="21.0" customHeight="1">
      <c r="A22" s="887"/>
      <c r="B22" s="888" t="s">
        <v>639</v>
      </c>
      <c r="C22" s="889"/>
      <c r="D22" s="889"/>
      <c r="E22" s="889"/>
      <c r="F22" s="889"/>
      <c r="G22" s="889"/>
      <c r="H22" s="887"/>
      <c r="I22" s="887"/>
      <c r="J22" s="887"/>
      <c r="K22" s="887"/>
      <c r="L22" s="887"/>
      <c r="M22" s="887"/>
      <c r="N22" s="887"/>
      <c r="O22" s="887"/>
      <c r="P22" s="887"/>
      <c r="Q22" s="887"/>
      <c r="R22" s="887"/>
      <c r="S22" s="887"/>
      <c r="T22" s="887"/>
      <c r="U22" s="887"/>
      <c r="V22" s="887"/>
      <c r="W22" s="887"/>
      <c r="X22" s="887"/>
      <c r="Y22" s="887"/>
      <c r="Z22" s="887"/>
      <c r="AA22" s="887"/>
    </row>
    <row r="23" ht="21.0" customHeight="1">
      <c r="A23" s="498"/>
      <c r="B23" s="54" t="s">
        <v>640</v>
      </c>
      <c r="C23" s="900"/>
      <c r="D23" s="901"/>
      <c r="E23" s="901"/>
      <c r="F23" s="901"/>
      <c r="G23" s="901"/>
      <c r="H23" s="498"/>
      <c r="I23" s="498"/>
      <c r="J23" s="49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498"/>
      <c r="V23" s="498"/>
      <c r="W23" s="498"/>
      <c r="X23" s="498"/>
      <c r="Y23" s="498"/>
      <c r="Z23" s="498"/>
      <c r="AA23" s="498"/>
    </row>
    <row r="24" ht="15.0" customHeight="1" outlineLevel="1">
      <c r="A24" s="498"/>
      <c r="B24" s="308" t="s">
        <v>641</v>
      </c>
      <c r="C24" s="681"/>
      <c r="D24" s="825">
        <f>C24+Financements!I10</f>
        <v>100000</v>
      </c>
      <c r="E24" s="825">
        <f>D24+Financements!N10</f>
        <v>100000</v>
      </c>
      <c r="F24" s="825">
        <f>E24+Financements!O10</f>
        <v>100000</v>
      </c>
      <c r="G24" s="651">
        <f>F24+Financements!P10</f>
        <v>100000</v>
      </c>
      <c r="H24" s="498"/>
      <c r="I24" s="498"/>
      <c r="J24" s="498"/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  <c r="W24" s="498"/>
      <c r="X24" s="498"/>
      <c r="Y24" s="498"/>
      <c r="Z24" s="498"/>
      <c r="AA24" s="498"/>
    </row>
    <row r="25" ht="15.0" customHeight="1" outlineLevel="1">
      <c r="A25" s="498"/>
      <c r="B25" s="308" t="s">
        <v>642</v>
      </c>
      <c r="C25" s="639"/>
      <c r="D25" s="825">
        <f t="shared" ref="D25:G25" si="4">C25+C26+C27</f>
        <v>0</v>
      </c>
      <c r="E25" s="825">
        <f t="shared" si="4"/>
        <v>63661.48273</v>
      </c>
      <c r="F25" s="825">
        <f t="shared" si="4"/>
        <v>122424.3878</v>
      </c>
      <c r="G25" s="651">
        <f t="shared" si="4"/>
        <v>191717.8629</v>
      </c>
      <c r="H25" s="498"/>
      <c r="I25" s="498"/>
      <c r="J25" s="498"/>
      <c r="K25" s="498"/>
      <c r="L25" s="498"/>
      <c r="M25" s="498"/>
      <c r="N25" s="498"/>
      <c r="O25" s="498"/>
      <c r="P25" s="498"/>
      <c r="Q25" s="498"/>
      <c r="R25" s="498"/>
      <c r="S25" s="498"/>
      <c r="T25" s="498"/>
      <c r="U25" s="498"/>
      <c r="V25" s="498"/>
      <c r="W25" s="498"/>
      <c r="X25" s="498"/>
      <c r="Y25" s="498"/>
      <c r="Z25" s="498"/>
      <c r="AA25" s="498"/>
    </row>
    <row r="26" ht="15.0" customHeight="1" outlineLevel="1">
      <c r="A26" s="498"/>
      <c r="B26" s="308" t="s">
        <v>643</v>
      </c>
      <c r="C26" s="639"/>
      <c r="D26" s="825">
        <f>'Cash Flow'!P19</f>
        <v>0</v>
      </c>
      <c r="E26" s="825">
        <f>'Cash Flow'!AC19</f>
        <v>0</v>
      </c>
      <c r="F26" s="825">
        <f>'Cash Flow'!AD19</f>
        <v>0</v>
      </c>
      <c r="G26" s="651">
        <f>'Cash Flow'!AE19</f>
        <v>0</v>
      </c>
      <c r="H26" s="498"/>
      <c r="I26" s="498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8"/>
      <c r="X26" s="498"/>
      <c r="Y26" s="498"/>
      <c r="Z26" s="498"/>
      <c r="AA26" s="498"/>
    </row>
    <row r="27" ht="15.0" customHeight="1" outlineLevel="1">
      <c r="A27" s="498"/>
      <c r="B27" s="538" t="s">
        <v>644</v>
      </c>
      <c r="C27" s="848"/>
      <c r="D27" s="830">
        <f>CR!H61</f>
        <v>63661.48273</v>
      </c>
      <c r="E27" s="830">
        <f>CR!M61</f>
        <v>58762.90503</v>
      </c>
      <c r="F27" s="830">
        <f>CR!N61</f>
        <v>69293.47519</v>
      </c>
      <c r="G27" s="827">
        <f>CR!O61</f>
        <v>90944.61486</v>
      </c>
      <c r="H27" s="498"/>
      <c r="I27" s="498"/>
      <c r="J27" s="498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  <c r="W27" s="498"/>
      <c r="X27" s="498"/>
      <c r="Y27" s="498"/>
      <c r="Z27" s="498"/>
      <c r="AA27" s="498"/>
    </row>
    <row r="28" ht="15.0" customHeight="1">
      <c r="A28" s="2"/>
      <c r="B28" s="756" t="s">
        <v>645</v>
      </c>
      <c r="C28" s="216">
        <f t="shared" ref="C28:G28" si="5">SUM(C24:C27)</f>
        <v>0</v>
      </c>
      <c r="D28" s="896">
        <f t="shared" si="5"/>
        <v>163661.4827</v>
      </c>
      <c r="E28" s="896">
        <f t="shared" si="5"/>
        <v>222424.3878</v>
      </c>
      <c r="F28" s="896">
        <f t="shared" si="5"/>
        <v>291717.8629</v>
      </c>
      <c r="G28" s="798">
        <f t="shared" si="5"/>
        <v>382662.4778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8.25" customHeight="1">
      <c r="A29" s="498"/>
      <c r="B29" s="897"/>
      <c r="C29" s="898"/>
      <c r="D29" s="898"/>
      <c r="E29" s="898"/>
      <c r="F29" s="898"/>
      <c r="G29" s="899"/>
      <c r="H29" s="498"/>
      <c r="I29" s="498"/>
      <c r="J29" s="498"/>
      <c r="K29" s="498"/>
      <c r="L29" s="498"/>
      <c r="M29" s="498"/>
      <c r="N29" s="498"/>
      <c r="O29" s="498"/>
      <c r="P29" s="498"/>
      <c r="Q29" s="498"/>
      <c r="R29" s="498"/>
      <c r="S29" s="498"/>
      <c r="T29" s="498"/>
      <c r="U29" s="498"/>
      <c r="V29" s="498"/>
      <c r="W29" s="498"/>
      <c r="X29" s="498"/>
      <c r="Y29" s="498"/>
      <c r="Z29" s="498"/>
      <c r="AA29" s="498"/>
    </row>
    <row r="30" ht="21.0" customHeight="1">
      <c r="A30" s="498"/>
      <c r="B30" s="54" t="s">
        <v>646</v>
      </c>
      <c r="C30" s="900"/>
      <c r="D30" s="901"/>
      <c r="E30" s="901"/>
      <c r="F30" s="901"/>
      <c r="G30" s="901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498"/>
      <c r="X30" s="498"/>
      <c r="Y30" s="498"/>
      <c r="Z30" s="498"/>
      <c r="AA30" s="498"/>
    </row>
    <row r="31" ht="15.0" customHeight="1" outlineLevel="1">
      <c r="A31" s="498"/>
      <c r="B31" s="187" t="s">
        <v>647</v>
      </c>
      <c r="C31" s="639"/>
      <c r="D31" s="825">
        <f>C31+Financements!I14</f>
        <v>0</v>
      </c>
      <c r="E31" s="825">
        <f>D31+Financements!N14</f>
        <v>0</v>
      </c>
      <c r="F31" s="825">
        <f>E31+Financements!O14</f>
        <v>0</v>
      </c>
      <c r="G31" s="651">
        <f>F31+Financements!P14</f>
        <v>0</v>
      </c>
      <c r="H31" s="498"/>
      <c r="I31" s="498"/>
      <c r="J31" s="498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8"/>
      <c r="AA31" s="498"/>
    </row>
    <row r="32" ht="15.0" customHeight="1" outlineLevel="1">
      <c r="A32" s="498"/>
      <c r="B32" s="308" t="s">
        <v>526</v>
      </c>
      <c r="C32" s="639"/>
      <c r="D32" s="825">
        <f>-Financements!I16</f>
        <v>0</v>
      </c>
      <c r="E32" s="825">
        <f>D32-Financements!N16</f>
        <v>0</v>
      </c>
      <c r="F32" s="825">
        <f>E32-Financements!O16</f>
        <v>0</v>
      </c>
      <c r="G32" s="651">
        <f>F32-Financements!P16</f>
        <v>0</v>
      </c>
      <c r="H32" s="498"/>
      <c r="I32" s="498"/>
      <c r="J32" s="498"/>
      <c r="K32" s="498"/>
      <c r="L32" s="498"/>
      <c r="M32" s="498"/>
      <c r="N32" s="498"/>
      <c r="O32" s="498"/>
      <c r="P32" s="498"/>
      <c r="Q32" s="498"/>
      <c r="R32" s="498"/>
      <c r="S32" s="498"/>
      <c r="T32" s="498"/>
      <c r="U32" s="498"/>
      <c r="V32" s="498"/>
      <c r="W32" s="498"/>
      <c r="X32" s="498"/>
      <c r="Y32" s="498"/>
      <c r="Z32" s="498"/>
      <c r="AA32" s="498"/>
    </row>
    <row r="33" ht="15.0" customHeight="1" outlineLevel="1">
      <c r="A33" s="498"/>
      <c r="B33" s="308" t="s">
        <v>648</v>
      </c>
      <c r="C33" s="639"/>
      <c r="D33" s="825">
        <f>C33+Financements!I35</f>
        <v>190000</v>
      </c>
      <c r="E33" s="825">
        <f>D33+Financements!N35</f>
        <v>190000</v>
      </c>
      <c r="F33" s="825">
        <f>E33+Financements!O35</f>
        <v>190000</v>
      </c>
      <c r="G33" s="650">
        <f>F33+Financements!P35</f>
        <v>190000</v>
      </c>
      <c r="H33" s="498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498"/>
      <c r="X33" s="498"/>
      <c r="Y33" s="498"/>
      <c r="Z33" s="498"/>
      <c r="AA33" s="498"/>
    </row>
    <row r="34" ht="15.0" customHeight="1" outlineLevel="1">
      <c r="A34" s="498"/>
      <c r="B34" s="308" t="s">
        <v>649</v>
      </c>
      <c r="C34" s="639"/>
      <c r="D34" s="825">
        <f>C34-Financements!I36</f>
        <v>0</v>
      </c>
      <c r="E34" s="825">
        <f>D34-Financements!N36</f>
        <v>-24371.01838</v>
      </c>
      <c r="F34" s="825">
        <f>E34-Financements!O36</f>
        <v>-49722.31271</v>
      </c>
      <c r="G34" s="651">
        <f>F34-Financements!P36</f>
        <v>-76093.31264</v>
      </c>
      <c r="H34" s="498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498"/>
      <c r="X34" s="498"/>
      <c r="Y34" s="498"/>
      <c r="Z34" s="498"/>
      <c r="AA34" s="498"/>
    </row>
    <row r="35" ht="15.0" customHeight="1" outlineLevel="1">
      <c r="A35" s="498"/>
      <c r="B35" s="308" t="s">
        <v>650</v>
      </c>
      <c r="C35" s="906"/>
      <c r="D35" s="825">
        <f>'BFR '!G35</f>
        <v>25370.39968</v>
      </c>
      <c r="E35" s="825">
        <f>'BFR '!L35</f>
        <v>26440.98989</v>
      </c>
      <c r="F35" s="825">
        <f>'BFR '!N35</f>
        <v>27094.82999</v>
      </c>
      <c r="G35" s="651">
        <f>'BFR '!O35</f>
        <v>28095.30013</v>
      </c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  <c r="Z35" s="498"/>
      <c r="AA35" s="498"/>
    </row>
    <row r="36" ht="15.0" customHeight="1" outlineLevel="1">
      <c r="A36" s="498"/>
      <c r="B36" s="907" t="s">
        <v>651</v>
      </c>
      <c r="C36" s="848"/>
      <c r="D36" s="830">
        <f>'BFR '!G41</f>
        <v>28504.22797</v>
      </c>
      <c r="E36" s="830">
        <f>'BFR '!L41</f>
        <v>26514.74101</v>
      </c>
      <c r="F36" s="830">
        <f>'BFR '!N41</f>
        <v>31134.98205</v>
      </c>
      <c r="G36" s="827">
        <f>'BFR '!O41</f>
        <v>38983.13229</v>
      </c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498"/>
      <c r="V36" s="498"/>
      <c r="W36" s="498"/>
      <c r="X36" s="498"/>
      <c r="Y36" s="498"/>
      <c r="Z36" s="498"/>
      <c r="AA36" s="498"/>
    </row>
    <row r="37" ht="15.0" customHeight="1">
      <c r="A37" s="2"/>
      <c r="B37" s="756" t="s">
        <v>652</v>
      </c>
      <c r="C37" s="216">
        <f t="shared" ref="C37:G37" si="6">SUM(C31:C36)</f>
        <v>0</v>
      </c>
      <c r="D37" s="896">
        <f t="shared" si="6"/>
        <v>243874.6277</v>
      </c>
      <c r="E37" s="896">
        <f t="shared" si="6"/>
        <v>218584.7125</v>
      </c>
      <c r="F37" s="896">
        <f t="shared" si="6"/>
        <v>198507.4993</v>
      </c>
      <c r="G37" s="798">
        <f t="shared" si="6"/>
        <v>180985.1198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9.75" customHeight="1">
      <c r="A38" s="498"/>
      <c r="B38" s="897"/>
      <c r="C38" s="898"/>
      <c r="D38" s="898"/>
      <c r="E38" s="898"/>
      <c r="F38" s="898"/>
      <c r="G38" s="899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8"/>
      <c r="AA38" s="498"/>
    </row>
    <row r="39" ht="24.75" customHeight="1">
      <c r="A39" s="308"/>
      <c r="B39" s="299" t="s">
        <v>653</v>
      </c>
      <c r="C39" s="300">
        <f t="shared" ref="C39:G39" si="7">C28+C37</f>
        <v>0</v>
      </c>
      <c r="D39" s="300">
        <f t="shared" si="7"/>
        <v>407536.1104</v>
      </c>
      <c r="E39" s="300">
        <f t="shared" si="7"/>
        <v>441009.1003</v>
      </c>
      <c r="F39" s="300">
        <f t="shared" si="7"/>
        <v>490225.3623</v>
      </c>
      <c r="G39" s="323">
        <f t="shared" si="7"/>
        <v>563647.5976</v>
      </c>
      <c r="H39" s="498"/>
      <c r="I39" s="498"/>
      <c r="J39" s="498"/>
      <c r="K39" s="498"/>
      <c r="L39" s="498"/>
      <c r="M39" s="498"/>
      <c r="N39" s="308"/>
      <c r="O39" s="498"/>
      <c r="P39" s="498"/>
      <c r="Q39" s="498"/>
      <c r="R39" s="498"/>
      <c r="S39" s="498"/>
      <c r="T39" s="498"/>
      <c r="U39" s="498"/>
      <c r="V39" s="498"/>
      <c r="W39" s="498"/>
      <c r="X39" s="498"/>
      <c r="Y39" s="498"/>
      <c r="Z39" s="498"/>
      <c r="AA39" s="498"/>
    </row>
    <row r="40" ht="19.5" customHeight="1">
      <c r="A40" s="498"/>
      <c r="B40" s="897"/>
      <c r="C40" s="898"/>
      <c r="D40" s="898"/>
      <c r="E40" s="898"/>
      <c r="F40" s="898"/>
      <c r="G40" s="899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/>
    </row>
    <row r="41" ht="12.75" customHeight="1">
      <c r="A41" s="498"/>
      <c r="B41" s="908" t="s">
        <v>256</v>
      </c>
      <c r="C41" s="782">
        <f t="shared" ref="C41:G41" si="8">C20-C39</f>
        <v>0</v>
      </c>
      <c r="D41" s="782">
        <f t="shared" si="8"/>
        <v>0</v>
      </c>
      <c r="E41" s="782">
        <f t="shared" si="8"/>
        <v>0</v>
      </c>
      <c r="F41" s="782">
        <f t="shared" si="8"/>
        <v>0.0000000001746229827</v>
      </c>
      <c r="G41" s="782">
        <f t="shared" si="8"/>
        <v>0.0000000001164153218</v>
      </c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498"/>
      <c r="V41" s="498"/>
      <c r="W41" s="498"/>
      <c r="X41" s="498"/>
      <c r="Y41" s="498"/>
      <c r="Z41" s="498"/>
      <c r="AA41" s="498"/>
    </row>
    <row r="42" ht="12.75" customHeight="1">
      <c r="A42" s="498"/>
      <c r="B42" s="308"/>
      <c r="C42" s="725"/>
      <c r="D42" s="725"/>
      <c r="E42" s="725"/>
      <c r="F42" s="725"/>
      <c r="G42" s="725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498"/>
      <c r="V42" s="498"/>
      <c r="W42" s="498"/>
      <c r="X42" s="498"/>
      <c r="Y42" s="498"/>
      <c r="Z42" s="498"/>
      <c r="AA42" s="498"/>
    </row>
    <row r="43" ht="12.75" customHeight="1">
      <c r="A43" s="498"/>
      <c r="B43" s="308"/>
      <c r="C43" s="498"/>
      <c r="D43" s="498"/>
      <c r="E43" s="725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498"/>
      <c r="V43" s="498"/>
      <c r="W43" s="498"/>
      <c r="X43" s="498"/>
      <c r="Y43" s="498"/>
      <c r="Z43" s="498"/>
      <c r="AA43" s="498"/>
    </row>
    <row r="44" ht="12.75" customHeight="1">
      <c r="A44" s="498"/>
      <c r="B44" s="308"/>
      <c r="C44" s="498"/>
      <c r="D44" s="498"/>
      <c r="E44" s="498"/>
      <c r="F44" s="498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498"/>
      <c r="U44" s="498"/>
      <c r="V44" s="498"/>
      <c r="W44" s="498"/>
      <c r="X44" s="498"/>
      <c r="Y44" s="498"/>
      <c r="Z44" s="498"/>
      <c r="AA44" s="498"/>
    </row>
    <row r="45" ht="12.75" customHeight="1">
      <c r="B45" s="161"/>
    </row>
    <row r="46" ht="12.75" customHeight="1">
      <c r="B46" s="161"/>
    </row>
    <row r="47" ht="12.75" customHeight="1">
      <c r="B47" s="161"/>
    </row>
    <row r="48" ht="12.75" customHeight="1">
      <c r="B48" s="161"/>
    </row>
    <row r="49" ht="12.75" customHeight="1">
      <c r="B49" s="161"/>
    </row>
    <row r="50" ht="12.75" customHeight="1">
      <c r="B50" s="161"/>
    </row>
    <row r="51" ht="12.75" customHeight="1">
      <c r="B51" s="161"/>
    </row>
    <row r="52" ht="12.75" customHeight="1">
      <c r="B52" s="161"/>
    </row>
    <row r="53" ht="12.75" customHeight="1">
      <c r="B53" s="161"/>
    </row>
    <row r="54" ht="12.75" customHeight="1">
      <c r="B54" s="161"/>
    </row>
    <row r="55" ht="12.75" customHeight="1">
      <c r="B55" s="161"/>
    </row>
    <row r="56" ht="12.75" customHeight="1">
      <c r="B56" s="161"/>
    </row>
    <row r="57" ht="12.75" customHeight="1">
      <c r="B57" s="161"/>
    </row>
    <row r="58" ht="12.75" customHeight="1">
      <c r="B58" s="161"/>
    </row>
    <row r="59" ht="12.75" customHeight="1">
      <c r="B59" s="161"/>
    </row>
    <row r="60" ht="12.75" customHeight="1">
      <c r="B60" s="161"/>
    </row>
    <row r="61" ht="12.75" customHeight="1">
      <c r="B61" s="161"/>
    </row>
    <row r="62" ht="12.75" customHeight="1">
      <c r="B62" s="161"/>
    </row>
    <row r="63" ht="12.75" customHeight="1">
      <c r="B63" s="161"/>
    </row>
    <row r="64" ht="12.75" customHeight="1">
      <c r="B64" s="161"/>
    </row>
    <row r="65" ht="12.75" customHeight="1">
      <c r="B65" s="161"/>
    </row>
    <row r="66" ht="12.75" customHeight="1">
      <c r="B66" s="161"/>
    </row>
    <row r="67" ht="12.75" customHeight="1">
      <c r="B67" s="161"/>
    </row>
    <row r="68" ht="12.75" customHeight="1">
      <c r="B68" s="161"/>
    </row>
    <row r="69" ht="12.75" customHeight="1">
      <c r="B69" s="161"/>
    </row>
    <row r="70" ht="12.75" customHeight="1">
      <c r="B70" s="161"/>
    </row>
    <row r="71" ht="12.75" customHeight="1">
      <c r="B71" s="161"/>
    </row>
    <row r="72" ht="12.75" customHeight="1">
      <c r="B72" s="161"/>
    </row>
    <row r="73" ht="12.75" customHeight="1">
      <c r="B73" s="161"/>
    </row>
    <row r="74" ht="12.75" customHeight="1">
      <c r="B74" s="161"/>
    </row>
    <row r="75" ht="12.75" customHeight="1">
      <c r="B75" s="161"/>
    </row>
    <row r="76" ht="12.75" customHeight="1">
      <c r="B76" s="161"/>
    </row>
    <row r="77" ht="12.75" customHeight="1">
      <c r="B77" s="161"/>
    </row>
    <row r="78" ht="12.75" customHeight="1">
      <c r="B78" s="161"/>
    </row>
    <row r="79" ht="12.75" customHeight="1">
      <c r="B79" s="161"/>
    </row>
    <row r="80" ht="12.75" customHeight="1">
      <c r="B80" s="161"/>
    </row>
    <row r="81" ht="12.75" customHeight="1">
      <c r="B81" s="161"/>
    </row>
    <row r="82" ht="12.75" customHeight="1">
      <c r="B82" s="161"/>
    </row>
    <row r="83" ht="12.75" customHeight="1">
      <c r="B83" s="161"/>
    </row>
    <row r="84" ht="12.75" customHeight="1">
      <c r="B84" s="161"/>
    </row>
    <row r="85" ht="12.75" customHeight="1">
      <c r="B85" s="161"/>
    </row>
    <row r="86" ht="12.75" customHeight="1">
      <c r="B86" s="161"/>
    </row>
    <row r="87" ht="12.75" customHeight="1">
      <c r="B87" s="161"/>
    </row>
    <row r="88" ht="12.75" customHeight="1">
      <c r="B88" s="161"/>
    </row>
    <row r="89" ht="12.75" customHeight="1">
      <c r="B89" s="161"/>
    </row>
    <row r="90" ht="12.75" customHeight="1">
      <c r="B90" s="161"/>
    </row>
    <row r="91" ht="12.75" customHeight="1">
      <c r="B91" s="161"/>
    </row>
    <row r="92" ht="12.75" customHeight="1">
      <c r="B92" s="161"/>
    </row>
    <row r="93" ht="12.75" customHeight="1">
      <c r="B93" s="161"/>
    </row>
    <row r="94" ht="12.75" customHeight="1">
      <c r="B94" s="161"/>
    </row>
    <row r="95" ht="12.75" customHeight="1">
      <c r="B95" s="161"/>
    </row>
    <row r="96" ht="12.75" customHeight="1">
      <c r="B96" s="161"/>
    </row>
    <row r="97" ht="12.75" customHeight="1">
      <c r="B97" s="161"/>
    </row>
    <row r="98" ht="12.75" customHeight="1">
      <c r="B98" s="161"/>
    </row>
    <row r="99" ht="12.75" customHeight="1">
      <c r="B99" s="161"/>
    </row>
    <row r="100" ht="12.75" customHeight="1">
      <c r="B100" s="161"/>
    </row>
    <row r="101" ht="12.75" customHeight="1">
      <c r="B101" s="161"/>
    </row>
    <row r="102" ht="12.75" customHeight="1">
      <c r="B102" s="161"/>
    </row>
    <row r="103" ht="12.75" customHeight="1">
      <c r="B103" s="161"/>
    </row>
    <row r="104" ht="12.75" customHeight="1">
      <c r="B104" s="161"/>
    </row>
    <row r="105" ht="12.75" customHeight="1">
      <c r="B105" s="161"/>
    </row>
    <row r="106" ht="12.75" customHeight="1">
      <c r="B106" s="161"/>
    </row>
    <row r="107" ht="12.75" customHeight="1">
      <c r="B107" s="161"/>
    </row>
    <row r="108" ht="12.75" customHeight="1">
      <c r="B108" s="161"/>
    </row>
    <row r="109" ht="12.75" customHeight="1">
      <c r="B109" s="161"/>
    </row>
    <row r="110" ht="12.75" customHeight="1">
      <c r="B110" s="161"/>
    </row>
    <row r="111" ht="12.75" customHeight="1">
      <c r="B111" s="161"/>
    </row>
    <row r="112" ht="12.75" customHeight="1">
      <c r="B112" s="161"/>
    </row>
    <row r="113" ht="12.75" customHeight="1">
      <c r="B113" s="161"/>
    </row>
    <row r="114" ht="12.75" customHeight="1">
      <c r="B114" s="161"/>
    </row>
    <row r="115" ht="12.75" customHeight="1">
      <c r="B115" s="161"/>
    </row>
    <row r="116" ht="12.75" customHeight="1">
      <c r="B116" s="161"/>
    </row>
    <row r="117" ht="12.75" customHeight="1">
      <c r="B117" s="161"/>
    </row>
    <row r="118" ht="12.75" customHeight="1">
      <c r="B118" s="161"/>
    </row>
    <row r="119" ht="12.75" customHeight="1">
      <c r="B119" s="161"/>
    </row>
    <row r="120" ht="12.75" customHeight="1">
      <c r="B120" s="161"/>
    </row>
    <row r="121" ht="12.75" customHeight="1">
      <c r="B121" s="161"/>
    </row>
    <row r="122" ht="12.75" customHeight="1">
      <c r="B122" s="161"/>
    </row>
    <row r="123" ht="12.75" customHeight="1">
      <c r="B123" s="161"/>
    </row>
    <row r="124" ht="12.75" customHeight="1">
      <c r="B124" s="161"/>
    </row>
    <row r="125" ht="12.75" customHeight="1">
      <c r="B125" s="161"/>
    </row>
    <row r="126" ht="12.75" customHeight="1">
      <c r="B126" s="161"/>
    </row>
    <row r="127" ht="12.75" customHeight="1">
      <c r="B127" s="161"/>
    </row>
    <row r="128" ht="12.75" customHeight="1">
      <c r="B128" s="161"/>
    </row>
    <row r="129" ht="12.75" customHeight="1">
      <c r="B129" s="161"/>
    </row>
    <row r="130" ht="12.75" customHeight="1">
      <c r="B130" s="161"/>
    </row>
    <row r="131" ht="12.75" customHeight="1">
      <c r="B131" s="161"/>
    </row>
    <row r="132" ht="12.75" customHeight="1">
      <c r="B132" s="161"/>
    </row>
    <row r="133" ht="12.75" customHeight="1">
      <c r="B133" s="161"/>
    </row>
    <row r="134" ht="12.75" customHeight="1">
      <c r="B134" s="161"/>
    </row>
    <row r="135" ht="12.75" customHeight="1">
      <c r="B135" s="161"/>
    </row>
    <row r="136" ht="12.75" customHeight="1">
      <c r="B136" s="161"/>
    </row>
    <row r="137" ht="12.75" customHeight="1">
      <c r="B137" s="161"/>
    </row>
    <row r="138" ht="12.75" customHeight="1">
      <c r="B138" s="161"/>
    </row>
    <row r="139" ht="12.75" customHeight="1">
      <c r="B139" s="161"/>
    </row>
    <row r="140" ht="12.75" customHeight="1">
      <c r="B140" s="161"/>
    </row>
    <row r="141" ht="12.75" customHeight="1">
      <c r="B141" s="161"/>
    </row>
    <row r="142" ht="12.75" customHeight="1">
      <c r="B142" s="161"/>
    </row>
    <row r="143" ht="12.75" customHeight="1">
      <c r="B143" s="161"/>
    </row>
    <row r="144" ht="12.75" customHeight="1">
      <c r="B144" s="161"/>
    </row>
    <row r="145" ht="12.75" customHeight="1">
      <c r="B145" s="161"/>
    </row>
    <row r="146" ht="12.75" customHeight="1">
      <c r="B146" s="161"/>
    </row>
    <row r="147" ht="12.75" customHeight="1">
      <c r="B147" s="161"/>
    </row>
    <row r="148" ht="12.75" customHeight="1">
      <c r="B148" s="161"/>
    </row>
    <row r="149" ht="12.75" customHeight="1">
      <c r="B149" s="161"/>
    </row>
    <row r="150" ht="12.75" customHeight="1">
      <c r="B150" s="161"/>
    </row>
    <row r="151" ht="12.75" customHeight="1">
      <c r="B151" s="161"/>
    </row>
    <row r="152" ht="12.75" customHeight="1">
      <c r="B152" s="161"/>
    </row>
    <row r="153" ht="12.75" customHeight="1">
      <c r="B153" s="161"/>
    </row>
    <row r="154" ht="12.75" customHeight="1">
      <c r="B154" s="161"/>
    </row>
    <row r="155" ht="12.75" customHeight="1">
      <c r="B155" s="161"/>
    </row>
    <row r="156" ht="12.75" customHeight="1">
      <c r="B156" s="161"/>
    </row>
    <row r="157" ht="12.75" customHeight="1">
      <c r="B157" s="161"/>
    </row>
    <row r="158" ht="12.75" customHeight="1">
      <c r="B158" s="161"/>
    </row>
    <row r="159" ht="12.75" customHeight="1">
      <c r="B159" s="161"/>
    </row>
    <row r="160" ht="12.75" customHeight="1">
      <c r="B160" s="161"/>
    </row>
    <row r="161" ht="12.75" customHeight="1">
      <c r="B161" s="161"/>
    </row>
    <row r="162" ht="12.75" customHeight="1">
      <c r="B162" s="161"/>
    </row>
    <row r="163" ht="12.75" customHeight="1">
      <c r="B163" s="161"/>
    </row>
    <row r="164" ht="12.75" customHeight="1">
      <c r="B164" s="161"/>
    </row>
    <row r="165" ht="12.75" customHeight="1">
      <c r="B165" s="161"/>
    </row>
    <row r="166" ht="12.75" customHeight="1">
      <c r="B166" s="161"/>
    </row>
    <row r="167" ht="12.75" customHeight="1">
      <c r="B167" s="161"/>
    </row>
    <row r="168" ht="12.75" customHeight="1">
      <c r="B168" s="161"/>
    </row>
    <row r="169" ht="12.75" customHeight="1">
      <c r="B169" s="161"/>
    </row>
    <row r="170" ht="12.75" customHeight="1">
      <c r="B170" s="161"/>
    </row>
    <row r="171" ht="12.75" customHeight="1">
      <c r="B171" s="161"/>
    </row>
    <row r="172" ht="12.75" customHeight="1">
      <c r="B172" s="161"/>
    </row>
    <row r="173" ht="12.75" customHeight="1">
      <c r="B173" s="161"/>
    </row>
    <row r="174" ht="12.75" customHeight="1">
      <c r="B174" s="161"/>
    </row>
    <row r="175" ht="12.75" customHeight="1">
      <c r="B175" s="161"/>
    </row>
    <row r="176" ht="12.75" customHeight="1">
      <c r="B176" s="161"/>
    </row>
    <row r="177" ht="12.75" customHeight="1">
      <c r="B177" s="161"/>
    </row>
    <row r="178" ht="12.75" customHeight="1">
      <c r="B178" s="161"/>
    </row>
    <row r="179" ht="12.75" customHeight="1">
      <c r="B179" s="161"/>
    </row>
    <row r="180" ht="12.75" customHeight="1">
      <c r="B180" s="161"/>
    </row>
    <row r="181" ht="12.75" customHeight="1">
      <c r="B181" s="161"/>
    </row>
    <row r="182" ht="12.75" customHeight="1">
      <c r="B182" s="161"/>
    </row>
    <row r="183" ht="12.75" customHeight="1">
      <c r="B183" s="161"/>
    </row>
    <row r="184" ht="12.75" customHeight="1">
      <c r="B184" s="161"/>
    </row>
    <row r="185" ht="12.75" customHeight="1">
      <c r="B185" s="161"/>
    </row>
    <row r="186" ht="12.75" customHeight="1">
      <c r="B186" s="161"/>
    </row>
    <row r="187" ht="12.75" customHeight="1">
      <c r="B187" s="161"/>
    </row>
    <row r="188" ht="12.75" customHeight="1">
      <c r="B188" s="161"/>
    </row>
    <row r="189" ht="12.75" customHeight="1">
      <c r="B189" s="161"/>
    </row>
    <row r="190" ht="12.75" customHeight="1">
      <c r="B190" s="161"/>
    </row>
    <row r="191" ht="12.75" customHeight="1">
      <c r="B191" s="161"/>
    </row>
    <row r="192" ht="12.75" customHeight="1">
      <c r="B192" s="161"/>
    </row>
    <row r="193" ht="12.75" customHeight="1">
      <c r="B193" s="161"/>
    </row>
    <row r="194" ht="12.75" customHeight="1">
      <c r="B194" s="161"/>
    </row>
    <row r="195" ht="12.75" customHeight="1">
      <c r="B195" s="161"/>
    </row>
    <row r="196" ht="12.75" customHeight="1">
      <c r="B196" s="161"/>
    </row>
    <row r="197" ht="12.75" customHeight="1">
      <c r="B197" s="161"/>
    </row>
    <row r="198" ht="12.75" customHeight="1">
      <c r="B198" s="161"/>
    </row>
    <row r="199" ht="12.75" customHeight="1">
      <c r="B199" s="161"/>
    </row>
    <row r="200" ht="12.75" customHeight="1">
      <c r="B200" s="161"/>
    </row>
    <row r="201" ht="12.75" customHeight="1">
      <c r="B201" s="161"/>
    </row>
    <row r="202" ht="12.75" customHeight="1">
      <c r="B202" s="161"/>
    </row>
    <row r="203" ht="12.75" customHeight="1">
      <c r="B203" s="161"/>
    </row>
    <row r="204" ht="12.75" customHeight="1">
      <c r="B204" s="161"/>
    </row>
    <row r="205" ht="12.75" customHeight="1">
      <c r="B205" s="161"/>
    </row>
    <row r="206" ht="12.75" customHeight="1">
      <c r="B206" s="161"/>
    </row>
    <row r="207" ht="12.75" customHeight="1">
      <c r="B207" s="161"/>
    </row>
    <row r="208" ht="12.75" customHeight="1">
      <c r="B208" s="161"/>
    </row>
    <row r="209" ht="12.75" customHeight="1">
      <c r="B209" s="161"/>
    </row>
    <row r="210" ht="12.75" customHeight="1">
      <c r="B210" s="161"/>
    </row>
    <row r="211" ht="12.75" customHeight="1">
      <c r="B211" s="161"/>
    </row>
    <row r="212" ht="12.75" customHeight="1">
      <c r="B212" s="161"/>
    </row>
    <row r="213" ht="12.75" customHeight="1">
      <c r="B213" s="161"/>
    </row>
    <row r="214" ht="12.75" customHeight="1">
      <c r="B214" s="161"/>
    </row>
    <row r="215" ht="12.75" customHeight="1">
      <c r="B215" s="161"/>
    </row>
    <row r="216" ht="12.75" customHeight="1">
      <c r="B216" s="161"/>
    </row>
    <row r="217" ht="12.75" customHeight="1">
      <c r="B217" s="161"/>
    </row>
    <row r="218" ht="12.75" customHeight="1">
      <c r="B218" s="161"/>
    </row>
    <row r="219" ht="12.75" customHeight="1">
      <c r="B219" s="161"/>
    </row>
    <row r="220" ht="12.75" customHeight="1">
      <c r="B220" s="161"/>
    </row>
    <row r="221" ht="12.75" customHeight="1">
      <c r="B221" s="161"/>
    </row>
    <row r="222" ht="12.75" customHeight="1">
      <c r="B222" s="161"/>
    </row>
    <row r="223" ht="12.75" customHeight="1">
      <c r="B223" s="161"/>
    </row>
    <row r="224" ht="12.75" customHeight="1">
      <c r="B224" s="161"/>
    </row>
    <row r="225" ht="12.75" customHeight="1">
      <c r="B225" s="161"/>
    </row>
    <row r="226" ht="12.75" customHeight="1">
      <c r="B226" s="161"/>
    </row>
    <row r="227" ht="12.75" customHeight="1">
      <c r="B227" s="161"/>
    </row>
    <row r="228" ht="12.75" customHeight="1">
      <c r="B228" s="161"/>
    </row>
    <row r="229" ht="12.75" customHeight="1">
      <c r="B229" s="161"/>
    </row>
    <row r="230" ht="12.75" customHeight="1">
      <c r="B230" s="161"/>
    </row>
    <row r="231" ht="12.75" customHeight="1">
      <c r="B231" s="161"/>
    </row>
    <row r="232" ht="12.75" customHeight="1">
      <c r="B232" s="161"/>
    </row>
    <row r="233" ht="12.75" customHeight="1">
      <c r="B233" s="161"/>
    </row>
    <row r="234" ht="12.75" customHeight="1">
      <c r="B234" s="161"/>
    </row>
    <row r="235" ht="12.75" customHeight="1">
      <c r="B235" s="161"/>
    </row>
    <row r="236" ht="12.75" customHeight="1">
      <c r="B236" s="161"/>
    </row>
    <row r="237" ht="12.75" customHeight="1">
      <c r="B237" s="161"/>
    </row>
    <row r="238" ht="12.75" customHeight="1">
      <c r="B238" s="161"/>
    </row>
    <row r="239" ht="12.75" customHeight="1">
      <c r="B239" s="161"/>
    </row>
    <row r="240" ht="12.75" customHeight="1">
      <c r="B240" s="161"/>
    </row>
    <row r="241" ht="12.75" customHeight="1">
      <c r="B241" s="16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41:G41">
    <cfRule type="cellIs" dxfId="0" priority="1" operator="notEqual">
      <formula>0</formula>
    </cfRule>
  </conditionalFormatting>
  <printOptions/>
  <pageMargins bottom="0.984251969" footer="0.0" header="0.0" left="0.787401575" right="0.787401575" top="0.984251969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26D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3.88"/>
    <col customWidth="1" min="2" max="2" width="58.88"/>
    <col customWidth="1" min="3" max="7" width="12.88"/>
    <col customWidth="1" min="8" max="27" width="10.75"/>
  </cols>
  <sheetData>
    <row r="1" ht="6.75" customHeight="1">
      <c r="B1" s="163"/>
      <c r="C1" s="479"/>
      <c r="H1" s="479"/>
      <c r="I1" s="479"/>
      <c r="V1" s="480"/>
      <c r="W1" s="479"/>
      <c r="X1" s="480"/>
      <c r="Z1" s="820"/>
      <c r="AA1" s="32"/>
    </row>
    <row r="2" ht="24.75" customHeight="1">
      <c r="A2" s="482"/>
      <c r="B2" s="909" t="s">
        <v>654</v>
      </c>
      <c r="C2" s="483"/>
      <c r="D2" s="37"/>
      <c r="E2" s="37"/>
      <c r="F2" s="38"/>
      <c r="G2" s="39"/>
      <c r="H2" s="482"/>
      <c r="I2" s="485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740"/>
      <c r="W2" s="485"/>
      <c r="X2" s="740"/>
      <c r="Y2" s="482"/>
      <c r="Z2" s="821"/>
      <c r="AA2" s="822"/>
    </row>
    <row r="3" ht="6.75" customHeight="1">
      <c r="A3" s="633"/>
      <c r="B3" s="164"/>
      <c r="C3" s="485"/>
      <c r="D3" s="633"/>
      <c r="E3" s="633"/>
      <c r="F3" s="882"/>
      <c r="G3" s="883"/>
      <c r="H3" s="884"/>
      <c r="I3" s="485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884"/>
      <c r="W3" s="485"/>
      <c r="X3" s="884"/>
      <c r="Y3" s="633"/>
      <c r="Z3" s="885"/>
      <c r="AA3" s="822"/>
    </row>
    <row r="4" ht="24.75" customHeight="1">
      <c r="A4" s="633"/>
      <c r="B4" s="886"/>
      <c r="C4" s="625">
        <f>YEAR(EDATE(date_début,-12))</f>
        <v>2024</v>
      </c>
      <c r="D4" s="625">
        <f>YEAR(date_début)</f>
        <v>2025</v>
      </c>
      <c r="E4" s="625">
        <f>YEAR(EDATE(date_début,12))</f>
        <v>2026</v>
      </c>
      <c r="F4" s="625">
        <f>YEAR(EDATE(date_début,24))</f>
        <v>2027</v>
      </c>
      <c r="G4" s="625">
        <f>YEAR(EDATE(date_début,36))</f>
        <v>2028</v>
      </c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3"/>
    </row>
    <row r="5" ht="21.0" customHeight="1">
      <c r="A5" s="887"/>
      <c r="B5" s="888" t="s">
        <v>625</v>
      </c>
      <c r="C5" s="889"/>
      <c r="D5" s="889"/>
      <c r="E5" s="889"/>
      <c r="F5" s="889"/>
      <c r="G5" s="889"/>
      <c r="H5" s="887"/>
      <c r="I5" s="887"/>
      <c r="J5" s="887"/>
      <c r="K5" s="887"/>
      <c r="L5" s="887"/>
      <c r="M5" s="887"/>
      <c r="N5" s="887"/>
      <c r="O5" s="887"/>
      <c r="P5" s="887"/>
      <c r="Q5" s="887"/>
      <c r="R5" s="887"/>
      <c r="S5" s="887"/>
      <c r="T5" s="887"/>
      <c r="U5" s="887"/>
      <c r="V5" s="887"/>
      <c r="W5" s="887"/>
      <c r="X5" s="887"/>
      <c r="Y5" s="887"/>
      <c r="Z5" s="887"/>
      <c r="AA5" s="887"/>
    </row>
    <row r="6" ht="21.0" customHeight="1">
      <c r="A6" s="633"/>
      <c r="B6" s="890" t="s">
        <v>626</v>
      </c>
      <c r="C6" s="891"/>
      <c r="D6" s="892"/>
      <c r="E6" s="892"/>
      <c r="F6" s="892"/>
      <c r="G6" s="892"/>
      <c r="H6" s="893"/>
      <c r="I6" s="893"/>
      <c r="J6" s="894"/>
      <c r="K6" s="894"/>
      <c r="L6" s="633"/>
      <c r="M6" s="633"/>
      <c r="N6" s="633"/>
      <c r="O6" s="633"/>
      <c r="P6" s="633"/>
      <c r="Q6" s="633"/>
      <c r="R6" s="633"/>
      <c r="S6" s="633"/>
      <c r="T6" s="633"/>
      <c r="U6" s="633"/>
      <c r="V6" s="633"/>
      <c r="W6" s="633"/>
      <c r="X6" s="633"/>
      <c r="Y6" s="633"/>
      <c r="Z6" s="633"/>
      <c r="AA6" s="633"/>
    </row>
    <row r="7" ht="15.0" customHeight="1" outlineLevel="1">
      <c r="A7" s="498"/>
      <c r="B7" s="308" t="s">
        <v>627</v>
      </c>
      <c r="C7" s="639"/>
      <c r="D7" s="825">
        <f>C7+Investissements!I28</f>
        <v>0</v>
      </c>
      <c r="E7" s="825">
        <f>D7+Investissements!N28</f>
        <v>0</v>
      </c>
      <c r="F7" s="825">
        <f>E7+Investissements!O28</f>
        <v>0</v>
      </c>
      <c r="G7" s="650">
        <f>F7+Investissements!P28</f>
        <v>0</v>
      </c>
      <c r="H7" s="9"/>
      <c r="I7" s="10"/>
      <c r="J7" s="10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  <c r="AA7" s="498"/>
    </row>
    <row r="8" ht="15.0" customHeight="1" outlineLevel="1">
      <c r="A8" s="498"/>
      <c r="B8" s="742" t="s">
        <v>628</v>
      </c>
      <c r="C8" s="639"/>
      <c r="D8" s="825">
        <f>C8-Investissements!I29</f>
        <v>0</v>
      </c>
      <c r="E8" s="825">
        <f>D8-Investissements!N29</f>
        <v>0</v>
      </c>
      <c r="F8" s="825">
        <f>E8-Investissements!O29</f>
        <v>0</v>
      </c>
      <c r="G8" s="650">
        <f>F8-Investissements!P29</f>
        <v>0</v>
      </c>
      <c r="H8" s="9"/>
      <c r="I8" s="10"/>
      <c r="J8" s="10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8"/>
      <c r="X8" s="498"/>
      <c r="Y8" s="498"/>
      <c r="Z8" s="498"/>
      <c r="AA8" s="498"/>
    </row>
    <row r="9" ht="15.0" customHeight="1" outlineLevel="1">
      <c r="A9" s="498"/>
      <c r="B9" s="308" t="s">
        <v>629</v>
      </c>
      <c r="C9" s="639"/>
      <c r="D9" s="825">
        <f>C9+Investissements!I45</f>
        <v>0</v>
      </c>
      <c r="E9" s="825">
        <f>D9+Investissements!N45</f>
        <v>0</v>
      </c>
      <c r="F9" s="825">
        <f>E9+Investissements!O45</f>
        <v>0</v>
      </c>
      <c r="G9" s="650">
        <f>F9+Investissements!P45</f>
        <v>0</v>
      </c>
      <c r="H9" s="9"/>
      <c r="I9" s="10"/>
      <c r="J9" s="10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8"/>
      <c r="V9" s="498"/>
      <c r="W9" s="498"/>
      <c r="X9" s="498"/>
      <c r="Y9" s="498"/>
      <c r="Z9" s="498"/>
      <c r="AA9" s="498"/>
    </row>
    <row r="10" ht="15.0" customHeight="1" outlineLevel="1">
      <c r="A10" s="498"/>
      <c r="B10" s="742" t="s">
        <v>630</v>
      </c>
      <c r="C10" s="639"/>
      <c r="D10" s="825">
        <f>C10-Investissements!I46</f>
        <v>0</v>
      </c>
      <c r="E10" s="825">
        <f>D10-Investissements!N46</f>
        <v>0</v>
      </c>
      <c r="F10" s="825">
        <f>E10-Investissements!O46</f>
        <v>0</v>
      </c>
      <c r="G10" s="650">
        <f>F10-Investissements!P46</f>
        <v>0</v>
      </c>
      <c r="H10" s="498"/>
      <c r="I10" s="498"/>
      <c r="J10" s="49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8"/>
      <c r="AA10" s="498"/>
    </row>
    <row r="11" ht="15.0" customHeight="1" outlineLevel="1">
      <c r="A11" s="498"/>
      <c r="B11" s="538" t="s">
        <v>631</v>
      </c>
      <c r="C11" s="848"/>
      <c r="D11" s="830">
        <f>C11+Investissements!I51</f>
        <v>0</v>
      </c>
      <c r="E11" s="830">
        <f>D11+Investissements!N51</f>
        <v>0</v>
      </c>
      <c r="F11" s="830">
        <f>E11+Investissements!O51</f>
        <v>0</v>
      </c>
      <c r="G11" s="895">
        <f>F11+Investissements!P51</f>
        <v>0</v>
      </c>
      <c r="H11" s="2"/>
      <c r="I11" s="2"/>
      <c r="J11" s="2"/>
      <c r="K11" s="2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  <c r="W11" s="498"/>
      <c r="X11" s="498"/>
      <c r="Y11" s="498"/>
      <c r="Z11" s="498"/>
      <c r="AA11" s="498"/>
    </row>
    <row r="12" ht="15.0" customHeight="1">
      <c r="A12" s="2"/>
      <c r="B12" s="756" t="s">
        <v>632</v>
      </c>
      <c r="C12" s="216">
        <f t="shared" ref="C12:G12" si="1">SUM(C7:C11)</f>
        <v>0</v>
      </c>
      <c r="D12" s="896">
        <f t="shared" si="1"/>
        <v>0</v>
      </c>
      <c r="E12" s="896">
        <f t="shared" si="1"/>
        <v>0</v>
      </c>
      <c r="F12" s="896">
        <f t="shared" si="1"/>
        <v>0</v>
      </c>
      <c r="G12" s="798">
        <f t="shared" si="1"/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8.25" customHeight="1">
      <c r="A13" s="498"/>
      <c r="B13" s="897"/>
      <c r="C13" s="898"/>
      <c r="D13" s="898"/>
      <c r="E13" s="898"/>
      <c r="F13" s="898"/>
      <c r="G13" s="899"/>
      <c r="H13" s="498"/>
      <c r="I13" s="498"/>
      <c r="J13" s="498"/>
      <c r="K13" s="498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  <c r="Z13" s="498"/>
      <c r="AA13" s="498"/>
    </row>
    <row r="14" ht="21.0" customHeight="1">
      <c r="A14" s="498"/>
      <c r="B14" s="54" t="s">
        <v>633</v>
      </c>
      <c r="C14" s="900"/>
      <c r="D14" s="901"/>
      <c r="E14" s="901"/>
      <c r="F14" s="901"/>
      <c r="G14" s="901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498"/>
      <c r="X14" s="498"/>
      <c r="Y14" s="498"/>
      <c r="Z14" s="498"/>
      <c r="AA14" s="498"/>
    </row>
    <row r="15" ht="15.0" customHeight="1" outlineLevel="1">
      <c r="A15" s="498"/>
      <c r="B15" s="308" t="s">
        <v>634</v>
      </c>
      <c r="C15" s="639"/>
      <c r="D15" s="825">
        <f>'BFR '!G21</f>
        <v>0</v>
      </c>
      <c r="E15" s="825">
        <f>'BFR '!L21</f>
        <v>0</v>
      </c>
      <c r="F15" s="825">
        <f>'BFR '!N21</f>
        <v>0</v>
      </c>
      <c r="G15" s="651">
        <f>'BFR '!O21</f>
        <v>0</v>
      </c>
      <c r="H15" s="498"/>
      <c r="I15" s="498"/>
      <c r="J15" s="498"/>
      <c r="K15" s="498"/>
      <c r="L15" s="498"/>
      <c r="M15" s="498"/>
      <c r="N15" s="498"/>
      <c r="O15" s="498"/>
      <c r="P15" s="498"/>
      <c r="Q15" s="498"/>
      <c r="R15" s="498"/>
      <c r="S15" s="498"/>
      <c r="T15" s="498"/>
      <c r="U15" s="498"/>
      <c r="V15" s="498"/>
      <c r="W15" s="498"/>
      <c r="X15" s="498"/>
      <c r="Y15" s="498"/>
      <c r="Z15" s="498"/>
      <c r="AA15" s="498"/>
    </row>
    <row r="16" ht="15.0" customHeight="1" outlineLevel="1">
      <c r="A16" s="498"/>
      <c r="B16" s="308" t="s">
        <v>635</v>
      </c>
      <c r="C16" s="639"/>
      <c r="D16" s="825">
        <f>'BFR '!G16</f>
        <v>165.8869333</v>
      </c>
      <c r="E16" s="825">
        <f>'BFR '!L16</f>
        <v>146.657168</v>
      </c>
      <c r="F16" s="825">
        <f>'BFR '!N16</f>
        <v>218.0343717</v>
      </c>
      <c r="G16" s="651">
        <f>'BFR '!O16</f>
        <v>231.3503481</v>
      </c>
      <c r="H16" s="498"/>
      <c r="I16" s="498"/>
      <c r="J16" s="498"/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498"/>
      <c r="V16" s="498"/>
      <c r="W16" s="498"/>
      <c r="X16" s="498"/>
      <c r="Y16" s="498"/>
      <c r="Z16" s="498"/>
      <c r="AA16" s="498"/>
    </row>
    <row r="17" ht="15.0" customHeight="1" outlineLevel="1">
      <c r="A17" s="498"/>
      <c r="B17" s="538" t="s">
        <v>636</v>
      </c>
      <c r="C17" s="848"/>
      <c r="D17" s="830">
        <f>'Cash Flow'!O25</f>
        <v>407370.2234</v>
      </c>
      <c r="E17" s="830">
        <f>'Cash Flow'!AB25</f>
        <v>440862.4431</v>
      </c>
      <c r="F17" s="830">
        <f>'Cash Flow'!AD25</f>
        <v>490007.3279</v>
      </c>
      <c r="G17" s="827">
        <f>'Cash Flow'!AE25</f>
        <v>563416.2472</v>
      </c>
      <c r="H17" s="498"/>
      <c r="I17" s="498"/>
      <c r="J17" s="498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498"/>
      <c r="X17" s="498"/>
      <c r="Y17" s="498"/>
      <c r="Z17" s="498"/>
      <c r="AA17" s="498"/>
    </row>
    <row r="18" ht="15.0" customHeight="1">
      <c r="A18" s="2"/>
      <c r="B18" s="756" t="s">
        <v>637</v>
      </c>
      <c r="C18" s="216">
        <f>SUM(C16:C17)</f>
        <v>0</v>
      </c>
      <c r="D18" s="896">
        <f t="shared" ref="D18:G18" si="2">SUM(D15:D17)</f>
        <v>407536.1104</v>
      </c>
      <c r="E18" s="896">
        <f t="shared" si="2"/>
        <v>441009.1003</v>
      </c>
      <c r="F18" s="896">
        <f t="shared" si="2"/>
        <v>490225.3623</v>
      </c>
      <c r="G18" s="798">
        <f t="shared" si="2"/>
        <v>563647.5976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9.0" customHeight="1">
      <c r="A19" s="498"/>
      <c r="B19" s="897"/>
      <c r="C19" s="898"/>
      <c r="D19" s="898"/>
      <c r="E19" s="898"/>
      <c r="F19" s="898"/>
      <c r="G19" s="899"/>
      <c r="H19" s="498"/>
      <c r="I19" s="498"/>
      <c r="J19" s="498"/>
      <c r="K19" s="498"/>
      <c r="L19" s="498"/>
      <c r="M19" s="498"/>
      <c r="N19" s="498"/>
      <c r="O19" s="498"/>
      <c r="P19" s="498"/>
      <c r="Q19" s="498"/>
      <c r="R19" s="498"/>
      <c r="S19" s="498"/>
      <c r="T19" s="498"/>
      <c r="U19" s="498"/>
      <c r="V19" s="498"/>
      <c r="W19" s="498"/>
      <c r="X19" s="498"/>
      <c r="Y19" s="498"/>
      <c r="Z19" s="498"/>
      <c r="AA19" s="498"/>
    </row>
    <row r="20" ht="24.75" customHeight="1">
      <c r="A20" s="308"/>
      <c r="B20" s="299" t="s">
        <v>638</v>
      </c>
      <c r="C20" s="300">
        <f t="shared" ref="C20:G20" si="3">C12+C18</f>
        <v>0</v>
      </c>
      <c r="D20" s="300">
        <f t="shared" si="3"/>
        <v>407536.1104</v>
      </c>
      <c r="E20" s="300">
        <f t="shared" si="3"/>
        <v>441009.1003</v>
      </c>
      <c r="F20" s="300">
        <f t="shared" si="3"/>
        <v>490225.3623</v>
      </c>
      <c r="G20" s="323">
        <f t="shared" si="3"/>
        <v>563647.5976</v>
      </c>
      <c r="H20" s="498"/>
      <c r="I20" s="498"/>
      <c r="J20" s="498"/>
      <c r="K20" s="498"/>
      <c r="L20" s="498"/>
      <c r="M20" s="498"/>
      <c r="N20" s="308"/>
      <c r="O20" s="498"/>
      <c r="P20" s="498"/>
      <c r="Q20" s="498"/>
      <c r="R20" s="498"/>
      <c r="S20" s="498"/>
      <c r="T20" s="498"/>
      <c r="U20" s="498"/>
      <c r="V20" s="498"/>
      <c r="W20" s="498"/>
      <c r="X20" s="498"/>
      <c r="Y20" s="498"/>
      <c r="Z20" s="498"/>
      <c r="AA20" s="498"/>
    </row>
    <row r="21" ht="12.0" customHeight="1">
      <c r="A21" s="498"/>
      <c r="B21" s="902"/>
      <c r="C21" s="903"/>
      <c r="D21" s="498"/>
      <c r="E21" s="498"/>
      <c r="F21" s="904"/>
      <c r="G21" s="905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8"/>
    </row>
    <row r="22" ht="21.0" customHeight="1">
      <c r="A22" s="887"/>
      <c r="B22" s="888" t="s">
        <v>639</v>
      </c>
      <c r="C22" s="889"/>
      <c r="D22" s="889"/>
      <c r="E22" s="889"/>
      <c r="F22" s="889"/>
      <c r="G22" s="889"/>
      <c r="H22" s="887"/>
      <c r="I22" s="887"/>
      <c r="J22" s="887"/>
      <c r="K22" s="887"/>
      <c r="L22" s="887"/>
      <c r="M22" s="887"/>
      <c r="N22" s="887"/>
      <c r="O22" s="887"/>
      <c r="P22" s="887"/>
      <c r="Q22" s="887"/>
      <c r="R22" s="887"/>
      <c r="S22" s="887"/>
      <c r="T22" s="887"/>
      <c r="U22" s="887"/>
      <c r="V22" s="887"/>
      <c r="W22" s="887"/>
      <c r="X22" s="887"/>
      <c r="Y22" s="887"/>
      <c r="Z22" s="887"/>
      <c r="AA22" s="887"/>
    </row>
    <row r="23" ht="21.0" customHeight="1">
      <c r="A23" s="498"/>
      <c r="B23" s="54" t="s">
        <v>640</v>
      </c>
      <c r="C23" s="900"/>
      <c r="D23" s="901"/>
      <c r="E23" s="901"/>
      <c r="F23" s="901"/>
      <c r="G23" s="901"/>
      <c r="H23" s="498"/>
      <c r="I23" s="498"/>
      <c r="J23" s="49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498"/>
      <c r="V23" s="498"/>
      <c r="W23" s="498"/>
      <c r="X23" s="498"/>
      <c r="Y23" s="498"/>
      <c r="Z23" s="498"/>
      <c r="AA23" s="498"/>
    </row>
    <row r="24" ht="15.0" customHeight="1" outlineLevel="1">
      <c r="A24" s="498"/>
      <c r="B24" s="308" t="s">
        <v>641</v>
      </c>
      <c r="C24" s="681"/>
      <c r="D24" s="825">
        <f>C24+Financements!I10</f>
        <v>100000</v>
      </c>
      <c r="E24" s="825">
        <f>D24+Financements!N10</f>
        <v>100000</v>
      </c>
      <c r="F24" s="825">
        <f>E24+Financements!O10</f>
        <v>100000</v>
      </c>
      <c r="G24" s="651">
        <f>F24+Financements!P10</f>
        <v>100000</v>
      </c>
      <c r="H24" s="498"/>
      <c r="I24" s="498"/>
      <c r="J24" s="498"/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  <c r="W24" s="498"/>
      <c r="X24" s="498"/>
      <c r="Y24" s="498"/>
      <c r="Z24" s="498"/>
      <c r="AA24" s="498"/>
    </row>
    <row r="25" ht="15.0" customHeight="1" outlineLevel="1">
      <c r="A25" s="498"/>
      <c r="B25" s="308" t="s">
        <v>642</v>
      </c>
      <c r="C25" s="639"/>
      <c r="D25" s="825">
        <f t="shared" ref="D25:G25" si="4">C25+C26+C27</f>
        <v>0</v>
      </c>
      <c r="E25" s="825">
        <f t="shared" si="4"/>
        <v>63661.48273</v>
      </c>
      <c r="F25" s="825">
        <f t="shared" si="4"/>
        <v>122424.3878</v>
      </c>
      <c r="G25" s="651">
        <f t="shared" si="4"/>
        <v>191717.8629</v>
      </c>
      <c r="H25" s="498"/>
      <c r="I25" s="498"/>
      <c r="J25" s="498"/>
      <c r="K25" s="498"/>
      <c r="L25" s="498"/>
      <c r="M25" s="498"/>
      <c r="N25" s="498"/>
      <c r="O25" s="498"/>
      <c r="P25" s="498"/>
      <c r="Q25" s="498"/>
      <c r="R25" s="498"/>
      <c r="S25" s="498"/>
      <c r="T25" s="498"/>
      <c r="U25" s="498"/>
      <c r="V25" s="498"/>
      <c r="W25" s="498"/>
      <c r="X25" s="498"/>
      <c r="Y25" s="498"/>
      <c r="Z25" s="498"/>
      <c r="AA25" s="498"/>
    </row>
    <row r="26" ht="15.0" customHeight="1" outlineLevel="1">
      <c r="A26" s="498"/>
      <c r="B26" s="308" t="s">
        <v>643</v>
      </c>
      <c r="C26" s="639"/>
      <c r="D26" s="825">
        <f>'Cash Flow'!P19</f>
        <v>0</v>
      </c>
      <c r="E26" s="825">
        <f>'Cash Flow'!AC19</f>
        <v>0</v>
      </c>
      <c r="F26" s="825">
        <f>'Cash Flow'!AD19</f>
        <v>0</v>
      </c>
      <c r="G26" s="651">
        <f>'Cash Flow'!AE19</f>
        <v>0</v>
      </c>
      <c r="H26" s="498"/>
      <c r="I26" s="498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8"/>
      <c r="X26" s="498"/>
      <c r="Y26" s="498"/>
      <c r="Z26" s="498"/>
      <c r="AA26" s="498"/>
    </row>
    <row r="27" ht="15.0" customHeight="1" outlineLevel="1">
      <c r="A27" s="498"/>
      <c r="B27" s="538" t="s">
        <v>644</v>
      </c>
      <c r="C27" s="848"/>
      <c r="D27" s="830">
        <f>CR!H61</f>
        <v>63661.48273</v>
      </c>
      <c r="E27" s="830">
        <f>CR!M61</f>
        <v>58762.90503</v>
      </c>
      <c r="F27" s="830">
        <f>CR!N61</f>
        <v>69293.47519</v>
      </c>
      <c r="G27" s="827">
        <f>CR!O61</f>
        <v>90944.61486</v>
      </c>
      <c r="H27" s="498"/>
      <c r="I27" s="498"/>
      <c r="J27" s="498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  <c r="W27" s="498"/>
      <c r="X27" s="498"/>
      <c r="Y27" s="498"/>
      <c r="Z27" s="498"/>
      <c r="AA27" s="498"/>
    </row>
    <row r="28" ht="15.0" customHeight="1">
      <c r="A28" s="2"/>
      <c r="B28" s="756" t="s">
        <v>645</v>
      </c>
      <c r="C28" s="216">
        <f t="shared" ref="C28:G28" si="5">SUM(C24:C27)</f>
        <v>0</v>
      </c>
      <c r="D28" s="896">
        <f t="shared" si="5"/>
        <v>163661.4827</v>
      </c>
      <c r="E28" s="896">
        <f t="shared" si="5"/>
        <v>222424.3878</v>
      </c>
      <c r="F28" s="896">
        <f t="shared" si="5"/>
        <v>291717.8629</v>
      </c>
      <c r="G28" s="798">
        <f t="shared" si="5"/>
        <v>382662.4778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8.25" customHeight="1">
      <c r="A29" s="498"/>
      <c r="B29" s="897"/>
      <c r="C29" s="898"/>
      <c r="D29" s="898"/>
      <c r="E29" s="898"/>
      <c r="F29" s="898"/>
      <c r="G29" s="899"/>
      <c r="H29" s="498"/>
      <c r="I29" s="498"/>
      <c r="J29" s="498"/>
      <c r="K29" s="498"/>
      <c r="L29" s="498"/>
      <c r="M29" s="498"/>
      <c r="N29" s="498"/>
      <c r="O29" s="498"/>
      <c r="P29" s="498"/>
      <c r="Q29" s="498"/>
      <c r="R29" s="498"/>
      <c r="S29" s="498"/>
      <c r="T29" s="498"/>
      <c r="U29" s="498"/>
      <c r="V29" s="498"/>
      <c r="W29" s="498"/>
      <c r="X29" s="498"/>
      <c r="Y29" s="498"/>
      <c r="Z29" s="498"/>
      <c r="AA29" s="498"/>
    </row>
    <row r="30" ht="21.0" customHeight="1">
      <c r="A30" s="498"/>
      <c r="B30" s="54" t="s">
        <v>646</v>
      </c>
      <c r="C30" s="900"/>
      <c r="D30" s="901"/>
      <c r="E30" s="901"/>
      <c r="F30" s="901"/>
      <c r="G30" s="901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498"/>
      <c r="X30" s="498"/>
      <c r="Y30" s="498"/>
      <c r="Z30" s="498"/>
      <c r="AA30" s="498"/>
    </row>
    <row r="31" ht="15.0" customHeight="1" outlineLevel="1">
      <c r="A31" s="498"/>
      <c r="B31" s="187" t="s">
        <v>647</v>
      </c>
      <c r="C31" s="639"/>
      <c r="D31" s="825">
        <f>C31+Financements!I14</f>
        <v>0</v>
      </c>
      <c r="E31" s="825">
        <f>D31+Financements!N14</f>
        <v>0</v>
      </c>
      <c r="F31" s="825">
        <f>E31+Financements!O14</f>
        <v>0</v>
      </c>
      <c r="G31" s="651">
        <f>F31+Financements!P14</f>
        <v>0</v>
      </c>
      <c r="H31" s="498"/>
      <c r="I31" s="498"/>
      <c r="J31" s="498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8"/>
      <c r="AA31" s="498"/>
    </row>
    <row r="32" ht="15.0" customHeight="1" outlineLevel="1">
      <c r="A32" s="498"/>
      <c r="B32" s="308" t="s">
        <v>526</v>
      </c>
      <c r="C32" s="639"/>
      <c r="D32" s="825">
        <f>-Financements!I16</f>
        <v>0</v>
      </c>
      <c r="E32" s="825">
        <f>D32-Financements!N16</f>
        <v>0</v>
      </c>
      <c r="F32" s="825">
        <f>E32-Financements!O16</f>
        <v>0</v>
      </c>
      <c r="G32" s="651">
        <f>F32-Financements!P16</f>
        <v>0</v>
      </c>
      <c r="H32" s="498"/>
      <c r="I32" s="498"/>
      <c r="J32" s="498"/>
      <c r="K32" s="498"/>
      <c r="L32" s="498"/>
      <c r="M32" s="498"/>
      <c r="N32" s="498"/>
      <c r="O32" s="498"/>
      <c r="P32" s="498"/>
      <c r="Q32" s="498"/>
      <c r="R32" s="498"/>
      <c r="S32" s="498"/>
      <c r="T32" s="498"/>
      <c r="U32" s="498"/>
      <c r="V32" s="498"/>
      <c r="W32" s="498"/>
      <c r="X32" s="498"/>
      <c r="Y32" s="498"/>
      <c r="Z32" s="498"/>
      <c r="AA32" s="498"/>
    </row>
    <row r="33" ht="15.0" customHeight="1" outlineLevel="1">
      <c r="A33" s="498"/>
      <c r="B33" s="308" t="s">
        <v>648</v>
      </c>
      <c r="C33" s="639"/>
      <c r="D33" s="825">
        <f>C33+Financements!I35</f>
        <v>190000</v>
      </c>
      <c r="E33" s="825">
        <f>D33+Financements!N35</f>
        <v>190000</v>
      </c>
      <c r="F33" s="825">
        <f>E33+Financements!O35</f>
        <v>190000</v>
      </c>
      <c r="G33" s="650">
        <f>F33+Financements!P35</f>
        <v>190000</v>
      </c>
      <c r="H33" s="498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498"/>
      <c r="X33" s="498"/>
      <c r="Y33" s="498"/>
      <c r="Z33" s="498"/>
      <c r="AA33" s="498"/>
    </row>
    <row r="34" ht="15.0" customHeight="1" outlineLevel="1">
      <c r="A34" s="498"/>
      <c r="B34" s="308" t="s">
        <v>649</v>
      </c>
      <c r="C34" s="639"/>
      <c r="D34" s="825">
        <f>C34-Financements!I36</f>
        <v>0</v>
      </c>
      <c r="E34" s="825">
        <f>D34-Financements!N36</f>
        <v>-24371.01838</v>
      </c>
      <c r="F34" s="825">
        <f>E34-Financements!O36</f>
        <v>-49722.31271</v>
      </c>
      <c r="G34" s="651">
        <f>F34-Financements!P36</f>
        <v>-76093.31264</v>
      </c>
      <c r="H34" s="498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498"/>
      <c r="X34" s="498"/>
      <c r="Y34" s="498"/>
      <c r="Z34" s="498"/>
      <c r="AA34" s="498"/>
    </row>
    <row r="35" ht="15.0" customHeight="1" outlineLevel="1">
      <c r="A35" s="498"/>
      <c r="B35" s="308" t="s">
        <v>650</v>
      </c>
      <c r="C35" s="906"/>
      <c r="D35" s="825">
        <f>'BFR '!G35</f>
        <v>25370.39968</v>
      </c>
      <c r="E35" s="825">
        <f>'BFR '!L35</f>
        <v>26440.98989</v>
      </c>
      <c r="F35" s="825">
        <f>'BFR '!N35</f>
        <v>27094.82999</v>
      </c>
      <c r="G35" s="651">
        <f>'BFR '!O35</f>
        <v>28095.30013</v>
      </c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  <c r="Z35" s="498"/>
      <c r="AA35" s="498"/>
    </row>
    <row r="36" ht="15.0" customHeight="1" outlineLevel="1">
      <c r="A36" s="498"/>
      <c r="B36" s="907" t="s">
        <v>651</v>
      </c>
      <c r="C36" s="848"/>
      <c r="D36" s="830">
        <f>'BFR '!G41</f>
        <v>28504.22797</v>
      </c>
      <c r="E36" s="830">
        <f>'BFR '!L41</f>
        <v>26514.74101</v>
      </c>
      <c r="F36" s="830">
        <f>'BFR '!N41</f>
        <v>31134.98205</v>
      </c>
      <c r="G36" s="827">
        <f>'BFR '!O41</f>
        <v>38983.13229</v>
      </c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498"/>
      <c r="V36" s="498"/>
      <c r="W36" s="498"/>
      <c r="X36" s="498"/>
      <c r="Y36" s="498"/>
      <c r="Z36" s="498"/>
      <c r="AA36" s="498"/>
    </row>
    <row r="37" ht="15.0" customHeight="1">
      <c r="A37" s="2"/>
      <c r="B37" s="756" t="s">
        <v>652</v>
      </c>
      <c r="C37" s="216">
        <f t="shared" ref="C37:G37" si="6">SUM(C31:C36)</f>
        <v>0</v>
      </c>
      <c r="D37" s="896">
        <f t="shared" si="6"/>
        <v>243874.6277</v>
      </c>
      <c r="E37" s="896">
        <f t="shared" si="6"/>
        <v>218584.7125</v>
      </c>
      <c r="F37" s="896">
        <f t="shared" si="6"/>
        <v>198507.4993</v>
      </c>
      <c r="G37" s="798">
        <f t="shared" si="6"/>
        <v>180985.1198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9.75" customHeight="1">
      <c r="A38" s="498"/>
      <c r="B38" s="897"/>
      <c r="C38" s="898"/>
      <c r="D38" s="898"/>
      <c r="E38" s="898"/>
      <c r="F38" s="898"/>
      <c r="G38" s="899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8"/>
      <c r="AA38" s="498"/>
    </row>
    <row r="39" ht="24.75" customHeight="1">
      <c r="A39" s="308"/>
      <c r="B39" s="299" t="s">
        <v>653</v>
      </c>
      <c r="C39" s="300">
        <f t="shared" ref="C39:G39" si="7">C28+C37</f>
        <v>0</v>
      </c>
      <c r="D39" s="300">
        <f t="shared" si="7"/>
        <v>407536.1104</v>
      </c>
      <c r="E39" s="300">
        <f t="shared" si="7"/>
        <v>441009.1003</v>
      </c>
      <c r="F39" s="300">
        <f t="shared" si="7"/>
        <v>490225.3623</v>
      </c>
      <c r="G39" s="323">
        <f t="shared" si="7"/>
        <v>563647.5976</v>
      </c>
      <c r="H39" s="498"/>
      <c r="I39" s="498"/>
      <c r="J39" s="498"/>
      <c r="K39" s="498"/>
      <c r="L39" s="498"/>
      <c r="M39" s="498"/>
      <c r="N39" s="308"/>
      <c r="O39" s="498"/>
      <c r="P39" s="498"/>
      <c r="Q39" s="498"/>
      <c r="R39" s="498"/>
      <c r="S39" s="498"/>
      <c r="T39" s="498"/>
      <c r="U39" s="498"/>
      <c r="V39" s="498"/>
      <c r="W39" s="498"/>
      <c r="X39" s="498"/>
      <c r="Y39" s="498"/>
      <c r="Z39" s="498"/>
      <c r="AA39" s="498"/>
    </row>
    <row r="40" ht="19.5" customHeight="1">
      <c r="A40" s="498"/>
      <c r="B40" s="897"/>
      <c r="C40" s="898"/>
      <c r="D40" s="898"/>
      <c r="E40" s="898"/>
      <c r="F40" s="898"/>
      <c r="G40" s="899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/>
    </row>
    <row r="41" ht="12.75" customHeight="1">
      <c r="A41" s="498"/>
      <c r="B41" s="908" t="s">
        <v>256</v>
      </c>
      <c r="C41" s="782">
        <f t="shared" ref="C41:G41" si="8">C20-C39</f>
        <v>0</v>
      </c>
      <c r="D41" s="782">
        <f t="shared" si="8"/>
        <v>0</v>
      </c>
      <c r="E41" s="782">
        <f t="shared" si="8"/>
        <v>0</v>
      </c>
      <c r="F41" s="782">
        <f t="shared" si="8"/>
        <v>0.0000000001746229827</v>
      </c>
      <c r="G41" s="782">
        <f t="shared" si="8"/>
        <v>0.0000000001164153218</v>
      </c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498"/>
      <c r="V41" s="498"/>
      <c r="W41" s="498"/>
      <c r="X41" s="498"/>
      <c r="Y41" s="498"/>
      <c r="Z41" s="498"/>
      <c r="AA41" s="498"/>
    </row>
    <row r="42" ht="12.75" customHeight="1">
      <c r="A42" s="498"/>
      <c r="B42" s="308"/>
      <c r="C42" s="725"/>
      <c r="D42" s="725"/>
      <c r="E42" s="725"/>
      <c r="F42" s="725"/>
      <c r="G42" s="725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498"/>
      <c r="V42" s="498"/>
      <c r="W42" s="498"/>
      <c r="X42" s="498"/>
      <c r="Y42" s="498"/>
      <c r="Z42" s="498"/>
      <c r="AA42" s="498"/>
    </row>
    <row r="43" ht="12.75" customHeight="1">
      <c r="A43" s="498"/>
      <c r="B43" s="308"/>
      <c r="C43" s="498"/>
      <c r="D43" s="498"/>
      <c r="E43" s="725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498"/>
      <c r="V43" s="498"/>
      <c r="W43" s="498"/>
      <c r="X43" s="498"/>
      <c r="Y43" s="498"/>
      <c r="Z43" s="498"/>
      <c r="AA43" s="498"/>
    </row>
    <row r="44" ht="12.75" customHeight="1">
      <c r="A44" s="498"/>
      <c r="B44" s="308"/>
      <c r="C44" s="498"/>
      <c r="D44" s="498"/>
      <c r="E44" s="498"/>
      <c r="F44" s="498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498"/>
      <c r="U44" s="498"/>
      <c r="V44" s="498"/>
      <c r="W44" s="498"/>
      <c r="X44" s="498"/>
      <c r="Y44" s="498"/>
      <c r="Z44" s="498"/>
      <c r="AA44" s="498"/>
    </row>
    <row r="45" ht="12.75" customHeight="1">
      <c r="B45" s="161"/>
    </row>
    <row r="46" ht="12.75" customHeight="1">
      <c r="B46" s="161"/>
    </row>
    <row r="47" ht="12.75" customHeight="1">
      <c r="B47" s="161"/>
    </row>
    <row r="48" ht="12.75" customHeight="1">
      <c r="B48" s="161"/>
    </row>
    <row r="49" ht="12.75" customHeight="1">
      <c r="B49" s="161"/>
    </row>
    <row r="50" ht="12.75" customHeight="1">
      <c r="B50" s="161"/>
    </row>
    <row r="51" ht="12.75" customHeight="1">
      <c r="B51" s="161"/>
    </row>
    <row r="52" ht="12.75" customHeight="1">
      <c r="B52" s="161"/>
    </row>
    <row r="53" ht="12.75" customHeight="1">
      <c r="B53" s="161"/>
    </row>
    <row r="54" ht="12.75" customHeight="1">
      <c r="B54" s="161"/>
    </row>
    <row r="55" ht="12.75" customHeight="1">
      <c r="B55" s="161"/>
    </row>
    <row r="56" ht="12.75" customHeight="1">
      <c r="B56" s="161"/>
    </row>
    <row r="57" ht="12.75" customHeight="1">
      <c r="B57" s="161"/>
    </row>
    <row r="58" ht="12.75" customHeight="1">
      <c r="B58" s="161"/>
    </row>
    <row r="59" ht="12.75" customHeight="1">
      <c r="B59" s="161"/>
    </row>
    <row r="60" ht="12.75" customHeight="1">
      <c r="B60" s="161"/>
    </row>
    <row r="61" ht="12.75" customHeight="1">
      <c r="B61" s="161"/>
    </row>
    <row r="62" ht="12.75" customHeight="1">
      <c r="B62" s="161"/>
    </row>
    <row r="63" ht="12.75" customHeight="1">
      <c r="B63" s="161"/>
    </row>
    <row r="64" ht="12.75" customHeight="1">
      <c r="B64" s="161"/>
    </row>
    <row r="65" ht="12.75" customHeight="1">
      <c r="B65" s="161"/>
    </row>
    <row r="66" ht="12.75" customHeight="1">
      <c r="B66" s="161"/>
    </row>
    <row r="67" ht="12.75" customHeight="1">
      <c r="B67" s="161"/>
    </row>
    <row r="68" ht="12.75" customHeight="1">
      <c r="B68" s="161"/>
    </row>
    <row r="69" ht="12.75" customHeight="1">
      <c r="B69" s="161"/>
    </row>
    <row r="70" ht="12.75" customHeight="1">
      <c r="B70" s="161"/>
    </row>
    <row r="71" ht="12.75" customHeight="1">
      <c r="B71" s="161"/>
    </row>
    <row r="72" ht="12.75" customHeight="1">
      <c r="B72" s="161"/>
    </row>
    <row r="73" ht="12.75" customHeight="1">
      <c r="B73" s="161"/>
    </row>
    <row r="74" ht="12.75" customHeight="1">
      <c r="B74" s="161"/>
    </row>
    <row r="75" ht="12.75" customHeight="1">
      <c r="B75" s="161"/>
    </row>
    <row r="76" ht="12.75" customHeight="1">
      <c r="B76" s="161"/>
    </row>
    <row r="77" ht="12.75" customHeight="1">
      <c r="B77" s="161"/>
    </row>
    <row r="78" ht="12.75" customHeight="1">
      <c r="B78" s="161"/>
    </row>
    <row r="79" ht="12.75" customHeight="1">
      <c r="B79" s="161"/>
    </row>
    <row r="80" ht="12.75" customHeight="1">
      <c r="B80" s="161"/>
    </row>
    <row r="81" ht="12.75" customHeight="1">
      <c r="B81" s="161"/>
    </row>
    <row r="82" ht="12.75" customHeight="1">
      <c r="B82" s="161"/>
    </row>
    <row r="83" ht="12.75" customHeight="1">
      <c r="B83" s="161"/>
    </row>
    <row r="84" ht="12.75" customHeight="1">
      <c r="B84" s="161"/>
    </row>
    <row r="85" ht="12.75" customHeight="1">
      <c r="B85" s="161"/>
    </row>
    <row r="86" ht="12.75" customHeight="1">
      <c r="B86" s="161"/>
    </row>
    <row r="87" ht="12.75" customHeight="1">
      <c r="B87" s="161"/>
    </row>
    <row r="88" ht="12.75" customHeight="1">
      <c r="B88" s="161"/>
    </row>
    <row r="89" ht="12.75" customHeight="1">
      <c r="B89" s="161"/>
    </row>
    <row r="90" ht="12.75" customHeight="1">
      <c r="B90" s="161"/>
    </row>
    <row r="91" ht="12.75" customHeight="1">
      <c r="B91" s="161"/>
    </row>
    <row r="92" ht="12.75" customHeight="1">
      <c r="B92" s="161"/>
    </row>
    <row r="93" ht="12.75" customHeight="1">
      <c r="B93" s="161"/>
    </row>
    <row r="94" ht="12.75" customHeight="1">
      <c r="B94" s="161"/>
    </row>
    <row r="95" ht="12.75" customHeight="1">
      <c r="B95" s="161"/>
    </row>
    <row r="96" ht="12.75" customHeight="1">
      <c r="B96" s="161"/>
    </row>
    <row r="97" ht="12.75" customHeight="1">
      <c r="B97" s="161"/>
    </row>
    <row r="98" ht="12.75" customHeight="1">
      <c r="B98" s="161"/>
    </row>
    <row r="99" ht="12.75" customHeight="1">
      <c r="B99" s="161"/>
    </row>
    <row r="100" ht="12.75" customHeight="1">
      <c r="B100" s="161"/>
    </row>
    <row r="101" ht="12.75" customHeight="1">
      <c r="B101" s="161"/>
    </row>
    <row r="102" ht="12.75" customHeight="1">
      <c r="B102" s="161"/>
    </row>
    <row r="103" ht="12.75" customHeight="1">
      <c r="B103" s="161"/>
    </row>
    <row r="104" ht="12.75" customHeight="1">
      <c r="B104" s="161"/>
    </row>
    <row r="105" ht="12.75" customHeight="1">
      <c r="B105" s="161"/>
    </row>
    <row r="106" ht="12.75" customHeight="1">
      <c r="B106" s="161"/>
    </row>
    <row r="107" ht="12.75" customHeight="1">
      <c r="B107" s="161"/>
    </row>
    <row r="108" ht="12.75" customHeight="1">
      <c r="B108" s="161"/>
    </row>
    <row r="109" ht="12.75" customHeight="1">
      <c r="B109" s="161"/>
    </row>
    <row r="110" ht="12.75" customHeight="1">
      <c r="B110" s="161"/>
    </row>
    <row r="111" ht="12.75" customHeight="1">
      <c r="B111" s="161"/>
    </row>
    <row r="112" ht="12.75" customHeight="1">
      <c r="B112" s="161"/>
    </row>
    <row r="113" ht="12.75" customHeight="1">
      <c r="B113" s="161"/>
    </row>
    <row r="114" ht="12.75" customHeight="1">
      <c r="B114" s="161"/>
    </row>
    <row r="115" ht="12.75" customHeight="1">
      <c r="B115" s="161"/>
    </row>
    <row r="116" ht="12.75" customHeight="1">
      <c r="B116" s="161"/>
    </row>
    <row r="117" ht="12.75" customHeight="1">
      <c r="B117" s="161"/>
    </row>
    <row r="118" ht="12.75" customHeight="1">
      <c r="B118" s="161"/>
    </row>
    <row r="119" ht="12.75" customHeight="1">
      <c r="B119" s="161"/>
    </row>
    <row r="120" ht="12.75" customHeight="1">
      <c r="B120" s="161"/>
    </row>
    <row r="121" ht="12.75" customHeight="1">
      <c r="B121" s="161"/>
    </row>
    <row r="122" ht="12.75" customHeight="1">
      <c r="B122" s="161"/>
    </row>
    <row r="123" ht="12.75" customHeight="1">
      <c r="B123" s="161"/>
    </row>
    <row r="124" ht="12.75" customHeight="1">
      <c r="B124" s="161"/>
    </row>
    <row r="125" ht="12.75" customHeight="1">
      <c r="B125" s="161"/>
    </row>
    <row r="126" ht="12.75" customHeight="1">
      <c r="B126" s="161"/>
    </row>
    <row r="127" ht="12.75" customHeight="1">
      <c r="B127" s="161"/>
    </row>
    <row r="128" ht="12.75" customHeight="1">
      <c r="B128" s="161"/>
    </row>
    <row r="129" ht="12.75" customHeight="1">
      <c r="B129" s="161"/>
    </row>
    <row r="130" ht="12.75" customHeight="1">
      <c r="B130" s="161"/>
    </row>
    <row r="131" ht="12.75" customHeight="1">
      <c r="B131" s="161"/>
    </row>
    <row r="132" ht="12.75" customHeight="1">
      <c r="B132" s="161"/>
    </row>
    <row r="133" ht="12.75" customHeight="1">
      <c r="B133" s="161"/>
    </row>
    <row r="134" ht="12.75" customHeight="1">
      <c r="B134" s="161"/>
    </row>
    <row r="135" ht="12.75" customHeight="1">
      <c r="B135" s="161"/>
    </row>
    <row r="136" ht="12.75" customHeight="1">
      <c r="B136" s="161"/>
    </row>
    <row r="137" ht="12.75" customHeight="1">
      <c r="B137" s="161"/>
    </row>
    <row r="138" ht="12.75" customHeight="1">
      <c r="B138" s="161"/>
    </row>
    <row r="139" ht="12.75" customHeight="1">
      <c r="B139" s="161"/>
    </row>
    <row r="140" ht="12.75" customHeight="1">
      <c r="B140" s="161"/>
    </row>
    <row r="141" ht="12.75" customHeight="1">
      <c r="B141" s="161"/>
    </row>
    <row r="142" ht="12.75" customHeight="1">
      <c r="B142" s="161"/>
    </row>
    <row r="143" ht="12.75" customHeight="1">
      <c r="B143" s="161"/>
    </row>
    <row r="144" ht="12.75" customHeight="1">
      <c r="B144" s="161"/>
    </row>
    <row r="145" ht="12.75" customHeight="1">
      <c r="B145" s="161"/>
    </row>
    <row r="146" ht="12.75" customHeight="1">
      <c r="B146" s="161"/>
    </row>
    <row r="147" ht="12.75" customHeight="1">
      <c r="B147" s="161"/>
    </row>
    <row r="148" ht="12.75" customHeight="1">
      <c r="B148" s="161"/>
    </row>
    <row r="149" ht="12.75" customHeight="1">
      <c r="B149" s="161"/>
    </row>
    <row r="150" ht="12.75" customHeight="1">
      <c r="B150" s="161"/>
    </row>
    <row r="151" ht="12.75" customHeight="1">
      <c r="B151" s="161"/>
    </row>
    <row r="152" ht="12.75" customHeight="1">
      <c r="B152" s="161"/>
    </row>
    <row r="153" ht="12.75" customHeight="1">
      <c r="B153" s="161"/>
    </row>
    <row r="154" ht="12.75" customHeight="1">
      <c r="B154" s="161"/>
    </row>
    <row r="155" ht="12.75" customHeight="1">
      <c r="B155" s="161"/>
    </row>
    <row r="156" ht="12.75" customHeight="1">
      <c r="B156" s="161"/>
    </row>
    <row r="157" ht="12.75" customHeight="1">
      <c r="B157" s="161"/>
    </row>
    <row r="158" ht="12.75" customHeight="1">
      <c r="B158" s="161"/>
    </row>
    <row r="159" ht="12.75" customHeight="1">
      <c r="B159" s="161"/>
    </row>
    <row r="160" ht="12.75" customHeight="1">
      <c r="B160" s="161"/>
    </row>
    <row r="161" ht="12.75" customHeight="1">
      <c r="B161" s="161"/>
    </row>
    <row r="162" ht="12.75" customHeight="1">
      <c r="B162" s="161"/>
    </row>
    <row r="163" ht="12.75" customHeight="1">
      <c r="B163" s="161"/>
    </row>
    <row r="164" ht="12.75" customHeight="1">
      <c r="B164" s="161"/>
    </row>
    <row r="165" ht="12.75" customHeight="1">
      <c r="B165" s="161"/>
    </row>
    <row r="166" ht="12.75" customHeight="1">
      <c r="B166" s="161"/>
    </row>
    <row r="167" ht="12.75" customHeight="1">
      <c r="B167" s="161"/>
    </row>
    <row r="168" ht="12.75" customHeight="1">
      <c r="B168" s="161"/>
    </row>
    <row r="169" ht="12.75" customHeight="1">
      <c r="B169" s="161"/>
    </row>
    <row r="170" ht="12.75" customHeight="1">
      <c r="B170" s="161"/>
    </row>
    <row r="171" ht="12.75" customHeight="1">
      <c r="B171" s="161"/>
    </row>
    <row r="172" ht="12.75" customHeight="1">
      <c r="B172" s="161"/>
    </row>
    <row r="173" ht="12.75" customHeight="1">
      <c r="B173" s="161"/>
    </row>
    <row r="174" ht="12.75" customHeight="1">
      <c r="B174" s="161"/>
    </row>
    <row r="175" ht="12.75" customHeight="1">
      <c r="B175" s="161"/>
    </row>
    <row r="176" ht="12.75" customHeight="1">
      <c r="B176" s="161"/>
    </row>
    <row r="177" ht="12.75" customHeight="1">
      <c r="B177" s="161"/>
    </row>
    <row r="178" ht="12.75" customHeight="1">
      <c r="B178" s="161"/>
    </row>
    <row r="179" ht="12.75" customHeight="1">
      <c r="B179" s="161"/>
    </row>
    <row r="180" ht="12.75" customHeight="1">
      <c r="B180" s="161"/>
    </row>
    <row r="181" ht="12.75" customHeight="1">
      <c r="B181" s="161"/>
    </row>
    <row r="182" ht="12.75" customHeight="1">
      <c r="B182" s="161"/>
    </row>
    <row r="183" ht="12.75" customHeight="1">
      <c r="B183" s="161"/>
    </row>
    <row r="184" ht="12.75" customHeight="1">
      <c r="B184" s="161"/>
    </row>
    <row r="185" ht="12.75" customHeight="1">
      <c r="B185" s="161"/>
    </row>
    <row r="186" ht="12.75" customHeight="1">
      <c r="B186" s="161"/>
    </row>
    <row r="187" ht="12.75" customHeight="1">
      <c r="B187" s="161"/>
    </row>
    <row r="188" ht="12.75" customHeight="1">
      <c r="B188" s="161"/>
    </row>
    <row r="189" ht="12.75" customHeight="1">
      <c r="B189" s="161"/>
    </row>
    <row r="190" ht="12.75" customHeight="1">
      <c r="B190" s="161"/>
    </row>
    <row r="191" ht="12.75" customHeight="1">
      <c r="B191" s="161"/>
    </row>
    <row r="192" ht="12.75" customHeight="1">
      <c r="B192" s="161"/>
    </row>
    <row r="193" ht="12.75" customHeight="1">
      <c r="B193" s="161"/>
    </row>
    <row r="194" ht="12.75" customHeight="1">
      <c r="B194" s="161"/>
    </row>
    <row r="195" ht="12.75" customHeight="1">
      <c r="B195" s="161"/>
    </row>
    <row r="196" ht="12.75" customHeight="1">
      <c r="B196" s="161"/>
    </row>
    <row r="197" ht="12.75" customHeight="1">
      <c r="B197" s="161"/>
    </row>
    <row r="198" ht="12.75" customHeight="1">
      <c r="B198" s="161"/>
    </row>
    <row r="199" ht="12.75" customHeight="1">
      <c r="B199" s="161"/>
    </row>
    <row r="200" ht="12.75" customHeight="1">
      <c r="B200" s="161"/>
    </row>
    <row r="201" ht="12.75" customHeight="1">
      <c r="B201" s="161"/>
    </row>
    <row r="202" ht="12.75" customHeight="1">
      <c r="B202" s="161"/>
    </row>
    <row r="203" ht="12.75" customHeight="1">
      <c r="B203" s="161"/>
    </row>
    <row r="204" ht="12.75" customHeight="1">
      <c r="B204" s="161"/>
    </row>
    <row r="205" ht="12.75" customHeight="1">
      <c r="B205" s="161"/>
    </row>
    <row r="206" ht="12.75" customHeight="1">
      <c r="B206" s="161"/>
    </row>
    <row r="207" ht="12.75" customHeight="1">
      <c r="B207" s="161"/>
    </row>
    <row r="208" ht="12.75" customHeight="1">
      <c r="B208" s="161"/>
    </row>
    <row r="209" ht="12.75" customHeight="1">
      <c r="B209" s="161"/>
    </row>
    <row r="210" ht="12.75" customHeight="1">
      <c r="B210" s="161"/>
    </row>
    <row r="211" ht="12.75" customHeight="1">
      <c r="B211" s="161"/>
    </row>
    <row r="212" ht="12.75" customHeight="1">
      <c r="B212" s="161"/>
    </row>
    <row r="213" ht="12.75" customHeight="1">
      <c r="B213" s="161"/>
    </row>
    <row r="214" ht="12.75" customHeight="1">
      <c r="B214" s="161"/>
    </row>
    <row r="215" ht="12.75" customHeight="1">
      <c r="B215" s="161"/>
    </row>
    <row r="216" ht="12.75" customHeight="1">
      <c r="B216" s="161"/>
    </row>
    <row r="217" ht="12.75" customHeight="1">
      <c r="B217" s="161"/>
    </row>
    <row r="218" ht="12.75" customHeight="1">
      <c r="B218" s="161"/>
    </row>
    <row r="219" ht="12.75" customHeight="1">
      <c r="B219" s="161"/>
    </row>
    <row r="220" ht="12.75" customHeight="1">
      <c r="B220" s="161"/>
    </row>
    <row r="221" ht="12.75" customHeight="1">
      <c r="B221" s="161"/>
    </row>
    <row r="222" ht="12.75" customHeight="1">
      <c r="B222" s="161"/>
    </row>
    <row r="223" ht="12.75" customHeight="1">
      <c r="B223" s="161"/>
    </row>
    <row r="224" ht="12.75" customHeight="1">
      <c r="B224" s="161"/>
    </row>
    <row r="225" ht="12.75" customHeight="1">
      <c r="B225" s="161"/>
    </row>
    <row r="226" ht="12.75" customHeight="1">
      <c r="B226" s="161"/>
    </row>
    <row r="227" ht="12.75" customHeight="1">
      <c r="B227" s="161"/>
    </row>
    <row r="228" ht="12.75" customHeight="1">
      <c r="B228" s="161"/>
    </row>
    <row r="229" ht="12.75" customHeight="1">
      <c r="B229" s="161"/>
    </row>
    <row r="230" ht="12.75" customHeight="1">
      <c r="B230" s="161"/>
    </row>
    <row r="231" ht="12.75" customHeight="1">
      <c r="B231" s="161"/>
    </row>
    <row r="232" ht="12.75" customHeight="1">
      <c r="B232" s="161"/>
    </row>
    <row r="233" ht="12.75" customHeight="1">
      <c r="B233" s="161"/>
    </row>
    <row r="234" ht="12.75" customHeight="1">
      <c r="B234" s="161"/>
    </row>
    <row r="235" ht="12.75" customHeight="1">
      <c r="B235" s="161"/>
    </row>
    <row r="236" ht="12.75" customHeight="1">
      <c r="B236" s="161"/>
    </row>
    <row r="237" ht="12.75" customHeight="1">
      <c r="B237" s="161"/>
    </row>
    <row r="238" ht="12.75" customHeight="1">
      <c r="B238" s="161"/>
    </row>
    <row r="239" ht="12.75" customHeight="1">
      <c r="B239" s="161"/>
    </row>
    <row r="240" ht="12.75" customHeight="1">
      <c r="B240" s="161"/>
    </row>
    <row r="241" ht="12.75" customHeight="1">
      <c r="B241" s="16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41:G41">
    <cfRule type="cellIs" dxfId="0" priority="1" operator="notEqual">
      <formula>0</formula>
    </cfRule>
  </conditionalFormatting>
  <printOptions/>
  <pageMargins bottom="0.984251969" footer="0.0" header="0.0" left="0.787401575" right="0.787401575" top="0.984251969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BD8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 outlineLevelCol="1" outlineLevelRow="1"/>
  <cols>
    <col customWidth="1" min="1" max="1" width="3.88"/>
    <col customWidth="1" min="2" max="2" width="45.88"/>
    <col customWidth="1" min="3" max="3" width="18.38"/>
    <col customWidth="1" min="4" max="4" width="13.0"/>
    <col customWidth="1" min="5" max="8" width="11.25" outlineLevel="1"/>
    <col customWidth="1" min="9" max="9" width="12.88"/>
    <col customWidth="1" hidden="1" min="10" max="13" width="11.88" outlineLevel="1"/>
    <col collapsed="1" customWidth="1" min="14" max="14" width="12.88"/>
    <col customWidth="1" min="15" max="16" width="12.88"/>
    <col customWidth="1" min="17" max="17" width="9.38"/>
    <col customWidth="1" min="18" max="19" width="10.75"/>
    <col customWidth="1" min="20" max="20" width="10.0"/>
    <col customWidth="1" min="21" max="21" width="11.75"/>
    <col customWidth="1" min="22" max="26" width="11.38"/>
  </cols>
  <sheetData>
    <row r="1" ht="6.75" customHeight="1">
      <c r="A1" s="612"/>
      <c r="B1" s="613"/>
      <c r="C1" s="614"/>
      <c r="D1" s="614"/>
      <c r="E1" s="612"/>
      <c r="F1" s="479"/>
      <c r="G1" s="612"/>
      <c r="H1" s="612"/>
      <c r="I1" s="612"/>
      <c r="J1" s="615"/>
      <c r="K1" s="612"/>
      <c r="L1" s="612"/>
      <c r="M1" s="612"/>
      <c r="N1" s="616"/>
      <c r="O1" s="612"/>
      <c r="P1" s="612"/>
      <c r="Q1" s="617"/>
      <c r="R1" s="612"/>
      <c r="S1" s="612"/>
      <c r="T1" s="612"/>
      <c r="U1" s="612"/>
      <c r="V1" s="612"/>
      <c r="W1" s="612"/>
      <c r="X1" s="612"/>
      <c r="Y1" s="612"/>
      <c r="Z1" s="612"/>
    </row>
    <row r="2" ht="24.75" customHeight="1">
      <c r="A2" s="482"/>
      <c r="B2" s="34" t="s">
        <v>655</v>
      </c>
      <c r="C2" s="35"/>
      <c r="D2" s="36"/>
      <c r="E2" s="37"/>
      <c r="F2" s="37"/>
      <c r="G2" s="37"/>
      <c r="H2" s="37"/>
      <c r="I2" s="37"/>
      <c r="J2" s="37"/>
      <c r="K2" s="37"/>
      <c r="L2" s="619"/>
      <c r="M2" s="37"/>
      <c r="N2" s="37"/>
      <c r="O2" s="37"/>
      <c r="P2" s="619"/>
      <c r="Q2" s="620"/>
      <c r="R2" s="910"/>
      <c r="S2" s="482"/>
      <c r="T2" s="482"/>
      <c r="U2" s="482"/>
      <c r="V2" s="482"/>
      <c r="W2" s="482"/>
      <c r="X2" s="482"/>
      <c r="Y2" s="482"/>
      <c r="Z2" s="482"/>
    </row>
    <row r="3" ht="5.25" customHeight="1">
      <c r="A3" s="621"/>
      <c r="B3" s="622"/>
      <c r="C3" s="622"/>
      <c r="D3" s="622"/>
      <c r="E3" s="621"/>
      <c r="F3" s="621"/>
      <c r="G3" s="621"/>
      <c r="H3" s="621"/>
      <c r="I3" s="621"/>
      <c r="J3" s="621"/>
      <c r="K3" s="621"/>
      <c r="L3" s="623"/>
      <c r="M3" s="621"/>
      <c r="N3" s="621"/>
      <c r="O3" s="621"/>
      <c r="P3" s="621"/>
      <c r="Q3" s="621"/>
      <c r="R3" s="911"/>
      <c r="S3" s="621"/>
      <c r="T3" s="621"/>
      <c r="U3" s="621"/>
      <c r="V3" s="621"/>
      <c r="W3" s="621"/>
      <c r="X3" s="621"/>
      <c r="Y3" s="621"/>
      <c r="Z3" s="621"/>
    </row>
    <row r="4" ht="31.5" customHeight="1">
      <c r="A4" s="621"/>
      <c r="B4" s="621"/>
      <c r="C4" s="624"/>
      <c r="D4" s="625">
        <f>YEAR(EDATE(date_début,-12))</f>
        <v>2024</v>
      </c>
      <c r="E4" s="626">
        <f>YEAR(date_début)</f>
        <v>2025</v>
      </c>
      <c r="F4" s="123"/>
      <c r="G4" s="123"/>
      <c r="H4" s="123"/>
      <c r="I4" s="121"/>
      <c r="J4" s="626">
        <f>YEAR(EDATE(date_début,12))</f>
        <v>2026</v>
      </c>
      <c r="K4" s="123"/>
      <c r="L4" s="123"/>
      <c r="M4" s="123"/>
      <c r="N4" s="123"/>
      <c r="O4" s="741">
        <f>YEAR(EDATE(date_début,24))</f>
        <v>2027</v>
      </c>
      <c r="P4" s="625">
        <f>YEAR(EDATE(date_début,36))</f>
        <v>2028</v>
      </c>
      <c r="Q4" s="621"/>
      <c r="R4" s="621"/>
      <c r="S4" s="621"/>
      <c r="T4" s="621"/>
      <c r="U4" s="621"/>
      <c r="V4" s="621"/>
      <c r="W4" s="621"/>
      <c r="X4" s="621"/>
      <c r="Y4" s="621"/>
      <c r="Z4" s="621"/>
    </row>
    <row r="5" ht="18.75" customHeight="1">
      <c r="A5" s="621"/>
      <c r="B5" s="177"/>
      <c r="C5" s="621"/>
      <c r="D5" s="621"/>
      <c r="E5" s="628" t="s">
        <v>492</v>
      </c>
      <c r="F5" s="629" t="s">
        <v>493</v>
      </c>
      <c r="G5" s="629" t="s">
        <v>494</v>
      </c>
      <c r="H5" s="629" t="s">
        <v>495</v>
      </c>
      <c r="I5" s="630"/>
      <c r="J5" s="628" t="s">
        <v>492</v>
      </c>
      <c r="K5" s="629" t="s">
        <v>493</v>
      </c>
      <c r="L5" s="629" t="s">
        <v>494</v>
      </c>
      <c r="M5" s="629" t="s">
        <v>495</v>
      </c>
      <c r="N5" s="630"/>
      <c r="O5" s="630"/>
      <c r="P5" s="630"/>
      <c r="Q5" s="621"/>
      <c r="R5" s="621"/>
      <c r="S5" s="621"/>
      <c r="T5" s="621"/>
      <c r="U5" s="621"/>
      <c r="V5" s="621"/>
      <c r="W5" s="621"/>
      <c r="X5" s="621"/>
      <c r="Y5" s="621"/>
      <c r="Z5" s="621"/>
    </row>
    <row r="6" ht="24.75" customHeight="1">
      <c r="A6" s="496"/>
      <c r="B6" s="181" t="s">
        <v>640</v>
      </c>
      <c r="C6" s="912"/>
      <c r="D6" s="912"/>
      <c r="E6" s="913"/>
      <c r="F6" s="913"/>
      <c r="G6" s="913"/>
      <c r="H6" s="913"/>
      <c r="I6" s="913"/>
      <c r="J6" s="913"/>
      <c r="K6" s="913"/>
      <c r="L6" s="913"/>
      <c r="M6" s="913"/>
      <c r="N6" s="913"/>
      <c r="O6" s="913"/>
      <c r="P6" s="913"/>
      <c r="Q6" s="914"/>
      <c r="R6" s="915"/>
      <c r="S6" s="915"/>
      <c r="T6" s="915"/>
      <c r="U6" s="915"/>
      <c r="V6" s="915"/>
      <c r="W6" s="915"/>
      <c r="X6" s="915"/>
      <c r="Y6" s="496"/>
      <c r="Z6" s="496"/>
    </row>
    <row r="7" ht="15.0" customHeight="1">
      <c r="A7" s="498"/>
      <c r="B7" s="916" t="s">
        <v>656</v>
      </c>
      <c r="C7" s="917"/>
      <c r="D7" s="918"/>
      <c r="E7" s="500">
        <v>30000.0</v>
      </c>
      <c r="F7" s="501"/>
      <c r="G7" s="500"/>
      <c r="H7" s="501"/>
      <c r="I7" s="638">
        <f t="shared" ref="I7:I9" si="1">SUM(E7:H7)</f>
        <v>30000</v>
      </c>
      <c r="J7" s="501"/>
      <c r="K7" s="501"/>
      <c r="L7" s="501"/>
      <c r="M7" s="501"/>
      <c r="N7" s="651">
        <f t="shared" ref="N7:N9" si="2">SUM(J7:M7)</f>
        <v>0</v>
      </c>
      <c r="O7" s="855"/>
      <c r="P7" s="501"/>
      <c r="Q7" s="725"/>
      <c r="R7" s="915"/>
      <c r="S7" s="915"/>
      <c r="T7" s="915"/>
      <c r="U7" s="915"/>
      <c r="V7" s="915"/>
      <c r="W7" s="915"/>
      <c r="X7" s="915"/>
      <c r="Y7" s="498"/>
      <c r="Z7" s="498"/>
    </row>
    <row r="8" ht="15.0" customHeight="1">
      <c r="A8" s="498"/>
      <c r="B8" s="919" t="s">
        <v>657</v>
      </c>
      <c r="C8" s="917"/>
      <c r="D8" s="855"/>
      <c r="E8" s="500">
        <v>70000.0</v>
      </c>
      <c r="F8" s="500"/>
      <c r="G8" s="500"/>
      <c r="H8" s="501"/>
      <c r="I8" s="638">
        <f t="shared" si="1"/>
        <v>70000</v>
      </c>
      <c r="J8" s="501"/>
      <c r="K8" s="501"/>
      <c r="L8" s="501"/>
      <c r="M8" s="500"/>
      <c r="N8" s="651">
        <f t="shared" si="2"/>
        <v>0</v>
      </c>
      <c r="O8" s="855"/>
      <c r="P8" s="501"/>
      <c r="Q8" s="725"/>
      <c r="R8" s="915"/>
      <c r="S8" s="915"/>
      <c r="T8" s="915"/>
      <c r="U8" s="915"/>
      <c r="V8" s="915"/>
      <c r="W8" s="915"/>
      <c r="X8" s="915"/>
      <c r="Y8" s="498"/>
      <c r="Z8" s="498"/>
    </row>
    <row r="9" ht="15.0" customHeight="1">
      <c r="A9" s="498"/>
      <c r="B9" s="222" t="s">
        <v>658</v>
      </c>
      <c r="C9" s="829"/>
      <c r="D9" s="856"/>
      <c r="E9" s="540"/>
      <c r="F9" s="540"/>
      <c r="G9" s="540"/>
      <c r="H9" s="540"/>
      <c r="I9" s="829">
        <f t="shared" si="1"/>
        <v>0</v>
      </c>
      <c r="J9" s="540"/>
      <c r="K9" s="540"/>
      <c r="L9" s="540"/>
      <c r="M9" s="920"/>
      <c r="N9" s="827">
        <f t="shared" si="2"/>
        <v>0</v>
      </c>
      <c r="O9" s="856"/>
      <c r="P9" s="540"/>
      <c r="Q9" s="725"/>
      <c r="R9" s="915"/>
      <c r="S9" s="915"/>
      <c r="T9" s="915"/>
      <c r="U9" s="915"/>
      <c r="V9" s="915"/>
      <c r="W9" s="915"/>
      <c r="X9" s="915"/>
      <c r="Y9" s="498"/>
      <c r="Z9" s="498"/>
    </row>
    <row r="10" ht="15.0" customHeight="1">
      <c r="A10" s="498"/>
      <c r="B10" s="667" t="s">
        <v>659</v>
      </c>
      <c r="C10" s="668"/>
      <c r="D10" s="921">
        <f t="shared" ref="D10:P10" si="3">SUM(D7:D9)</f>
        <v>0</v>
      </c>
      <c r="E10" s="545">
        <f t="shared" si="3"/>
        <v>100000</v>
      </c>
      <c r="F10" s="545">
        <f t="shared" si="3"/>
        <v>0</v>
      </c>
      <c r="G10" s="545">
        <f t="shared" si="3"/>
        <v>0</v>
      </c>
      <c r="H10" s="545">
        <f t="shared" si="3"/>
        <v>0</v>
      </c>
      <c r="I10" s="547">
        <f t="shared" si="3"/>
        <v>100000</v>
      </c>
      <c r="J10" s="545">
        <f t="shared" si="3"/>
        <v>0</v>
      </c>
      <c r="K10" s="545">
        <f t="shared" si="3"/>
        <v>0</v>
      </c>
      <c r="L10" s="545">
        <f t="shared" si="3"/>
        <v>0</v>
      </c>
      <c r="M10" s="545">
        <f t="shared" si="3"/>
        <v>0</v>
      </c>
      <c r="N10" s="547">
        <f t="shared" si="3"/>
        <v>0</v>
      </c>
      <c r="O10" s="547">
        <f t="shared" si="3"/>
        <v>0</v>
      </c>
      <c r="P10" s="20">
        <f t="shared" si="3"/>
        <v>0</v>
      </c>
      <c r="Q10" s="725"/>
      <c r="R10" s="915"/>
      <c r="S10" s="915"/>
      <c r="T10" s="915"/>
      <c r="U10" s="915"/>
      <c r="V10" s="915"/>
      <c r="W10" s="915"/>
      <c r="X10" s="915"/>
      <c r="Y10" s="498"/>
      <c r="Z10" s="498"/>
    </row>
    <row r="11" ht="15.0" customHeight="1">
      <c r="A11" s="498"/>
      <c r="B11" s="922"/>
      <c r="C11" s="923"/>
      <c r="D11" s="923"/>
      <c r="E11" s="923"/>
      <c r="F11" s="923"/>
      <c r="G11" s="923"/>
      <c r="H11" s="924"/>
      <c r="I11" s="314">
        <f>IF(SUM(E10:H10)=I10,0,I10-SUM(E10:H10))</f>
        <v>0</v>
      </c>
      <c r="J11" s="923"/>
      <c r="K11" s="923"/>
      <c r="L11" s="923"/>
      <c r="M11" s="923"/>
      <c r="N11" s="925">
        <f>IF(SUM(J10:M10)=N10,0,N10-SUM(J10:M10))</f>
        <v>0</v>
      </c>
      <c r="O11" s="923"/>
      <c r="P11" s="923"/>
      <c r="Q11" s="725"/>
      <c r="R11" s="915"/>
      <c r="S11" s="915"/>
      <c r="T11" s="915"/>
      <c r="U11" s="915"/>
      <c r="V11" s="915"/>
      <c r="W11" s="915"/>
      <c r="X11" s="915"/>
      <c r="Y11" s="498"/>
      <c r="Z11" s="498"/>
    </row>
    <row r="12" ht="24.75" customHeight="1">
      <c r="A12" s="496"/>
      <c r="B12" s="181" t="s">
        <v>660</v>
      </c>
      <c r="C12" s="912"/>
      <c r="D12" s="912"/>
      <c r="E12" s="913"/>
      <c r="F12" s="913"/>
      <c r="G12" s="913"/>
      <c r="H12" s="913"/>
      <c r="I12" s="913"/>
      <c r="J12" s="913"/>
      <c r="K12" s="913"/>
      <c r="L12" s="913"/>
      <c r="M12" s="913"/>
      <c r="N12" s="913"/>
      <c r="O12" s="913"/>
      <c r="P12" s="913"/>
      <c r="Q12" s="914"/>
      <c r="R12" s="915"/>
      <c r="S12" s="915"/>
      <c r="T12" s="915"/>
      <c r="U12" s="915"/>
      <c r="V12" s="915"/>
      <c r="W12" s="915"/>
      <c r="X12" s="915"/>
      <c r="Y12" s="496"/>
      <c r="Z12" s="496"/>
    </row>
    <row r="13" ht="15.0" customHeight="1">
      <c r="A13" s="498"/>
      <c r="B13" s="849" t="s">
        <v>661</v>
      </c>
      <c r="C13" s="851"/>
      <c r="D13" s="926"/>
      <c r="E13" s="540"/>
      <c r="F13" s="540"/>
      <c r="G13" s="540"/>
      <c r="H13" s="540"/>
      <c r="I13" s="829">
        <f>SUM(D13:H13)</f>
        <v>0</v>
      </c>
      <c r="J13" s="540"/>
      <c r="K13" s="927"/>
      <c r="L13" s="927"/>
      <c r="M13" s="928"/>
      <c r="N13" s="929">
        <f>SUM(J13:M13)</f>
        <v>0</v>
      </c>
      <c r="O13" s="930"/>
      <c r="P13" s="927"/>
      <c r="Q13" s="725"/>
      <c r="R13" s="915"/>
      <c r="S13" s="915"/>
      <c r="T13" s="915"/>
      <c r="U13" s="915"/>
      <c r="V13" s="915"/>
      <c r="W13" s="915"/>
      <c r="X13" s="915"/>
      <c r="Y13" s="498"/>
      <c r="Z13" s="498"/>
    </row>
    <row r="14" ht="13.5" customHeight="1">
      <c r="A14" s="2"/>
      <c r="B14" s="667" t="s">
        <v>662</v>
      </c>
      <c r="C14" s="668"/>
      <c r="D14" s="931"/>
      <c r="E14" s="545" t="str">
        <f t="shared" ref="E14:H14" si="4">D13</f>
        <v/>
      </c>
      <c r="F14" s="545" t="str">
        <f t="shared" si="4"/>
        <v/>
      </c>
      <c r="G14" s="545" t="str">
        <f t="shared" si="4"/>
        <v/>
      </c>
      <c r="H14" s="545" t="str">
        <f t="shared" si="4"/>
        <v/>
      </c>
      <c r="I14" s="547">
        <f>SUM(I13)</f>
        <v>0</v>
      </c>
      <c r="J14" s="545" t="str">
        <f t="shared" ref="J14:M14" si="5">J13</f>
        <v/>
      </c>
      <c r="K14" s="545" t="str">
        <f t="shared" si="5"/>
        <v/>
      </c>
      <c r="L14" s="545" t="str">
        <f t="shared" si="5"/>
        <v/>
      </c>
      <c r="M14" s="545" t="str">
        <f t="shared" si="5"/>
        <v/>
      </c>
      <c r="N14" s="932">
        <f>SUM(N13)</f>
        <v>0</v>
      </c>
      <c r="O14" s="547"/>
      <c r="P14" s="20"/>
      <c r="Q14" s="916"/>
      <c r="R14" s="915"/>
      <c r="S14" s="915"/>
      <c r="T14" s="915"/>
      <c r="U14" s="915"/>
      <c r="V14" s="915"/>
      <c r="W14" s="915"/>
      <c r="X14" s="915"/>
      <c r="Y14" s="2"/>
      <c r="Z14" s="2"/>
    </row>
    <row r="15" ht="15.0" customHeight="1" outlineLevel="1">
      <c r="A15" s="2"/>
      <c r="B15" s="293" t="s">
        <v>663</v>
      </c>
      <c r="C15" s="933" t="str">
        <f>Bilan!C31</f>
        <v/>
      </c>
      <c r="D15" s="918"/>
      <c r="E15" s="934"/>
      <c r="F15" s="934"/>
      <c r="G15" s="934"/>
      <c r="H15" s="935"/>
      <c r="I15" s="936"/>
      <c r="J15" s="934"/>
      <c r="K15" s="934"/>
      <c r="L15" s="934"/>
      <c r="M15" s="935"/>
      <c r="N15" s="937"/>
      <c r="O15" s="936"/>
      <c r="P15" s="934"/>
      <c r="Q15" s="2"/>
      <c r="R15" s="938"/>
      <c r="S15" s="938"/>
      <c r="T15" s="938"/>
      <c r="U15" s="938"/>
      <c r="V15" s="938"/>
      <c r="W15" s="938"/>
      <c r="X15" s="938"/>
      <c r="Y15" s="2"/>
      <c r="Z15" s="2"/>
    </row>
    <row r="16" ht="15.0" customHeight="1" outlineLevel="1">
      <c r="A16" s="2"/>
      <c r="B16" s="293" t="s">
        <v>664</v>
      </c>
      <c r="C16" s="917"/>
      <c r="D16" s="939"/>
      <c r="E16" s="651"/>
      <c r="F16" s="651"/>
      <c r="G16" s="651"/>
      <c r="H16" s="652"/>
      <c r="I16" s="638"/>
      <c r="J16" s="651"/>
      <c r="K16" s="651"/>
      <c r="L16" s="651"/>
      <c r="M16" s="652"/>
      <c r="N16" s="940"/>
      <c r="O16" s="638"/>
      <c r="P16" s="651"/>
      <c r="Q16" s="2"/>
      <c r="R16" s="938"/>
      <c r="S16" s="938"/>
      <c r="T16" s="938"/>
      <c r="U16" s="938"/>
      <c r="V16" s="938"/>
      <c r="W16" s="938"/>
      <c r="X16" s="938"/>
      <c r="Y16" s="2"/>
      <c r="Z16" s="2"/>
    </row>
    <row r="17" ht="15.0" customHeight="1" outlineLevel="1">
      <c r="A17" s="2"/>
      <c r="B17" s="941" t="s">
        <v>665</v>
      </c>
      <c r="C17" s="942"/>
      <c r="D17" s="943"/>
      <c r="E17" s="827"/>
      <c r="F17" s="827"/>
      <c r="G17" s="827"/>
      <c r="H17" s="828"/>
      <c r="I17" s="829"/>
      <c r="J17" s="827"/>
      <c r="K17" s="827"/>
      <c r="L17" s="827"/>
      <c r="M17" s="828"/>
      <c r="N17" s="944"/>
      <c r="O17" s="829"/>
      <c r="P17" s="827"/>
      <c r="Q17" s="2"/>
      <c r="R17" s="938"/>
      <c r="S17" s="938"/>
      <c r="T17" s="938"/>
      <c r="U17" s="938"/>
      <c r="V17" s="938"/>
      <c r="W17" s="938"/>
      <c r="X17" s="938"/>
      <c r="Y17" s="2"/>
      <c r="Z17" s="2"/>
    </row>
    <row r="18" ht="15.0" customHeight="1">
      <c r="A18" s="2"/>
      <c r="B18" s="667" t="s">
        <v>666</v>
      </c>
      <c r="C18" s="668"/>
      <c r="D18" s="945"/>
      <c r="E18" s="545">
        <f t="shared" ref="E18:P18" si="6">E16+E17</f>
        <v>0</v>
      </c>
      <c r="F18" s="545">
        <f t="shared" si="6"/>
        <v>0</v>
      </c>
      <c r="G18" s="545">
        <f t="shared" si="6"/>
        <v>0</v>
      </c>
      <c r="H18" s="546">
        <f t="shared" si="6"/>
        <v>0</v>
      </c>
      <c r="I18" s="547">
        <f t="shared" si="6"/>
        <v>0</v>
      </c>
      <c r="J18" s="545">
        <f t="shared" si="6"/>
        <v>0</v>
      </c>
      <c r="K18" s="545">
        <f t="shared" si="6"/>
        <v>0</v>
      </c>
      <c r="L18" s="545">
        <f t="shared" si="6"/>
        <v>0</v>
      </c>
      <c r="M18" s="546">
        <f t="shared" si="6"/>
        <v>0</v>
      </c>
      <c r="N18" s="932">
        <f t="shared" si="6"/>
        <v>0</v>
      </c>
      <c r="O18" s="547">
        <f t="shared" si="6"/>
        <v>0</v>
      </c>
      <c r="P18" s="20">
        <f t="shared" si="6"/>
        <v>0</v>
      </c>
      <c r="Q18" s="916"/>
      <c r="R18" s="915"/>
      <c r="S18" s="915"/>
      <c r="T18" s="915"/>
      <c r="U18" s="915"/>
      <c r="V18" s="915"/>
      <c r="W18" s="915"/>
      <c r="X18" s="915"/>
      <c r="Y18" s="2"/>
      <c r="Z18" s="2"/>
    </row>
    <row r="19" ht="15.0" customHeight="1">
      <c r="A19" s="2"/>
      <c r="B19" s="946"/>
      <c r="C19" s="947"/>
      <c r="D19" s="947"/>
      <c r="E19" s="947"/>
      <c r="F19" s="947"/>
      <c r="G19" s="947"/>
      <c r="H19" s="947"/>
      <c r="I19" s="947"/>
      <c r="J19" s="947"/>
      <c r="K19" s="947"/>
      <c r="L19" s="947"/>
      <c r="M19" s="947"/>
      <c r="N19" s="947"/>
      <c r="O19" s="947"/>
      <c r="P19" s="947"/>
      <c r="Q19" s="724"/>
      <c r="R19" s="915"/>
      <c r="S19" s="915"/>
      <c r="T19" s="915"/>
      <c r="U19" s="915"/>
      <c r="V19" s="915"/>
      <c r="W19" s="915"/>
      <c r="X19" s="915"/>
      <c r="Y19" s="2"/>
      <c r="Z19" s="2"/>
    </row>
    <row r="20" ht="24.75" customHeight="1">
      <c r="A20" s="496"/>
      <c r="B20" s="948" t="s">
        <v>667</v>
      </c>
      <c r="C20" s="949"/>
      <c r="D20" s="949"/>
      <c r="E20" s="950"/>
      <c r="F20" s="950"/>
      <c r="G20" s="950"/>
      <c r="H20" s="950"/>
      <c r="I20" s="950"/>
      <c r="J20" s="950"/>
      <c r="K20" s="950"/>
      <c r="L20" s="950"/>
      <c r="M20" s="950"/>
      <c r="N20" s="950"/>
      <c r="O20" s="950"/>
      <c r="P20" s="950"/>
      <c r="Q20" s="914"/>
      <c r="R20" s="915"/>
      <c r="S20" s="915"/>
      <c r="T20" s="915"/>
      <c r="U20" s="915"/>
      <c r="V20" s="915"/>
      <c r="W20" s="915"/>
      <c r="X20" s="915"/>
      <c r="Y20" s="496"/>
      <c r="Z20" s="496"/>
    </row>
    <row r="21" ht="21.0" customHeight="1">
      <c r="A21" s="887"/>
      <c r="B21" s="951" t="s">
        <v>668</v>
      </c>
      <c r="C21" s="951"/>
      <c r="D21" s="951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952"/>
      <c r="R21" s="915"/>
      <c r="S21" s="915"/>
      <c r="T21" s="915"/>
      <c r="U21" s="915"/>
      <c r="V21" s="915"/>
      <c r="W21" s="915"/>
      <c r="X21" s="915"/>
      <c r="Y21" s="887"/>
      <c r="Z21" s="887"/>
    </row>
    <row r="22" ht="15.0" customHeight="1">
      <c r="A22" s="498"/>
      <c r="B22" s="916" t="s">
        <v>669</v>
      </c>
      <c r="C22" s="953"/>
      <c r="D22" s="954">
        <f>IF(YEAR('Financement - Emprunt 1'!$C$6)=Financements!$D$4,'Financement - Emprunt 1'!$C$5,0)</f>
        <v>0</v>
      </c>
      <c r="E22" s="955">
        <f>IF(AND(YEAR('Financement - Emprunt 1'!$C$6)=Financements!$E$4,MONTH('Financement - Emprunt 1'!$C$6)&lt;=3)=TRUE,'Financement - Emprunt 1'!$C$5,0)</f>
        <v>0</v>
      </c>
      <c r="F22" s="899">
        <f>IF(AND(YEAR('Financement - Emprunt 1'!$C$6)=Financements!$E$4,AND(MONTH('Financement - Emprunt 1'!$C$6)&gt;3,MONTH('Financement - Emprunt 1'!$C$6)&lt;=6)=TRUE)=TRUE,'Financement - Emprunt 1'!$C$5,0)</f>
        <v>122000</v>
      </c>
      <c r="G22" s="899">
        <f>IF(AND(YEAR('Financement - Emprunt 1'!$C$6)=Financements!$E$4,AND(MONTH('Financement - Emprunt 1'!$C$6)&gt;6,MONTH('Financement - Emprunt 1'!$C$6)&lt;=9)=TRUE)=TRUE,'Financement - Emprunt 1'!$C$5,0)</f>
        <v>0</v>
      </c>
      <c r="H22" s="956">
        <f>IF(AND(YEAR('Financement - Emprunt 1'!$C$6)=Financements!$E$4,AND(MONTH('Financement - Emprunt 1'!$C$6)&gt;9,MONTH('Financement - Emprunt 1'!$C$6)&lt;=12)=TRUE)=TRUE,'Financement - Emprunt 1'!$C$5,0)</f>
        <v>0</v>
      </c>
      <c r="I22" s="638">
        <f t="shared" ref="I22:I24" si="7">SUM(E22:H22)</f>
        <v>122000</v>
      </c>
      <c r="J22" s="955">
        <f>IF(AND(YEAR('Financement - Emprunt 1'!$C$6)=Financements!$J$4,MONTH('Financement - Emprunt 1'!$C$6)&lt;=3)=TRUE,'Financement - Emprunt 1'!$C$5,0)</f>
        <v>0</v>
      </c>
      <c r="K22" s="899">
        <f>IF(AND(YEAR('Financement - Emprunt 1'!$C$6)=Financements!$J$4,AND(MONTH('Financement - Emprunt 1'!$C$6)&gt;3,MONTH('Financement - Emprunt 1'!$C$6)&lt;=6)=TRUE)=TRUE,'Financement - Emprunt 1'!$C$5,0)</f>
        <v>0</v>
      </c>
      <c r="L22" s="899">
        <f>IF(AND(YEAR('Financement - Emprunt 1'!$C$6)=Financements!$J$4,AND(MONTH('Financement - Emprunt 1'!$C$6)&gt;6,MONTH('Financement - Emprunt 1'!$C$6)&lt;=9)=TRUE)=TRUE,'Financement - Emprunt 1'!$C$5,0)</f>
        <v>0</v>
      </c>
      <c r="M22" s="956">
        <f>IF(AND(YEAR('Financement - Emprunt 1'!$C$6)=Financements!$J$4,AND(MONTH('Financement - Emprunt 1'!$C$6)&gt;9,MONTH('Financement - Emprunt 1'!$C$6)&lt;=12)=TRUE)=TRUE,'Financement - Emprunt 1'!$C$5,0)</f>
        <v>0</v>
      </c>
      <c r="N22" s="651">
        <f t="shared" ref="N22:N24" si="8">SUM(J22:M22)</f>
        <v>0</v>
      </c>
      <c r="O22" s="954">
        <f>IF(YEAR('Financement - Emprunt 1'!$C$6)=Financements!$O$4,'Financement - Emprunt 1'!$C$5,0)</f>
        <v>0</v>
      </c>
      <c r="P22" s="957">
        <f>IF(YEAR('Financement - Emprunt 1'!$C$6)=Financements!$P$4,'Financement - Emprunt 1'!$C$5,0)</f>
        <v>0</v>
      </c>
      <c r="Q22" s="725"/>
      <c r="R22" s="915"/>
      <c r="S22" s="915"/>
      <c r="T22" s="915"/>
      <c r="U22" s="915"/>
      <c r="V22" s="915"/>
      <c r="W22" s="915"/>
      <c r="X22" s="915"/>
      <c r="Y22" s="498"/>
      <c r="Z22" s="498"/>
    </row>
    <row r="23" ht="15.0" customHeight="1">
      <c r="A23" s="498"/>
      <c r="B23" s="916" t="s">
        <v>670</v>
      </c>
      <c r="C23" s="917"/>
      <c r="D23" s="958">
        <f>SUMIFS('Financement - Emprunt 1'!$G$25:$G$374,'Financement - Emprunt 1'!$E$25:$E$374,INDIRECT("$D$4"))</f>
        <v>0</v>
      </c>
      <c r="E23" s="955">
        <f>SUMIFS('Financement - Emprunt 1'!$G$25:$G$374,'Financement - Emprunt 1'!$E$25:$E$374,INDIRECT("$E$4"),'Financement - Emprunt 1'!$D$25:$D$374,"&lt;=3")</f>
        <v>0</v>
      </c>
      <c r="F23" s="899">
        <f>SUMIFS('Financement - Emprunt 1'!$G$25:$G$374,'Financement - Emprunt 1'!$E$25:$E$374,INDIRECT("$E$4"),'Financement - Emprunt 1'!$D$25:$D$374,"&gt;3",'Financement - Emprunt 1'!$D$25:$D$374,"&lt;=6")</f>
        <v>0</v>
      </c>
      <c r="G23" s="899">
        <f>SUMIFS('Financement - Emprunt 1'!$G$25:$G$374,'Financement - Emprunt 1'!$E$25:$E$374,INDIRECT("$E$4"),'Financement - Emprunt 1'!$D$25:$D$374,"&gt;6",'Financement - Emprunt 1'!$D$25:$D$374,"&lt;=9")</f>
        <v>0</v>
      </c>
      <c r="H23" s="956">
        <f>SUMIFS('Financement - Emprunt 1'!$G$25:$G$374,'Financement - Emprunt 1'!$E$25:$E$374,INDIRECT("$E$4"),'Financement - Emprunt 1'!$D$25:$D$374,"&gt;9",'Financement - Emprunt 1'!$D$25:$D$374,"&lt;=12")</f>
        <v>0</v>
      </c>
      <c r="I23" s="638">
        <f t="shared" si="7"/>
        <v>0</v>
      </c>
      <c r="J23" s="955">
        <f>SUMIFS('Financement - Emprunt 1'!$G$25:$G$374,'Financement - Emprunt 1'!$E$25:$E$374,INDIRECT("$J$4"),'Financement - Emprunt 1'!$D$25:$D$374,"&lt;=3")</f>
        <v>3854.52717</v>
      </c>
      <c r="K23" s="899">
        <f>SUMIFS('Financement - Emprunt 1'!$G$25:$G$374,'Financement - Emprunt 1'!$E$25:$E$374,INDIRECT("$J$4"),'Financement - Emprunt 1'!$D$25:$D$374,"&gt;3",'Financement - Emprunt 1'!$D$25:$D$374,"&lt;=6")</f>
        <v>3892.716055</v>
      </c>
      <c r="L23" s="899">
        <f>SUMIFS('Financement - Emprunt 1'!$G$25:$G$374,'Financement - Emprunt 1'!$E$25:$E$374,INDIRECT("$J$4"),'Financement - Emprunt 1'!$D$25:$D$374,"&gt;6",'Financement - Emprunt 1'!$D$25:$D$374,"&lt;=9")</f>
        <v>3931.283298</v>
      </c>
      <c r="M23" s="956">
        <f>SUMIFS('Financement - Emprunt 1'!$G$25:$G$374,'Financement - Emprunt 1'!$E$25:$E$374,INDIRECT("$J$4"),'Financement - Emprunt 1'!$D$25:$D$374,"&gt;9",'Financement - Emprunt 1'!$D$25:$D$374,"&lt;=12")</f>
        <v>3970.232648</v>
      </c>
      <c r="N23" s="651">
        <f t="shared" si="8"/>
        <v>15648.75917</v>
      </c>
      <c r="O23" s="959">
        <f>SUMIFS('Financement - Emprunt 1'!$G$25:$G$374,'Financement - Emprunt 1'!$E$25:$E$374,INDIRECT("$O$4"))</f>
        <v>16278.19952</v>
      </c>
      <c r="P23" s="899">
        <f>SUMIFS('Financement - Emprunt 1'!$G$25:$G$374,'Financement - Emprunt 1'!$E$25:$E$374,INDIRECT("$P$4"))</f>
        <v>16932.95785</v>
      </c>
      <c r="Q23" s="725"/>
      <c r="R23" s="915"/>
      <c r="S23" s="915"/>
      <c r="T23" s="915"/>
      <c r="U23" s="915"/>
      <c r="V23" s="915"/>
      <c r="W23" s="915"/>
      <c r="X23" s="915"/>
      <c r="Y23" s="498"/>
      <c r="Z23" s="498"/>
    </row>
    <row r="24" ht="15.0" customHeight="1">
      <c r="A24" s="498"/>
      <c r="B24" s="960" t="s">
        <v>671</v>
      </c>
      <c r="C24" s="942"/>
      <c r="D24" s="961">
        <f>SUMIFS('Financement - Emprunt 1'!$H$25:$H$374,'Financement - Emprunt 1'!$E$25:$E$374,INDIRECT("$D$4"))</f>
        <v>0</v>
      </c>
      <c r="E24" s="962">
        <f>SUMIFS('Financement - Emprunt 1'!$H$25:$H$374,'Financement - Emprunt 1'!$E$25:$E$374,INDIRECT("$E$4"),'Financement - Emprunt 1'!$D$25:$D$374,"&lt;=3")</f>
        <v>0</v>
      </c>
      <c r="F24" s="963">
        <f>SUMIFS('Financement - Emprunt 1'!$H$25:$H$374,'Financement - Emprunt 1'!$E$25:$E$374,INDIRECT("$E$4"),'Financement - Emprunt 1'!$D$25:$D$374,"&gt;3",'Financement - Emprunt 1'!$D$25:$D$374,"&lt;=6")</f>
        <v>401.5833333</v>
      </c>
      <c r="G24" s="963">
        <f>SUMIFS('Financement - Emprunt 1'!$H$25:$H$374,'Financement - Emprunt 1'!$E$25:$E$374,INDIRECT("$E$4"),'Financement - Emprunt 1'!$D$25:$D$374,"&gt;6",'Financement - Emprunt 1'!$D$25:$D$374,"&lt;=9")</f>
        <v>1204.75</v>
      </c>
      <c r="H24" s="964">
        <f>SUMIFS('Financement - Emprunt 1'!$H$25:$H$374,'Financement - Emprunt 1'!$E$25:$E$374,INDIRECT("$E$4"),'Financement - Emprunt 1'!$D$25:$D$374,"&gt;9",'Financement - Emprunt 1'!$D$25:$D$374,"&lt;=12")</f>
        <v>1204.75</v>
      </c>
      <c r="I24" s="965">
        <f t="shared" si="7"/>
        <v>2811.083333</v>
      </c>
      <c r="J24" s="962">
        <f>SUMIFS('Financement - Emprunt 1'!$H$25:$H$374,'Financement - Emprunt 1'!$E$25:$E$374,INDIRECT("$J$4"),'Financement - Emprunt 1'!$D$25:$D$374,"&lt;=3")</f>
        <v>1192.089978</v>
      </c>
      <c r="K24" s="963">
        <f>SUMIFS('Financement - Emprunt 1'!$H$25:$H$374,'Financement - Emprunt 1'!$E$25:$E$374,INDIRECT("$J$4"),'Financement - Emprunt 1'!$D$25:$D$374,"&gt;3",'Financement - Emprunt 1'!$D$25:$D$374,"&lt;=6")</f>
        <v>1153.901093</v>
      </c>
      <c r="L24" s="963">
        <f>SUMIFS('Financement - Emprunt 1'!$H$25:$H$374,'Financement - Emprunt 1'!$E$25:$E$374,INDIRECT("$J$4"),'Financement - Emprunt 1'!$D$25:$D$374,"&gt;6",'Financement - Emprunt 1'!$D$25:$D$374,"&lt;=9")</f>
        <v>1115.333849</v>
      </c>
      <c r="M24" s="964">
        <f>SUMIFS('Financement - Emprunt 1'!$H$25:$H$374,'Financement - Emprunt 1'!$E$25:$E$374,INDIRECT("$J$4"),'Financement - Emprunt 1'!$D$25:$D$374,"&gt;9",'Financement - Emprunt 1'!$D$25:$D$374,"&lt;=12")</f>
        <v>1076.384499</v>
      </c>
      <c r="N24" s="966">
        <f t="shared" si="8"/>
        <v>4537.70942</v>
      </c>
      <c r="O24" s="967">
        <f>SUMIFS('Financement - Emprunt 1'!$H$25:$H$374,'Financement - Emprunt 1'!$E$25:$E$374,INDIRECT("$O$4"))</f>
        <v>3908.269076</v>
      </c>
      <c r="P24" s="963">
        <f>SUMIFS('Financement - Emprunt 1'!$H$25:$H$374,'Financement - Emprunt 1'!$E$25:$E$374,INDIRECT("$P$4"))</f>
        <v>3253.510742</v>
      </c>
      <c r="Q24" s="725"/>
      <c r="R24" s="915"/>
      <c r="S24" s="915"/>
      <c r="T24" s="915"/>
      <c r="U24" s="915"/>
      <c r="V24" s="915"/>
      <c r="W24" s="915"/>
      <c r="X24" s="915"/>
      <c r="Y24" s="498"/>
      <c r="Z24" s="498"/>
    </row>
    <row r="25" ht="15.0" hidden="1" customHeight="1">
      <c r="A25" s="498"/>
      <c r="B25" s="968"/>
      <c r="C25" s="904"/>
      <c r="D25" s="904"/>
      <c r="E25" s="728"/>
      <c r="F25" s="728"/>
      <c r="G25" s="969"/>
      <c r="H25" s="969" t="s">
        <v>244</v>
      </c>
      <c r="I25" s="341" t="str">
        <f>IF(SUM(#REF!)=#REF!,0,#REF!-SUM(#REF!))</f>
        <v>#REF!</v>
      </c>
      <c r="J25" s="923"/>
      <c r="K25" s="923"/>
      <c r="L25" s="923"/>
      <c r="M25" s="923"/>
      <c r="N25" s="925" t="str">
        <f>IF(SUM(#REF!)=#REF!,0,#REF!-SUM(#REF!))</f>
        <v>#REF!</v>
      </c>
      <c r="O25" s="726"/>
      <c r="P25" s="726"/>
      <c r="Q25" s="725"/>
      <c r="R25" s="725"/>
      <c r="S25" s="725"/>
      <c r="T25" s="725"/>
      <c r="U25" s="498"/>
      <c r="V25" s="498"/>
      <c r="W25" s="498"/>
      <c r="X25" s="498"/>
      <c r="Y25" s="498"/>
      <c r="Z25" s="498"/>
    </row>
    <row r="26" ht="21.0" customHeight="1">
      <c r="A26" s="887"/>
      <c r="B26" s="951" t="s">
        <v>672</v>
      </c>
      <c r="C26" s="951"/>
      <c r="D26" s="951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952"/>
      <c r="R26" s="915"/>
      <c r="S26" s="915"/>
      <c r="T26" s="915"/>
      <c r="U26" s="915"/>
      <c r="V26" s="915"/>
      <c r="W26" s="915"/>
      <c r="X26" s="915"/>
      <c r="Y26" s="887"/>
      <c r="Z26" s="887"/>
    </row>
    <row r="27" ht="15.0" customHeight="1">
      <c r="A27" s="498"/>
      <c r="B27" s="970" t="s">
        <v>669</v>
      </c>
      <c r="C27" s="971"/>
      <c r="D27" s="954">
        <f>IF(YEAR('Financement - Emprunt 2'!$C$6)=Financements!$D$4,'Financement - Emprunt 2'!$C$5,0)</f>
        <v>0</v>
      </c>
      <c r="E27" s="955">
        <f>IF(AND(YEAR('Financement - Emprunt 2'!$C$6)=Financements!$E$4,MONTH('Financement - Emprunt 2'!$C$6)&lt;=3)=TRUE,'Financement - Emprunt 2'!$C$5,0)</f>
        <v>0</v>
      </c>
      <c r="F27" s="899">
        <f>IF(AND(YEAR('Financement - Emprunt 2'!$C$6)=Financements!$E$4,AND(MONTH('Financement - Emprunt 2'!$C$6)&gt;3,MONTH('Financement - Emprunt 2'!$C$6)&lt;=6)=TRUE)=TRUE,'Financement - Emprunt 2'!$C$5,0)</f>
        <v>68000</v>
      </c>
      <c r="G27" s="899">
        <f>IF(AND(YEAR('Financement - Emprunt 2'!$C$6)=Financements!$E$4,AND(MONTH('Financement - Emprunt 2'!$C$6)&gt;6,MONTH('Financement - Emprunt 2'!$C$6)&lt;=9)=TRUE)=TRUE,'Financement - Emprunt 2'!$C$5,0)</f>
        <v>0</v>
      </c>
      <c r="H27" s="956">
        <f>IF(AND(YEAR('Financement - Emprunt 2'!$C$6)=Financements!$E$4,AND(MONTH('Financement - Emprunt 2'!$C$6)&gt;9,MONTH('Financement - Emprunt 2'!$C$6)&lt;=12)=TRUE)=TRUE,'Financement - Emprunt 2'!$C$5,0)</f>
        <v>0</v>
      </c>
      <c r="I27" s="638">
        <f t="shared" ref="I27:I29" si="9">SUM(E27:H27)</f>
        <v>68000</v>
      </c>
      <c r="J27" s="955">
        <f>IF(AND(YEAR('Financement - Emprunt 2'!$C$6)=Financements!$J$4,MONTH('Financement - Emprunt 2'!$C$6)&lt;=3)=TRUE,'Financement - Emprunt 2'!$C$5,0)</f>
        <v>0</v>
      </c>
      <c r="K27" s="899">
        <f>IF(AND(YEAR('Financement - Emprunt 2'!$C$6)=Financements!$J$4,AND(MONTH('Financement - Emprunt 2'!$C$6)&gt;3,MONTH('Financement - Emprunt 2'!$C$6)&lt;=6)=TRUE)=TRUE,'Financement - Emprunt 2'!$C$5,0)</f>
        <v>0</v>
      </c>
      <c r="L27" s="899">
        <f>IF(AND(YEAR('Financement - Emprunt 2'!$C$6)=Financements!$J$4,AND(MONTH('Financement - Emprunt 2'!$C$6)&gt;6,MONTH('Financement - Emprunt 2'!$C$6)&lt;=9)=TRUE)=TRUE,'Financement - Emprunt 2'!$C$5,0)</f>
        <v>0</v>
      </c>
      <c r="M27" s="956">
        <f>IF(AND(YEAR('Financement - Emprunt 2'!$C$6)=Financements!$J$4,AND(MONTH('Financement - Emprunt 2'!$C$6)&gt;9,MONTH('Financement - Emprunt 2'!$C$6)&lt;=12)=TRUE)=TRUE,'Financement - Emprunt 2'!$C$5,0)</f>
        <v>0</v>
      </c>
      <c r="N27" s="651">
        <f t="shared" ref="N27:N29" si="10">SUM(J27:M27)</f>
        <v>0</v>
      </c>
      <c r="O27" s="954">
        <f>IF(YEAR('Financement - Emprunt 2'!$C$6)=Financements!$O$4,'Financement - Emprunt 2'!$C$5,0)</f>
        <v>0</v>
      </c>
      <c r="P27" s="957">
        <f>IF(YEAR('Financement - Emprunt 2'!$C$6)=Financements!$P$4,'Financement - Emprunt 2'!$C$5,0)</f>
        <v>0</v>
      </c>
      <c r="Q27" s="725"/>
      <c r="R27" s="725"/>
      <c r="S27" s="972"/>
      <c r="T27" s="972"/>
      <c r="U27" s="972"/>
      <c r="V27" s="498"/>
      <c r="W27" s="498"/>
      <c r="X27" s="498"/>
      <c r="Y27" s="498"/>
      <c r="Z27" s="498"/>
    </row>
    <row r="28" ht="15.0" customHeight="1">
      <c r="A28" s="498"/>
      <c r="B28" s="970" t="s">
        <v>670</v>
      </c>
      <c r="C28" s="971"/>
      <c r="D28" s="958">
        <f>SUMIFS('Financement - Emprunt 2'!$G$25:$G$374,'Financement - Emprunt 2'!$E$25:$E$374,INDIRECT("$D$4"))</f>
        <v>0</v>
      </c>
      <c r="E28" s="955">
        <f>SUMIFS('Financement - Emprunt 2'!$G$25:$G$374,'Financement - Emprunt 2'!$E$25:$E$374,INDIRECT("$E$4"),'Financement - Emprunt 2'!$D$25:$D$374,"&lt;=3")</f>
        <v>0</v>
      </c>
      <c r="F28" s="899">
        <f>SUMIFS('Financement - Emprunt 2'!$G$25:$G$374,'Financement - Emprunt 2'!$E$25:$E$374,INDIRECT("$E$4"),'Financement - Emprunt 2'!$D$25:$D$374,"&gt;3",'Financement - Emprunt 2'!$D$25:$D$374,"&lt;=6")</f>
        <v>0</v>
      </c>
      <c r="G28" s="899">
        <f>SUMIFS('Financement - Emprunt 2'!$G$25:$G$374,'Financement - Emprunt 2'!$E$25:$E$374,INDIRECT("$E$4"),'Financement - Emprunt 2'!$D$25:$D$374,"&gt;6",'Financement - Emprunt 2'!$D$25:$D$374,"&lt;=9")</f>
        <v>0</v>
      </c>
      <c r="H28" s="956">
        <f>SUMIFS('Financement - Emprunt 2'!$G$25:$G$374,'Financement - Emprunt 2'!$E$25:$E$374,INDIRECT("$E$4"),'Financement - Emprunt 2'!$D$25:$D$374,"&gt;9",'Financement - Emprunt 2'!$D$25:$D$374,"&lt;=12")</f>
        <v>0</v>
      </c>
      <c r="I28" s="638">
        <f t="shared" si="9"/>
        <v>0</v>
      </c>
      <c r="J28" s="955">
        <f>SUMIFS('Financement - Emprunt 2'!$G$25:$G$374,'Financement - Emprunt 2'!$E$25:$E$374,INDIRECT("$J$4"),'Financement - Emprunt 2'!$D$25:$D$374,"&lt;=3")</f>
        <v>2148.42498</v>
      </c>
      <c r="K28" s="899">
        <f>SUMIFS('Financement - Emprunt 2'!$G$25:$G$374,'Financement - Emprunt 2'!$E$25:$E$374,INDIRECT("$J$4"),'Financement - Emprunt 2'!$D$25:$D$374,"&gt;3",'Financement - Emprunt 2'!$D$25:$D$374,"&lt;=6")</f>
        <v>2169.710588</v>
      </c>
      <c r="L28" s="899">
        <f>SUMIFS('Financement - Emprunt 2'!$G$25:$G$374,'Financement - Emprunt 2'!$E$25:$E$374,INDIRECT("$J$4"),'Financement - Emprunt 2'!$D$25:$D$374,"&gt;6",'Financement - Emprunt 2'!$D$25:$D$374,"&lt;=9")</f>
        <v>2191.207084</v>
      </c>
      <c r="M28" s="956">
        <f>SUMIFS('Financement - Emprunt 2'!$G$25:$G$374,'Financement - Emprunt 2'!$E$25:$E$374,INDIRECT("$J$4"),'Financement - Emprunt 2'!$D$25:$D$374,"&gt;9",'Financement - Emprunt 2'!$D$25:$D$374,"&lt;=12")</f>
        <v>2212.916558</v>
      </c>
      <c r="N28" s="651">
        <f t="shared" si="10"/>
        <v>8722.25921</v>
      </c>
      <c r="O28" s="959">
        <f>SUMIFS('Financement - Emprunt 2'!$G$25:$G$374,'Financement - Emprunt 2'!$E$25:$E$374,INDIRECT("$O$4"))</f>
        <v>9073.094812</v>
      </c>
      <c r="P28" s="899">
        <f>SUMIFS('Financement - Emprunt 2'!$G$25:$G$374,'Financement - Emprunt 2'!$E$25:$E$374,INDIRECT("$P$4"))</f>
        <v>9438.04208</v>
      </c>
      <c r="Q28" s="725"/>
      <c r="R28" s="725"/>
      <c r="S28" s="725"/>
      <c r="T28" s="725"/>
      <c r="U28" s="498"/>
      <c r="V28" s="498"/>
      <c r="W28" s="498"/>
      <c r="X28" s="498"/>
      <c r="Y28" s="498"/>
      <c r="Z28" s="498"/>
    </row>
    <row r="29" ht="15.0" customHeight="1">
      <c r="A29" s="498"/>
      <c r="B29" s="973" t="s">
        <v>671</v>
      </c>
      <c r="C29" s="974"/>
      <c r="D29" s="961">
        <f>SUMIFS('Financement - Emprunt 2'!$H$25:$H$374,'Financement - Emprunt 2'!$E$25:$E$374,INDIRECT("$D$4"))</f>
        <v>0</v>
      </c>
      <c r="E29" s="962">
        <f>SUMIFS('Financement - Emprunt 2'!$H$25:$H$374,'Financement - Emprunt 2'!$E$25:$E$374,INDIRECT("$E$4"),'Financement - Emprunt 2'!$D$25:$D$374,"&lt;=3")</f>
        <v>0</v>
      </c>
      <c r="F29" s="963">
        <f>SUMIFS('Financement - Emprunt 2'!$H$25:$H$374,'Financement - Emprunt 2'!$E$25:$E$374,INDIRECT("$E$4"),'Financement - Emprunt 2'!$D$25:$D$374,"&gt;3",'Financement - Emprunt 2'!$D$25:$D$374,"&lt;=6")</f>
        <v>223.8333333</v>
      </c>
      <c r="G29" s="963">
        <f>SUMIFS('Financement - Emprunt 2'!$H$25:$H$374,'Financement - Emprunt 2'!$E$25:$E$374,INDIRECT("$E$4"),'Financement - Emprunt 2'!$D$25:$D$374,"&gt;6",'Financement - Emprunt 2'!$D$25:$D$374,"&lt;=9")</f>
        <v>671.5</v>
      </c>
      <c r="H29" s="964">
        <f>SUMIFS('Financement - Emprunt 2'!$H$25:$H$374,'Financement - Emprunt 2'!$E$25:$E$374,INDIRECT("$E$4"),'Financement - Emprunt 2'!$D$25:$D$374,"&gt;9",'Financement - Emprunt 2'!$D$25:$D$374,"&lt;=12")</f>
        <v>671.5</v>
      </c>
      <c r="I29" s="965">
        <f t="shared" si="9"/>
        <v>1566.833333</v>
      </c>
      <c r="J29" s="962">
        <f>SUMIFS('Financement - Emprunt 2'!$H$25:$H$374,'Financement - Emprunt 2'!$E$25:$E$374,INDIRECT("$J$4"),'Financement - Emprunt 2'!$D$25:$D$374,"&lt;=3")</f>
        <v>664.4435945</v>
      </c>
      <c r="K29" s="963">
        <f>SUMIFS('Financement - Emprunt 2'!$H$25:$H$374,'Financement - Emprunt 2'!$E$25:$E$374,INDIRECT("$J$4"),'Financement - Emprunt 2'!$D$25:$D$374,"&gt;3",'Financement - Emprunt 2'!$D$25:$D$374,"&lt;=6")</f>
        <v>643.1579862</v>
      </c>
      <c r="L29" s="963">
        <f>SUMIFS('Financement - Emprunt 2'!$H$25:$H$374,'Financement - Emprunt 2'!$E$25:$E$374,INDIRECT("$J$4"),'Financement - Emprunt 2'!$D$25:$D$374,"&gt;6",'Financement - Emprunt 2'!$D$25:$D$374,"&lt;=9")</f>
        <v>621.6614898</v>
      </c>
      <c r="M29" s="964">
        <f>SUMIFS('Financement - Emprunt 2'!$H$25:$H$374,'Financement - Emprunt 2'!$E$25:$E$374,INDIRECT("$J$4"),'Financement - Emprunt 2'!$D$25:$D$374,"&gt;9",'Financement - Emprunt 2'!$D$25:$D$374,"&lt;=12")</f>
        <v>599.9520161</v>
      </c>
      <c r="N29" s="966">
        <f t="shared" si="10"/>
        <v>2529.215087</v>
      </c>
      <c r="O29" s="967">
        <f>SUMIFS('Financement - Emprunt 2'!$H$25:$H$374,'Financement - Emprunt 2'!$E$25:$E$374,INDIRECT("$O$4"))</f>
        <v>2178.379485</v>
      </c>
      <c r="P29" s="963">
        <f>SUMIFS('Financement - Emprunt 2'!$H$25:$H$374,'Financement - Emprunt 2'!$E$25:$E$374,INDIRECT("$P$4"))</f>
        <v>1813.432217</v>
      </c>
      <c r="Q29" s="725"/>
      <c r="R29" s="725"/>
      <c r="S29" s="725"/>
      <c r="T29" s="725"/>
      <c r="U29" s="972"/>
      <c r="V29" s="498"/>
      <c r="W29" s="498"/>
      <c r="X29" s="498"/>
      <c r="Y29" s="498"/>
      <c r="Z29" s="498"/>
    </row>
    <row r="30" ht="21.0" customHeight="1">
      <c r="A30" s="887"/>
      <c r="B30" s="951" t="s">
        <v>673</v>
      </c>
      <c r="C30" s="951"/>
      <c r="D30" s="951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952"/>
      <c r="R30" s="915"/>
      <c r="S30" s="915"/>
      <c r="T30" s="915"/>
      <c r="U30" s="975"/>
      <c r="V30" s="915"/>
      <c r="W30" s="915"/>
      <c r="X30" s="915"/>
      <c r="Y30" s="887"/>
      <c r="Z30" s="887"/>
    </row>
    <row r="31" ht="15.0" customHeight="1">
      <c r="A31" s="498"/>
      <c r="B31" s="976" t="s">
        <v>669</v>
      </c>
      <c r="C31" s="971"/>
      <c r="D31" s="954">
        <f>IF(YEAR('Financement - Emprunt 3'!$C$6)=Financements!$D$4,'Financement - Emprunt 3'!$C$5,0)</f>
        <v>0</v>
      </c>
      <c r="E31" s="955" t="str">
        <f>IF(AND(YEAR('Financement - Emprunt 3'!$C$6)=Financements!$E$4,MONTH('Financement - Emprunt 3'!$C$6)&lt;=3)=TRUE,'Financement - Emprunt 3'!$C$5,0)</f>
        <v/>
      </c>
      <c r="F31" s="899">
        <f>IF(AND(YEAR('Financement - Emprunt 3'!$C$6)=Financements!$E$4,AND(MONTH('Financement - Emprunt 3'!$C$6)&gt;3,MONTH('Financement - Emprunt 3'!$C$6)&lt;=6)=TRUE)=TRUE,'Financement - Emprunt 3'!$C$5,0)</f>
        <v>0</v>
      </c>
      <c r="G31" s="899">
        <f>IF(AND(YEAR('Financement - Emprunt 3'!$C$6)=Financements!$E$4,AND(MONTH('Financement - Emprunt 3'!$C$6)&gt;6,MONTH('Financement - Emprunt 3'!$C$6)&lt;=9)=TRUE)=TRUE,'Financement - Emprunt 3'!$C$5,0)</f>
        <v>0</v>
      </c>
      <c r="H31" s="956">
        <f>IF(AND(YEAR('Financement - Emprunt 3'!$C$6)=Financements!$E$4,AND(MONTH('Financement - Emprunt 3'!$C$6)&gt;9,MONTH('Financement - Emprunt 3'!$C$6)&lt;=12)=TRUE)=TRUE,'Financement - Emprunt 3'!$C$5,0)</f>
        <v>0</v>
      </c>
      <c r="I31" s="638">
        <f t="shared" ref="I31:I33" si="11">SUM(E31:H31)</f>
        <v>0</v>
      </c>
      <c r="J31" s="955">
        <f>IF(AND(YEAR('Financement - Emprunt 3'!$C$6)=Financements!$J$4,MONTH('Financement - Emprunt 3'!$C$6)&lt;=3)=TRUE,'Financement - Emprunt 3'!$C$5,0)</f>
        <v>0</v>
      </c>
      <c r="K31" s="899">
        <f>IF(AND(YEAR('Financement - Emprunt 3'!$C$6)=Financements!$J$4,AND(MONTH('Financement - Emprunt 3'!$C$6)&gt;3,MONTH('Financement - Emprunt 3'!$C$6)&lt;=6)=TRUE)=TRUE,'Financement - Emprunt 3'!$C$5,0)</f>
        <v>0</v>
      </c>
      <c r="L31" s="899">
        <f>IF(AND(YEAR('Financement - Emprunt 3'!$C$6)=Financements!$J$4,AND(MONTH('Financement - Emprunt 3'!$C$6)&gt;6,MONTH('Financement - Emprunt 3'!$C$6)&lt;=9)=TRUE)=TRUE,'Financement - Emprunt 3'!$C$5,0)</f>
        <v>0</v>
      </c>
      <c r="M31" s="956">
        <f>IF(AND(YEAR('Financement - Emprunt 3'!$C$6)=Financements!$J$4,AND(MONTH('Financement - Emprunt 3'!$C$6)&gt;9,MONTH('Financement - Emprunt 3'!$C$6)&lt;=12)=TRUE)=TRUE,'Financement - Emprunt 3'!$C$5,0)</f>
        <v>0</v>
      </c>
      <c r="N31" s="651">
        <f t="shared" ref="N31:N33" si="12">SUM(J31:M31)</f>
        <v>0</v>
      </c>
      <c r="O31" s="954">
        <f>IF(YEAR('Financement - Emprunt 3'!$C$6)=Financements!$O$4,'Financement - Emprunt 3'!$C$5,0)</f>
        <v>0</v>
      </c>
      <c r="P31" s="957">
        <f>IF(YEAR('Financement - Emprunt 3'!$C$6)=Financements!$P$4,'Financement - Emprunt 3'!$C$5,0)</f>
        <v>0</v>
      </c>
      <c r="Q31" s="725"/>
      <c r="R31" s="725"/>
      <c r="S31" s="725"/>
      <c r="T31" s="725"/>
      <c r="U31" s="972"/>
      <c r="V31" s="498"/>
      <c r="W31" s="498"/>
      <c r="X31" s="498"/>
      <c r="Y31" s="498"/>
      <c r="Z31" s="498"/>
    </row>
    <row r="32" ht="15.0" customHeight="1">
      <c r="A32" s="498"/>
      <c r="B32" s="970" t="s">
        <v>670</v>
      </c>
      <c r="C32" s="971"/>
      <c r="D32" s="958">
        <f>SUMIFS('Financement - Emprunt 3'!$G$25:$G$374,'Financement - Emprunt 3'!$E$25:$E$374,INDIRECT("$D$4"))</f>
        <v>0</v>
      </c>
      <c r="E32" s="955">
        <f>SUMIFS('Financement - Emprunt 3'!$G$25:$G$374,'Financement - Emprunt 3'!$E$25:$E$374,INDIRECT("$E$4"),'Financement - Emprunt 3'!$D$25:$D$374,"&lt;=3")</f>
        <v>0</v>
      </c>
      <c r="F32" s="899">
        <f>SUMIFS('Financement - Emprunt 3'!$G$25:$G$374,'Financement - Emprunt 3'!$E$25:$E$374,INDIRECT("$E$4"),'Financement - Emprunt 3'!$D$25:$D$374,"&gt;3",'Financement - Emprunt 3'!$D$25:$D$374,"&lt;=6")</f>
        <v>0</v>
      </c>
      <c r="G32" s="899">
        <f>SUMIFS('Financement - Emprunt 3'!$G$25:$G$374,'Financement - Emprunt 3'!$E$25:$E$374,INDIRECT("$E$4"),'Financement - Emprunt 3'!$D$25:$D$374,"&gt;6",'Financement - Emprunt 3'!$D$25:$D$374,"&lt;=9")</f>
        <v>0</v>
      </c>
      <c r="H32" s="956">
        <f>SUMIFS('Financement - Emprunt 3'!$G$25:$G$374,'Financement - Emprunt 3'!$E$25:$E$374,INDIRECT("$E$4"),'Financement - Emprunt 3'!$D$25:$D$374,"&gt;9",'Financement - Emprunt 3'!$D$25:$D$374,"&lt;=12")</f>
        <v>0</v>
      </c>
      <c r="I32" s="638">
        <f t="shared" si="11"/>
        <v>0</v>
      </c>
      <c r="J32" s="955">
        <f>SUMIFS('Financement - Emprunt 3'!$G$25:$G$374,'Financement - Emprunt 3'!$E$25:$E$374,INDIRECT("$J$4"),'Financement - Emprunt 3'!$D$25:$D$374,"&lt;=3")</f>
        <v>0</v>
      </c>
      <c r="K32" s="899">
        <f>SUMIFS('Financement - Emprunt 3'!$G$25:$G$374,'Financement - Emprunt 3'!$E$25:$E$374,INDIRECT("$J$4"),'Financement - Emprunt 3'!$D$25:$D$374,"&gt;3",'Financement - Emprunt 3'!$D$25:$D$374,"&lt;=6")</f>
        <v>0</v>
      </c>
      <c r="L32" s="899">
        <f>SUMIFS('Financement - Emprunt 3'!$G$25:$G$374,'Financement - Emprunt 3'!$E$25:$E$374,INDIRECT("$J$4"),'Financement - Emprunt 3'!$D$25:$D$374,"&gt;6",'Financement - Emprunt 3'!$D$25:$D$374,"&lt;=9")</f>
        <v>0</v>
      </c>
      <c r="M32" s="956">
        <f>SUMIFS('Financement - Emprunt 3'!$G$25:$G$374,'Financement - Emprunt 3'!$E$25:$E$374,INDIRECT("$J$4"),'Financement - Emprunt 3'!$D$25:$D$374,"&gt;9",'Financement - Emprunt 3'!$D$25:$D$374,"&lt;=12")</f>
        <v>0</v>
      </c>
      <c r="N32" s="651">
        <f t="shared" si="12"/>
        <v>0</v>
      </c>
      <c r="O32" s="959">
        <f>SUMIFS('Financement - Emprunt 3'!$G$25:$G$374,'Financement - Emprunt 3'!$E$25:$E$374,INDIRECT("$O$4"))</f>
        <v>0</v>
      </c>
      <c r="P32" s="899">
        <f>SUMIFS('Financement - Emprunt 3'!$G$25:$G$374,'Financement - Emprunt 3'!$E$25:$E$374,INDIRECT("$P$4"))</f>
        <v>0</v>
      </c>
      <c r="Q32" s="725"/>
      <c r="R32" s="725"/>
      <c r="S32" s="725"/>
      <c r="T32" s="725"/>
      <c r="U32" s="498"/>
      <c r="V32" s="498"/>
      <c r="W32" s="498"/>
      <c r="X32" s="498"/>
      <c r="Y32" s="498"/>
      <c r="Z32" s="498"/>
    </row>
    <row r="33" ht="15.0" customHeight="1">
      <c r="A33" s="498"/>
      <c r="B33" s="973" t="s">
        <v>671</v>
      </c>
      <c r="C33" s="974"/>
      <c r="D33" s="961">
        <f>SUMIFS('Financement - Emprunt 3'!$H$25:$H$374,'Financement - Emprunt 3'!$E$25:$E$374,INDIRECT("$D$4"))</f>
        <v>0</v>
      </c>
      <c r="E33" s="962">
        <f>SUMIFS('Financement - Emprunt 3'!$H$25:$H$374,'Financement - Emprunt 3'!$E$25:$E$374,INDIRECT("$E$4"),'Financement - Emprunt 3'!$D$25:$D$374,"&lt;=3")</f>
        <v>0</v>
      </c>
      <c r="F33" s="963">
        <f>SUMIFS('Financement - Emprunt 3'!$H$25:$H$374,'Financement - Emprunt 3'!$E$25:$E$374,INDIRECT("$E$4"),'Financement - Emprunt 3'!$D$25:$D$374,"&gt;3",'Financement - Emprunt 3'!$D$25:$D$374,"&lt;=6")</f>
        <v>0</v>
      </c>
      <c r="G33" s="963">
        <f>SUMIFS('Financement - Emprunt 3'!$H$25:$H$374,'Financement - Emprunt 3'!$E$25:$E$374,INDIRECT("$E$4"),'Financement - Emprunt 3'!$D$25:$D$374,"&gt;6",'Financement - Emprunt 3'!$D$25:$D$374,"&lt;=9")</f>
        <v>0</v>
      </c>
      <c r="H33" s="964">
        <f>SUMIFS('Financement - Emprunt 3'!$H$25:$H$374,'Financement - Emprunt 3'!$E$25:$E$374,INDIRECT("$E$4"),'Financement - Emprunt 3'!$D$25:$D$374,"&gt;9",'Financement - Emprunt 3'!$D$25:$D$374,"&lt;=12")</f>
        <v>0</v>
      </c>
      <c r="I33" s="965">
        <f t="shared" si="11"/>
        <v>0</v>
      </c>
      <c r="J33" s="962">
        <f>SUMIFS('Financement - Emprunt 3'!$H$25:$H$374,'Financement - Emprunt 3'!$E$25:$E$374,INDIRECT("$J$4"),'Financement - Emprunt 3'!$D$25:$D$374,"&lt;=3")</f>
        <v>0</v>
      </c>
      <c r="K33" s="963">
        <f>SUMIFS('Financement - Emprunt 3'!$H$25:$H$374,'Financement - Emprunt 3'!$E$25:$E$374,INDIRECT("$J$4"),'Financement - Emprunt 3'!$D$25:$D$374,"&gt;3",'Financement - Emprunt 3'!$D$25:$D$374,"&lt;=6")</f>
        <v>0</v>
      </c>
      <c r="L33" s="963">
        <f>SUMIFS('Financement - Emprunt 3'!$H$25:$H$374,'Financement - Emprunt 3'!$E$25:$E$374,INDIRECT("$J$4"),'Financement - Emprunt 3'!$D$25:$D$374,"&gt;6",'Financement - Emprunt 3'!$D$25:$D$374,"&lt;=9")</f>
        <v>0</v>
      </c>
      <c r="M33" s="964">
        <f>SUMIFS('Financement - Emprunt 3'!$H$25:$H$374,'Financement - Emprunt 3'!$E$25:$E$374,INDIRECT("$J$4"),'Financement - Emprunt 3'!$D$25:$D$374,"&gt;9",'Financement - Emprunt 3'!$D$25:$D$374,"&lt;=12")</f>
        <v>0</v>
      </c>
      <c r="N33" s="966">
        <f t="shared" si="12"/>
        <v>0</v>
      </c>
      <c r="O33" s="967">
        <f>SUMIFS('Financement - Emprunt 3'!$H$25:$H$374,'Financement - Emprunt 3'!$E$25:$E$374,INDIRECT("$O$4"))</f>
        <v>0</v>
      </c>
      <c r="P33" s="963">
        <f>SUMIFS('Financement - Emprunt 3'!$H$25:$H$374,'Financement - Emprunt 3'!$E$25:$E$374,INDIRECT("$P$4"))</f>
        <v>0</v>
      </c>
      <c r="Q33" s="725"/>
      <c r="R33" s="725"/>
      <c r="S33" s="725"/>
      <c r="T33" s="725"/>
      <c r="U33" s="498"/>
      <c r="V33" s="498"/>
      <c r="W33" s="498"/>
      <c r="X33" s="498"/>
      <c r="Y33" s="498"/>
      <c r="Z33" s="498"/>
    </row>
    <row r="34" ht="15.0" customHeight="1">
      <c r="A34" s="498"/>
      <c r="B34" s="977"/>
      <c r="C34" s="978"/>
      <c r="D34" s="978"/>
      <c r="E34" s="979"/>
      <c r="F34" s="979"/>
      <c r="G34" s="980"/>
      <c r="H34" s="980"/>
      <c r="I34" s="981"/>
      <c r="J34" s="982"/>
      <c r="K34" s="982"/>
      <c r="L34" s="982"/>
      <c r="M34" s="980"/>
      <c r="N34" s="983"/>
      <c r="O34" s="984"/>
      <c r="P34" s="984"/>
      <c r="Q34" s="725"/>
      <c r="R34" s="725"/>
      <c r="S34" s="725"/>
      <c r="T34" s="725"/>
      <c r="U34" s="498"/>
      <c r="V34" s="498"/>
      <c r="W34" s="498"/>
      <c r="X34" s="498"/>
      <c r="Y34" s="498"/>
      <c r="Z34" s="498"/>
    </row>
    <row r="35" ht="15.0" customHeight="1">
      <c r="A35" s="498"/>
      <c r="B35" s="343" t="s">
        <v>674</v>
      </c>
      <c r="C35" s="653"/>
      <c r="D35" s="985">
        <f>D22+D27+D31</f>
        <v>0</v>
      </c>
      <c r="E35" s="986">
        <f t="shared" ref="E35:H35" si="13">E31+E27+E22</f>
        <v>0</v>
      </c>
      <c r="F35" s="725">
        <f t="shared" si="13"/>
        <v>190000</v>
      </c>
      <c r="G35" s="725">
        <f t="shared" si="13"/>
        <v>0</v>
      </c>
      <c r="H35" s="987">
        <f t="shared" si="13"/>
        <v>0</v>
      </c>
      <c r="I35" s="638">
        <f t="shared" ref="I35:I37" si="17">SUM(E35:H35)</f>
        <v>190000</v>
      </c>
      <c r="J35" s="725">
        <f t="shared" ref="J35:M35" si="14">J31+J27+J22</f>
        <v>0</v>
      </c>
      <c r="K35" s="986">
        <f t="shared" si="14"/>
        <v>0</v>
      </c>
      <c r="L35" s="986">
        <f t="shared" si="14"/>
        <v>0</v>
      </c>
      <c r="M35" s="987">
        <f t="shared" si="14"/>
        <v>0</v>
      </c>
      <c r="N35" s="638">
        <f t="shared" ref="N35:N37" si="19">SUM(J35:M35)</f>
        <v>0</v>
      </c>
      <c r="O35" s="988">
        <f t="shared" ref="O35:P35" si="15">O31+O27+O22</f>
        <v>0</v>
      </c>
      <c r="P35" s="725">
        <f t="shared" si="15"/>
        <v>0</v>
      </c>
      <c r="Q35" s="498"/>
      <c r="R35" s="498"/>
      <c r="S35" s="498"/>
      <c r="T35" s="498"/>
      <c r="U35" s="498"/>
      <c r="V35" s="498"/>
      <c r="W35" s="498"/>
      <c r="X35" s="498"/>
      <c r="Y35" s="498"/>
      <c r="Z35" s="498"/>
    </row>
    <row r="36" ht="15.0" customHeight="1">
      <c r="A36" s="498"/>
      <c r="B36" s="989" t="s">
        <v>675</v>
      </c>
      <c r="C36" s="990"/>
      <c r="D36" s="991"/>
      <c r="E36" s="725">
        <f t="shared" ref="E36:H36" si="16">E32+E28+E23</f>
        <v>0</v>
      </c>
      <c r="F36" s="725">
        <f t="shared" si="16"/>
        <v>0</v>
      </c>
      <c r="G36" s="725">
        <f t="shared" si="16"/>
        <v>0</v>
      </c>
      <c r="H36" s="992">
        <f t="shared" si="16"/>
        <v>0</v>
      </c>
      <c r="I36" s="638">
        <f t="shared" si="17"/>
        <v>0</v>
      </c>
      <c r="J36" s="993">
        <f t="shared" ref="J36:M36" si="18">J32+J28+J23</f>
        <v>6002.952149</v>
      </c>
      <c r="K36" s="725">
        <f t="shared" si="18"/>
        <v>6062.426643</v>
      </c>
      <c r="L36" s="725">
        <f t="shared" si="18"/>
        <v>6122.490383</v>
      </c>
      <c r="M36" s="992">
        <f t="shared" si="18"/>
        <v>6183.149207</v>
      </c>
      <c r="N36" s="638">
        <f t="shared" si="19"/>
        <v>24371.01838</v>
      </c>
      <c r="O36" s="988">
        <f t="shared" ref="O36:P36" si="20">O32+O28+O23</f>
        <v>25351.29433</v>
      </c>
      <c r="P36" s="993">
        <f t="shared" si="20"/>
        <v>26370.99993</v>
      </c>
      <c r="Q36" s="498"/>
      <c r="R36" s="498"/>
      <c r="S36" s="498"/>
      <c r="T36" s="498"/>
      <c r="U36" s="498"/>
      <c r="V36" s="498"/>
      <c r="W36" s="498"/>
      <c r="X36" s="498"/>
      <c r="Y36" s="498"/>
      <c r="Z36" s="498"/>
    </row>
    <row r="37" ht="15.0" customHeight="1">
      <c r="A37" s="498"/>
      <c r="B37" s="994" t="s">
        <v>676</v>
      </c>
      <c r="C37" s="995"/>
      <c r="D37" s="996"/>
      <c r="E37" s="997">
        <f t="shared" ref="E37:H37" si="21">E33+E29+E24</f>
        <v>0</v>
      </c>
      <c r="F37" s="997">
        <f t="shared" si="21"/>
        <v>625.4166667</v>
      </c>
      <c r="G37" s="997">
        <f t="shared" si="21"/>
        <v>1876.25</v>
      </c>
      <c r="H37" s="998">
        <f t="shared" si="21"/>
        <v>1876.25</v>
      </c>
      <c r="I37" s="829">
        <f t="shared" si="17"/>
        <v>4377.916667</v>
      </c>
      <c r="J37" s="999">
        <f t="shared" ref="J37:M37" si="22">J33+J29+J24</f>
        <v>1856.533573</v>
      </c>
      <c r="K37" s="997">
        <f t="shared" si="22"/>
        <v>1797.059079</v>
      </c>
      <c r="L37" s="997">
        <f t="shared" si="22"/>
        <v>1736.995339</v>
      </c>
      <c r="M37" s="998">
        <f t="shared" si="22"/>
        <v>1676.336516</v>
      </c>
      <c r="N37" s="829">
        <f t="shared" si="19"/>
        <v>7066.924507</v>
      </c>
      <c r="O37" s="1000">
        <f t="shared" ref="O37:P37" si="23">O33+O29+O24</f>
        <v>6086.648562</v>
      </c>
      <c r="P37" s="997">
        <f t="shared" si="23"/>
        <v>5066.942958</v>
      </c>
      <c r="Q37" s="498"/>
      <c r="R37" s="498"/>
      <c r="S37" s="498"/>
      <c r="T37" s="498"/>
      <c r="U37" s="498"/>
      <c r="V37" s="498"/>
      <c r="W37" s="498"/>
      <c r="X37" s="498"/>
      <c r="Y37" s="498"/>
      <c r="Z37" s="498"/>
    </row>
    <row r="38" ht="15.0" customHeight="1">
      <c r="A38" s="187"/>
      <c r="B38" s="667" t="s">
        <v>677</v>
      </c>
      <c r="C38" s="1001"/>
      <c r="D38" s="1002"/>
      <c r="E38" s="1003">
        <f t="shared" ref="E38:P38" si="24">SUM(E36:E37)</f>
        <v>0</v>
      </c>
      <c r="F38" s="1003">
        <f t="shared" si="24"/>
        <v>625.4166667</v>
      </c>
      <c r="G38" s="1003">
        <f t="shared" si="24"/>
        <v>1876.25</v>
      </c>
      <c r="H38" s="1004">
        <f t="shared" si="24"/>
        <v>1876.25</v>
      </c>
      <c r="I38" s="1005">
        <f t="shared" si="24"/>
        <v>4377.916667</v>
      </c>
      <c r="J38" s="1003">
        <f t="shared" si="24"/>
        <v>7859.485722</v>
      </c>
      <c r="K38" s="1003">
        <f t="shared" si="24"/>
        <v>7859.485722</v>
      </c>
      <c r="L38" s="1003">
        <f t="shared" si="24"/>
        <v>7859.485722</v>
      </c>
      <c r="M38" s="1004">
        <f t="shared" si="24"/>
        <v>7859.485722</v>
      </c>
      <c r="N38" s="1005">
        <f t="shared" si="24"/>
        <v>31437.94289</v>
      </c>
      <c r="O38" s="1005">
        <f t="shared" si="24"/>
        <v>31437.94289</v>
      </c>
      <c r="P38" s="1006">
        <f t="shared" si="24"/>
        <v>31437.94289</v>
      </c>
      <c r="Q38" s="453"/>
      <c r="R38" s="453"/>
      <c r="S38" s="453"/>
      <c r="T38" s="453"/>
      <c r="U38" s="187"/>
      <c r="V38" s="187"/>
      <c r="W38" s="187"/>
      <c r="X38" s="187"/>
      <c r="Y38" s="187"/>
      <c r="Z38" s="187"/>
    </row>
    <row r="39" ht="15.0" customHeight="1">
      <c r="A39" s="498"/>
      <c r="B39" s="308"/>
      <c r="C39" s="498"/>
      <c r="D39" s="498"/>
      <c r="E39" s="498"/>
      <c r="F39" s="498"/>
      <c r="G39" s="498"/>
      <c r="H39" s="969" t="s">
        <v>244</v>
      </c>
      <c r="I39" s="341">
        <f>IF(SUM(E38:H38)=I38,0,I38-SUM(E38:H38))</f>
        <v>0</v>
      </c>
      <c r="J39" s="341"/>
      <c r="K39" s="341"/>
      <c r="L39" s="341"/>
      <c r="M39" s="341"/>
      <c r="N39" s="341">
        <f>IF(SUM(J38:M38)=N38,0,N38-SUM(J38:M38))</f>
        <v>0</v>
      </c>
      <c r="O39" s="341"/>
      <c r="P39" s="341"/>
      <c r="Q39" s="341"/>
      <c r="R39" s="341"/>
      <c r="S39" s="341"/>
      <c r="T39" s="341"/>
      <c r="U39" s="341"/>
      <c r="V39" s="341"/>
      <c r="W39" s="498"/>
      <c r="X39" s="498"/>
      <c r="Y39" s="498"/>
      <c r="Z39" s="498"/>
    </row>
    <row r="40" ht="15.0" customHeight="1">
      <c r="A40" s="498"/>
      <c r="B40" s="308"/>
      <c r="C40" s="498"/>
      <c r="D40" s="498"/>
      <c r="E40" s="498"/>
      <c r="F40" s="498"/>
      <c r="G40" s="498"/>
      <c r="H40" s="498"/>
      <c r="I40" s="498"/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498"/>
      <c r="V40" s="498"/>
      <c r="W40" s="498"/>
      <c r="X40" s="498"/>
      <c r="Y40" s="498"/>
      <c r="Z40" s="498"/>
    </row>
    <row r="41" ht="15.0" customHeight="1">
      <c r="A41" s="498"/>
      <c r="B41" s="308"/>
      <c r="C41" s="498"/>
      <c r="D41" s="498"/>
      <c r="E41" s="498"/>
      <c r="F41" s="498"/>
      <c r="G41" s="498"/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2"/>
      <c r="V41" s="498"/>
      <c r="W41" s="498"/>
      <c r="X41" s="498"/>
      <c r="Y41" s="498"/>
      <c r="Z41" s="498"/>
    </row>
    <row r="42" ht="15.0" customHeight="1">
      <c r="A42" s="498"/>
      <c r="B42" s="308"/>
      <c r="C42" s="498"/>
      <c r="D42" s="498"/>
      <c r="E42" s="498"/>
      <c r="F42" s="498"/>
      <c r="G42" s="498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2"/>
      <c r="V42" s="498"/>
      <c r="W42" s="498"/>
      <c r="X42" s="498"/>
      <c r="Y42" s="498"/>
      <c r="Z42" s="498"/>
    </row>
    <row r="43" ht="15.0" customHeight="1">
      <c r="A43" s="498"/>
      <c r="B43" s="344"/>
      <c r="C43" s="858"/>
      <c r="D43" s="858"/>
      <c r="E43" s="725"/>
      <c r="F43" s="725"/>
      <c r="G43" s="725"/>
      <c r="H43" s="725"/>
      <c r="I43" s="725"/>
      <c r="J43" s="725"/>
      <c r="K43" s="725"/>
      <c r="L43" s="725"/>
      <c r="M43" s="725"/>
      <c r="N43" s="726"/>
      <c r="O43" s="728"/>
      <c r="P43" s="498"/>
      <c r="Q43" s="498"/>
      <c r="R43" s="498"/>
      <c r="S43" s="498"/>
      <c r="T43" s="498"/>
      <c r="U43" s="2"/>
      <c r="V43" s="498"/>
      <c r="W43" s="498"/>
      <c r="X43" s="498"/>
      <c r="Y43" s="498"/>
      <c r="Z43" s="498"/>
    </row>
    <row r="44" ht="15.0" customHeight="1">
      <c r="A44" s="498"/>
      <c r="B44" s="310"/>
      <c r="C44" s="1007"/>
      <c r="D44" s="1007"/>
      <c r="E44" s="1008"/>
      <c r="F44" s="1008"/>
      <c r="G44" s="1008"/>
      <c r="H44" s="1008"/>
      <c r="I44" s="1008"/>
      <c r="J44" s="1008"/>
      <c r="K44" s="1008"/>
      <c r="L44" s="1008"/>
      <c r="M44" s="1008"/>
      <c r="N44" s="549"/>
      <c r="O44" s="728"/>
      <c r="P44" s="498"/>
      <c r="Q44" s="498"/>
      <c r="R44" s="498"/>
      <c r="S44" s="498"/>
      <c r="T44" s="498"/>
      <c r="U44" s="2"/>
      <c r="V44" s="498"/>
      <c r="W44" s="498"/>
      <c r="X44" s="498"/>
      <c r="Y44" s="498"/>
      <c r="Z44" s="498"/>
    </row>
    <row r="45" ht="15.0" customHeight="1">
      <c r="A45" s="498"/>
      <c r="B45" s="343"/>
      <c r="C45" s="542"/>
      <c r="D45" s="542"/>
      <c r="E45" s="725"/>
      <c r="F45" s="725"/>
      <c r="G45" s="725"/>
      <c r="H45" s="725"/>
      <c r="I45" s="726"/>
      <c r="J45" s="726"/>
      <c r="K45" s="726"/>
      <c r="L45" s="726"/>
      <c r="M45" s="727"/>
      <c r="N45" s="726"/>
      <c r="O45" s="728"/>
      <c r="P45" s="728"/>
      <c r="Q45" s="923"/>
      <c r="R45" s="726"/>
      <c r="S45" s="549"/>
      <c r="T45" s="549"/>
      <c r="U45" s="498"/>
      <c r="V45" s="498"/>
      <c r="W45" s="498"/>
      <c r="X45" s="498"/>
      <c r="Y45" s="498"/>
      <c r="Z45" s="498"/>
    </row>
    <row r="46" ht="15.0" customHeight="1">
      <c r="A46" s="498"/>
      <c r="B46" s="308"/>
      <c r="C46" s="498"/>
      <c r="D46" s="498"/>
      <c r="E46" s="725"/>
      <c r="F46" s="728"/>
      <c r="G46" s="728"/>
      <c r="H46" s="729"/>
      <c r="I46" s="549"/>
      <c r="J46" s="549"/>
      <c r="K46" s="549"/>
      <c r="L46" s="549"/>
      <c r="M46" s="729"/>
      <c r="N46" s="549"/>
      <c r="O46" s="549"/>
      <c r="P46" s="549"/>
      <c r="Q46" s="549"/>
      <c r="R46" s="549"/>
      <c r="S46" s="549"/>
      <c r="T46" s="549"/>
      <c r="U46" s="498"/>
      <c r="V46" s="498"/>
      <c r="W46" s="498"/>
      <c r="X46" s="498"/>
      <c r="Y46" s="498"/>
      <c r="Z46" s="498"/>
    </row>
    <row r="47" ht="15.0" customHeight="1">
      <c r="A47" s="498"/>
      <c r="B47" s="308"/>
      <c r="C47" s="498"/>
      <c r="D47" s="498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498"/>
      <c r="V47" s="498"/>
      <c r="W47" s="498"/>
      <c r="X47" s="498"/>
      <c r="Y47" s="498"/>
      <c r="Z47" s="498"/>
    </row>
    <row r="48" ht="15.0" customHeight="1">
      <c r="A48" s="498"/>
      <c r="B48" s="308"/>
      <c r="C48" s="498"/>
      <c r="D48" s="498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730"/>
      <c r="R48" s="730"/>
      <c r="S48" s="730"/>
      <c r="T48" s="730"/>
      <c r="U48" s="498"/>
      <c r="V48" s="498"/>
      <c r="W48" s="498"/>
      <c r="X48" s="498"/>
      <c r="Y48" s="498"/>
      <c r="Z48" s="498"/>
    </row>
    <row r="49" ht="15.0" customHeight="1">
      <c r="A49" s="498"/>
      <c r="B49" s="308"/>
      <c r="C49" s="498"/>
      <c r="D49" s="498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498"/>
      <c r="V49" s="498"/>
      <c r="W49" s="498"/>
      <c r="X49" s="498"/>
      <c r="Y49" s="498"/>
      <c r="Z49" s="498"/>
    </row>
    <row r="50" ht="15.0" customHeight="1">
      <c r="A50" s="498"/>
      <c r="B50" s="308"/>
      <c r="C50" s="498"/>
      <c r="D50" s="498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498"/>
      <c r="V50" s="498"/>
      <c r="W50" s="498"/>
      <c r="X50" s="498"/>
      <c r="Y50" s="498"/>
      <c r="Z50" s="498"/>
    </row>
    <row r="51" ht="15.0" customHeight="1">
      <c r="A51" s="498"/>
      <c r="B51" s="308"/>
      <c r="C51" s="498"/>
      <c r="D51" s="498"/>
      <c r="E51" s="498"/>
      <c r="F51" s="498"/>
      <c r="G51" s="498"/>
      <c r="H51" s="498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498"/>
      <c r="X51" s="498"/>
      <c r="Y51" s="498"/>
      <c r="Z51" s="498"/>
    </row>
    <row r="52" ht="15.0" customHeight="1">
      <c r="A52" s="498"/>
      <c r="B52" s="308"/>
      <c r="C52" s="498"/>
      <c r="D52" s="498"/>
      <c r="E52" s="498"/>
      <c r="F52" s="498"/>
      <c r="G52" s="498"/>
      <c r="H52" s="498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498"/>
      <c r="X52" s="498"/>
      <c r="Y52" s="498"/>
      <c r="Z52" s="498"/>
    </row>
    <row r="53" ht="15.0" customHeight="1">
      <c r="A53" s="498"/>
      <c r="B53" s="308"/>
      <c r="C53" s="498"/>
      <c r="D53" s="498"/>
      <c r="E53" s="498"/>
      <c r="F53" s="498"/>
      <c r="G53" s="498"/>
      <c r="H53" s="498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8"/>
      <c r="W53" s="498"/>
      <c r="X53" s="498"/>
      <c r="Y53" s="498"/>
      <c r="Z53" s="498"/>
    </row>
    <row r="54" ht="15.0" customHeight="1">
      <c r="A54" s="498"/>
      <c r="B54" s="30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</row>
    <row r="55" ht="15.0" customHeight="1">
      <c r="A55" s="498"/>
      <c r="B55" s="308"/>
      <c r="C55" s="498"/>
      <c r="D55" s="498"/>
      <c r="E55" s="498"/>
      <c r="F55" s="498"/>
      <c r="G55" s="498"/>
      <c r="H55" s="498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498"/>
      <c r="X55" s="498"/>
      <c r="Y55" s="498"/>
      <c r="Z55" s="498"/>
    </row>
    <row r="56" ht="15.0" customHeight="1">
      <c r="A56" s="498"/>
      <c r="B56" s="308"/>
      <c r="C56" s="498"/>
      <c r="D56" s="498"/>
      <c r="E56" s="498"/>
      <c r="F56" s="498"/>
      <c r="G56" s="498"/>
      <c r="H56" s="498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498"/>
      <c r="X56" s="498"/>
      <c r="Y56" s="498"/>
      <c r="Z56" s="498"/>
    </row>
    <row r="57" ht="15.0" customHeight="1">
      <c r="A57" s="498"/>
      <c r="B57" s="308"/>
      <c r="C57" s="498"/>
      <c r="D57" s="498"/>
      <c r="E57" s="498"/>
      <c r="F57" s="498"/>
      <c r="G57" s="498"/>
      <c r="H57" s="498"/>
      <c r="I57" s="498"/>
      <c r="J57" s="498"/>
      <c r="K57" s="498"/>
      <c r="L57" s="498"/>
      <c r="M57" s="498"/>
      <c r="N57" s="498"/>
      <c r="O57" s="498"/>
      <c r="P57" s="498"/>
      <c r="Q57" s="923"/>
      <c r="R57" s="498"/>
      <c r="S57" s="498"/>
      <c r="T57" s="498"/>
      <c r="U57" s="498"/>
      <c r="V57" s="498"/>
      <c r="W57" s="498"/>
      <c r="X57" s="498"/>
      <c r="Y57" s="498"/>
      <c r="Z57" s="498"/>
    </row>
    <row r="58" ht="15.0" customHeight="1">
      <c r="A58" s="498"/>
      <c r="B58" s="308"/>
      <c r="C58" s="498"/>
      <c r="D58" s="498"/>
      <c r="E58" s="498"/>
      <c r="F58" s="498"/>
      <c r="G58" s="498"/>
      <c r="H58" s="498"/>
      <c r="I58" s="498"/>
      <c r="J58" s="498"/>
      <c r="K58" s="498"/>
      <c r="L58" s="498"/>
      <c r="M58" s="498"/>
      <c r="N58" s="498"/>
      <c r="O58" s="498"/>
      <c r="P58" s="498"/>
      <c r="Q58" s="923"/>
      <c r="R58" s="498"/>
      <c r="S58" s="498"/>
      <c r="T58" s="498"/>
      <c r="U58" s="498"/>
      <c r="V58" s="498"/>
      <c r="W58" s="498"/>
      <c r="X58" s="498"/>
      <c r="Y58" s="498"/>
      <c r="Z58" s="498"/>
    </row>
    <row r="59" ht="15.0" customHeight="1">
      <c r="A59" s="498"/>
      <c r="B59" s="308"/>
      <c r="C59" s="498"/>
      <c r="D59" s="498"/>
      <c r="E59" s="498"/>
      <c r="F59" s="498"/>
      <c r="G59" s="498"/>
      <c r="H59" s="498"/>
      <c r="I59" s="498"/>
      <c r="J59" s="498"/>
      <c r="K59" s="498"/>
      <c r="L59" s="498"/>
      <c r="M59" s="498"/>
      <c r="N59" s="498"/>
      <c r="O59" s="498"/>
      <c r="P59" s="498"/>
      <c r="Q59" s="923"/>
      <c r="R59" s="729"/>
      <c r="S59" s="729"/>
      <c r="T59" s="729"/>
      <c r="U59" s="498"/>
      <c r="V59" s="498"/>
      <c r="W59" s="498"/>
      <c r="X59" s="498"/>
      <c r="Y59" s="498"/>
      <c r="Z59" s="498"/>
    </row>
    <row r="60" ht="15.0" customHeight="1">
      <c r="A60" s="498"/>
      <c r="B60" s="308"/>
      <c r="C60" s="498"/>
      <c r="D60" s="498"/>
      <c r="E60" s="498"/>
      <c r="F60" s="498"/>
      <c r="G60" s="498"/>
      <c r="H60" s="498"/>
      <c r="I60" s="498"/>
      <c r="J60" s="498"/>
      <c r="K60" s="498"/>
      <c r="L60" s="498"/>
      <c r="M60" s="498"/>
      <c r="N60" s="498"/>
      <c r="O60" s="498"/>
      <c r="P60" s="498"/>
      <c r="Q60" s="923"/>
      <c r="R60" s="729"/>
      <c r="S60" s="729"/>
      <c r="T60" s="729"/>
      <c r="U60" s="498"/>
      <c r="V60" s="498"/>
      <c r="W60" s="498"/>
      <c r="X60" s="498"/>
      <c r="Y60" s="498"/>
      <c r="Z60" s="498"/>
    </row>
    <row r="61" ht="15.0" customHeight="1">
      <c r="A61" s="612"/>
      <c r="B61" s="682"/>
      <c r="C61" s="612"/>
      <c r="D61" s="612"/>
      <c r="E61" s="612"/>
      <c r="F61" s="612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R61" s="784"/>
      <c r="S61" s="784"/>
      <c r="T61" s="784"/>
      <c r="U61" s="612"/>
      <c r="V61" s="612"/>
      <c r="W61" s="612"/>
      <c r="X61" s="612"/>
      <c r="Y61" s="612"/>
      <c r="Z61" s="612"/>
    </row>
    <row r="62" ht="15.0" customHeight="1">
      <c r="A62" s="612"/>
      <c r="B62" s="682"/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</row>
    <row r="63" ht="15.0" customHeight="1">
      <c r="A63" s="612"/>
      <c r="B63" s="68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2"/>
      <c r="N63" s="612"/>
      <c r="O63" s="612"/>
      <c r="P63" s="612"/>
      <c r="Q63" s="612"/>
      <c r="R63" s="612"/>
      <c r="S63" s="612"/>
      <c r="T63" s="612"/>
      <c r="U63" s="612"/>
      <c r="V63" s="612"/>
      <c r="W63" s="612"/>
      <c r="X63" s="612"/>
      <c r="Y63" s="612"/>
      <c r="Z63" s="612"/>
    </row>
    <row r="64" ht="15.0" customHeight="1">
      <c r="A64" s="612"/>
      <c r="B64" s="682"/>
      <c r="C64" s="612"/>
      <c r="D64" s="612"/>
      <c r="E64" s="612"/>
      <c r="F64" s="612"/>
      <c r="G64" s="612"/>
      <c r="H64" s="612"/>
      <c r="I64" s="612"/>
      <c r="J64" s="612"/>
      <c r="K64" s="612"/>
      <c r="L64" s="612"/>
      <c r="M64" s="612"/>
      <c r="N64" s="612"/>
      <c r="O64" s="612"/>
      <c r="P64" s="612"/>
      <c r="Q64" s="612"/>
      <c r="R64" s="612"/>
      <c r="S64" s="612"/>
      <c r="T64" s="612"/>
      <c r="U64" s="612"/>
      <c r="V64" s="612"/>
      <c r="W64" s="612"/>
      <c r="X64" s="612"/>
      <c r="Y64" s="612"/>
      <c r="Z64" s="612"/>
    </row>
    <row r="65" ht="15.0" customHeight="1">
      <c r="A65" s="612"/>
      <c r="B65" s="682"/>
      <c r="C65" s="612"/>
      <c r="D65" s="612"/>
      <c r="E65" s="612"/>
      <c r="F65" s="612"/>
      <c r="G65" s="612"/>
      <c r="H65" s="612"/>
      <c r="I65" s="612"/>
      <c r="J65" s="612"/>
      <c r="K65" s="612"/>
      <c r="L65" s="612"/>
      <c r="M65" s="612"/>
      <c r="N65" s="612"/>
      <c r="O65" s="612"/>
      <c r="P65" s="612"/>
      <c r="R65" s="784"/>
      <c r="S65" s="784"/>
      <c r="T65" s="784"/>
      <c r="U65" s="612"/>
      <c r="V65" s="612"/>
      <c r="W65" s="612"/>
      <c r="X65" s="612"/>
      <c r="Y65" s="612"/>
      <c r="Z65" s="612"/>
    </row>
    <row r="66" ht="15.0" customHeight="1">
      <c r="A66" s="612"/>
      <c r="B66" s="682"/>
      <c r="C66" s="612"/>
      <c r="D66" s="612"/>
      <c r="E66" s="612"/>
      <c r="F66" s="612"/>
      <c r="G66" s="612"/>
      <c r="H66" s="612"/>
      <c r="I66" s="612"/>
      <c r="J66" s="612"/>
      <c r="K66" s="612"/>
      <c r="L66" s="612"/>
      <c r="M66" s="612"/>
      <c r="N66" s="612"/>
      <c r="O66" s="612"/>
      <c r="P66" s="612"/>
      <c r="Q66" s="732"/>
      <c r="R66" s="732"/>
      <c r="S66" s="732"/>
      <c r="T66" s="732"/>
      <c r="U66" s="612"/>
      <c r="V66" s="612"/>
      <c r="W66" s="612"/>
      <c r="X66" s="612"/>
      <c r="Y66" s="612"/>
      <c r="Z66" s="612"/>
    </row>
    <row r="67" ht="15.0" customHeight="1">
      <c r="A67" s="612"/>
      <c r="B67" s="733"/>
      <c r="C67" s="734"/>
      <c r="D67" s="734"/>
      <c r="E67" s="735"/>
      <c r="F67" s="735"/>
      <c r="G67" s="735"/>
      <c r="H67" s="736"/>
      <c r="I67" s="737"/>
      <c r="J67" s="736"/>
      <c r="K67" s="738"/>
      <c r="L67" s="738"/>
      <c r="M67" s="738"/>
      <c r="N67" s="736"/>
      <c r="O67" s="736"/>
      <c r="P67" s="736"/>
      <c r="Q67" s="612"/>
      <c r="R67" s="612"/>
      <c r="S67" s="612"/>
      <c r="T67" s="612"/>
      <c r="U67" s="612"/>
      <c r="V67" s="612"/>
      <c r="W67" s="612"/>
      <c r="X67" s="612"/>
      <c r="Y67" s="612"/>
      <c r="Z67" s="612"/>
    </row>
    <row r="68" ht="15.0" customHeight="1">
      <c r="A68" s="612"/>
      <c r="B68" s="682"/>
      <c r="C68" s="612"/>
      <c r="D68" s="612"/>
      <c r="E68" s="612"/>
      <c r="F68" s="612"/>
      <c r="G68" s="612"/>
      <c r="H68" s="612"/>
      <c r="I68" s="612"/>
      <c r="J68" s="612"/>
      <c r="K68" s="612"/>
      <c r="L68" s="612"/>
      <c r="M68" s="612"/>
      <c r="N68" s="612"/>
      <c r="O68" s="612"/>
      <c r="P68" s="612"/>
      <c r="Q68" s="612"/>
      <c r="R68" s="612"/>
      <c r="S68" s="612"/>
      <c r="T68" s="612"/>
      <c r="U68" s="612"/>
      <c r="V68" s="612"/>
      <c r="W68" s="612"/>
      <c r="X68" s="612"/>
      <c r="Y68" s="612"/>
      <c r="Z68" s="612"/>
    </row>
    <row r="69" ht="15.0" customHeight="1">
      <c r="A69" s="612"/>
      <c r="B69" s="682"/>
      <c r="C69" s="612"/>
      <c r="D69" s="612"/>
      <c r="E69" s="612"/>
      <c r="F69" s="612"/>
      <c r="G69" s="612"/>
      <c r="H69" s="612"/>
      <c r="I69" s="612"/>
      <c r="J69" s="612"/>
      <c r="K69" s="612"/>
      <c r="L69" s="612"/>
      <c r="M69" s="612"/>
      <c r="N69" s="612"/>
      <c r="O69" s="612"/>
      <c r="P69" s="612"/>
      <c r="Q69" s="612"/>
      <c r="R69" s="612"/>
      <c r="S69" s="612"/>
      <c r="T69" s="612"/>
      <c r="U69" s="612"/>
      <c r="V69" s="612"/>
      <c r="W69" s="612"/>
      <c r="X69" s="612"/>
      <c r="Y69" s="612"/>
      <c r="Z69" s="612"/>
    </row>
    <row r="70" ht="15.0" customHeight="1">
      <c r="A70" s="612"/>
      <c r="B70" s="682"/>
      <c r="C70" s="612"/>
      <c r="D70" s="612"/>
      <c r="E70" s="612"/>
      <c r="F70" s="612"/>
      <c r="G70" s="612"/>
      <c r="H70" s="612"/>
      <c r="I70" s="612"/>
      <c r="J70" s="612"/>
      <c r="K70" s="612"/>
      <c r="L70" s="612"/>
      <c r="M70" s="612"/>
      <c r="N70" s="612"/>
      <c r="O70" s="612"/>
      <c r="P70" s="612"/>
      <c r="Q70" s="612"/>
      <c r="R70" s="612"/>
      <c r="S70" s="612"/>
      <c r="T70" s="612"/>
      <c r="U70" s="612"/>
      <c r="V70" s="612"/>
      <c r="W70" s="612"/>
      <c r="X70" s="612"/>
      <c r="Y70" s="612"/>
      <c r="Z70" s="612"/>
    </row>
    <row r="71" ht="15.0" customHeight="1">
      <c r="A71" s="612"/>
      <c r="B71" s="682"/>
      <c r="C71" s="612"/>
      <c r="D71" s="612"/>
      <c r="E71" s="612"/>
      <c r="F71" s="612"/>
      <c r="G71" s="612"/>
      <c r="H71" s="612"/>
      <c r="I71" s="612"/>
      <c r="J71" s="612"/>
      <c r="K71" s="612"/>
      <c r="L71" s="612"/>
      <c r="M71" s="612"/>
      <c r="N71" s="612"/>
      <c r="O71" s="612"/>
      <c r="P71" s="612"/>
      <c r="Q71" s="612"/>
      <c r="R71" s="612"/>
      <c r="S71" s="612"/>
      <c r="T71" s="612"/>
      <c r="U71" s="612"/>
      <c r="V71" s="612"/>
      <c r="W71" s="612"/>
      <c r="X71" s="612"/>
      <c r="Y71" s="612"/>
      <c r="Z71" s="612"/>
    </row>
    <row r="72" ht="15.0" customHeight="1">
      <c r="A72" s="612"/>
      <c r="B72" s="68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</row>
    <row r="73" ht="13.5" customHeight="1">
      <c r="A73" s="612"/>
      <c r="B73" s="682"/>
      <c r="C73" s="612"/>
      <c r="D73" s="612"/>
      <c r="E73" s="612"/>
      <c r="F73" s="612"/>
      <c r="G73" s="612"/>
      <c r="H73" s="612"/>
      <c r="I73" s="612"/>
      <c r="J73" s="612"/>
      <c r="K73" s="612"/>
      <c r="L73" s="612"/>
      <c r="M73" s="612"/>
      <c r="N73" s="612"/>
      <c r="O73" s="612"/>
      <c r="P73" s="612"/>
      <c r="Q73" s="612"/>
      <c r="R73" s="612"/>
      <c r="S73" s="612"/>
      <c r="T73" s="612"/>
      <c r="U73" s="612"/>
      <c r="V73" s="612"/>
      <c r="W73" s="612"/>
      <c r="X73" s="612"/>
      <c r="Y73" s="612"/>
      <c r="Z73" s="612"/>
    </row>
    <row r="74" ht="13.5" customHeight="1">
      <c r="A74" s="612"/>
      <c r="B74" s="682"/>
      <c r="C74" s="612"/>
      <c r="D74" s="612"/>
      <c r="E74" s="612"/>
      <c r="F74" s="612"/>
      <c r="G74" s="612"/>
      <c r="H74" s="612"/>
      <c r="I74" s="612"/>
      <c r="J74" s="612"/>
      <c r="K74" s="612"/>
      <c r="L74" s="612"/>
      <c r="M74" s="612"/>
      <c r="N74" s="612"/>
      <c r="O74" s="612"/>
      <c r="P74" s="612"/>
      <c r="Q74" s="612"/>
      <c r="R74" s="612"/>
      <c r="S74" s="612"/>
      <c r="T74" s="612"/>
      <c r="U74" s="612"/>
      <c r="V74" s="612"/>
      <c r="W74" s="612"/>
      <c r="X74" s="612"/>
      <c r="Y74" s="612"/>
      <c r="Z74" s="612"/>
    </row>
    <row r="75" ht="13.5" customHeight="1">
      <c r="A75" s="612"/>
      <c r="B75" s="682"/>
      <c r="C75" s="612"/>
      <c r="D75" s="612"/>
      <c r="E75" s="612"/>
      <c r="F75" s="612"/>
      <c r="G75" s="612"/>
      <c r="H75" s="612"/>
      <c r="I75" s="612"/>
      <c r="J75" s="612"/>
      <c r="K75" s="612"/>
      <c r="L75" s="612"/>
      <c r="M75" s="612"/>
      <c r="N75" s="612"/>
      <c r="O75" s="612"/>
      <c r="P75" s="612"/>
      <c r="Q75" s="612"/>
      <c r="R75" s="612"/>
      <c r="S75" s="612"/>
      <c r="T75" s="612"/>
      <c r="U75" s="612"/>
      <c r="V75" s="612"/>
      <c r="W75" s="612"/>
      <c r="X75" s="612"/>
      <c r="Y75" s="612"/>
      <c r="Z75" s="612"/>
    </row>
    <row r="76" ht="13.5" customHeight="1">
      <c r="A76" s="612"/>
      <c r="B76" s="682"/>
      <c r="C76" s="612"/>
      <c r="D76" s="612"/>
      <c r="E76" s="612"/>
      <c r="F76" s="612"/>
      <c r="G76" s="612"/>
      <c r="H76" s="612"/>
      <c r="I76" s="612"/>
      <c r="J76" s="612"/>
      <c r="K76" s="612"/>
      <c r="L76" s="612"/>
      <c r="M76" s="612"/>
      <c r="N76" s="612"/>
      <c r="O76" s="612"/>
      <c r="P76" s="612"/>
      <c r="Q76" s="612"/>
      <c r="R76" s="612"/>
      <c r="S76" s="612"/>
      <c r="T76" s="612"/>
      <c r="U76" s="612"/>
      <c r="V76" s="612"/>
      <c r="W76" s="612"/>
      <c r="X76" s="612"/>
      <c r="Y76" s="612"/>
      <c r="Z76" s="612"/>
    </row>
    <row r="77" ht="13.5" customHeight="1">
      <c r="A77" s="612"/>
      <c r="B77" s="68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2"/>
      <c r="P77" s="612"/>
      <c r="Q77" s="612"/>
      <c r="R77" s="612"/>
      <c r="S77" s="612"/>
      <c r="T77" s="612"/>
      <c r="U77" s="612"/>
      <c r="V77" s="612"/>
      <c r="W77" s="612"/>
      <c r="X77" s="612"/>
      <c r="Y77" s="612"/>
      <c r="Z77" s="612"/>
    </row>
    <row r="78" ht="13.5" customHeight="1">
      <c r="A78" s="612"/>
      <c r="B78" s="682"/>
      <c r="C78" s="612"/>
      <c r="D78" s="612"/>
      <c r="E78" s="612"/>
      <c r="F78" s="612"/>
      <c r="G78" s="612"/>
      <c r="H78" s="612"/>
      <c r="I78" s="612"/>
      <c r="J78" s="612"/>
      <c r="K78" s="612"/>
      <c r="L78" s="612"/>
      <c r="M78" s="612"/>
      <c r="N78" s="612"/>
      <c r="O78" s="612"/>
      <c r="P78" s="612"/>
      <c r="Q78" s="612"/>
      <c r="R78" s="612"/>
      <c r="S78" s="612"/>
      <c r="T78" s="612"/>
      <c r="U78" s="612"/>
      <c r="V78" s="612"/>
      <c r="W78" s="612"/>
      <c r="X78" s="612"/>
      <c r="Y78" s="612"/>
      <c r="Z78" s="612"/>
    </row>
    <row r="79" ht="13.5" customHeight="1">
      <c r="A79" s="612"/>
      <c r="B79" s="68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</row>
    <row r="80" ht="13.5" customHeight="1">
      <c r="A80" s="612"/>
      <c r="B80" s="682"/>
      <c r="C80" s="612"/>
      <c r="D80" s="612"/>
      <c r="E80" s="612"/>
      <c r="F80" s="612"/>
      <c r="G80" s="612"/>
      <c r="H80" s="612"/>
      <c r="I80" s="612"/>
      <c r="J80" s="612"/>
      <c r="K80" s="612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12"/>
      <c r="Y80" s="612"/>
      <c r="Z80" s="612"/>
    </row>
    <row r="81" ht="13.5" customHeight="1">
      <c r="A81" s="612"/>
      <c r="B81" s="682"/>
      <c r="C81" s="612"/>
      <c r="D81" s="612"/>
      <c r="E81" s="612"/>
      <c r="F81" s="612"/>
      <c r="G81" s="612"/>
      <c r="H81" s="612"/>
      <c r="I81" s="612"/>
      <c r="J81" s="612"/>
      <c r="K81" s="612"/>
      <c r="L81" s="612"/>
      <c r="M81" s="612"/>
      <c r="N81" s="612"/>
      <c r="O81" s="612"/>
      <c r="P81" s="612"/>
      <c r="Q81" s="612"/>
      <c r="R81" s="612"/>
      <c r="S81" s="612"/>
      <c r="T81" s="612"/>
      <c r="U81" s="612"/>
      <c r="V81" s="612"/>
      <c r="W81" s="612"/>
      <c r="X81" s="612"/>
      <c r="Y81" s="612"/>
      <c r="Z81" s="612"/>
    </row>
    <row r="82" ht="13.5" customHeight="1">
      <c r="A82" s="612"/>
      <c r="B82" s="68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2"/>
      <c r="P82" s="612"/>
      <c r="Q82" s="612"/>
      <c r="R82" s="612"/>
      <c r="S82" s="612"/>
      <c r="T82" s="612"/>
      <c r="U82" s="612"/>
      <c r="V82" s="612"/>
      <c r="W82" s="612"/>
      <c r="X82" s="612"/>
      <c r="Y82" s="612"/>
      <c r="Z82" s="612"/>
    </row>
    <row r="83" ht="13.5" customHeight="1">
      <c r="A83" s="612"/>
      <c r="B83" s="68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2"/>
      <c r="N83" s="612"/>
      <c r="O83" s="612"/>
      <c r="P83" s="612"/>
      <c r="Q83" s="612"/>
      <c r="R83" s="612"/>
      <c r="S83" s="612"/>
      <c r="T83" s="612"/>
      <c r="U83" s="612"/>
      <c r="V83" s="612"/>
      <c r="W83" s="612"/>
      <c r="X83" s="612"/>
      <c r="Y83" s="612"/>
      <c r="Z83" s="612"/>
    </row>
    <row r="84" ht="13.5" customHeight="1">
      <c r="A84" s="612"/>
      <c r="B84" s="68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</row>
    <row r="85" ht="13.5" customHeight="1">
      <c r="A85" s="612"/>
      <c r="B85" s="682"/>
      <c r="C85" s="612"/>
      <c r="D85" s="612"/>
      <c r="E85" s="612"/>
      <c r="F85" s="612"/>
      <c r="G85" s="612"/>
      <c r="H85" s="612"/>
      <c r="I85" s="612"/>
      <c r="J85" s="612"/>
      <c r="K85" s="612"/>
      <c r="L85" s="612"/>
      <c r="M85" s="612"/>
      <c r="N85" s="612"/>
      <c r="O85" s="612"/>
      <c r="P85" s="612"/>
      <c r="Q85" s="612"/>
      <c r="R85" s="612"/>
      <c r="S85" s="612"/>
      <c r="T85" s="612"/>
      <c r="U85" s="612"/>
      <c r="V85" s="612"/>
      <c r="W85" s="612"/>
      <c r="X85" s="612"/>
      <c r="Y85" s="612"/>
      <c r="Z85" s="612"/>
    </row>
    <row r="86" ht="13.5" customHeight="1">
      <c r="A86" s="612"/>
      <c r="B86" s="682"/>
      <c r="C86" s="612"/>
      <c r="D86" s="612"/>
      <c r="E86" s="612"/>
      <c r="F86" s="612"/>
      <c r="G86" s="612"/>
      <c r="H86" s="612"/>
      <c r="I86" s="612"/>
      <c r="J86" s="612"/>
      <c r="K86" s="612"/>
      <c r="L86" s="612"/>
      <c r="M86" s="612"/>
      <c r="N86" s="612"/>
      <c r="O86" s="612"/>
      <c r="P86" s="612"/>
      <c r="Q86" s="612"/>
      <c r="R86" s="612"/>
      <c r="S86" s="612"/>
      <c r="T86" s="612"/>
      <c r="U86" s="612"/>
      <c r="V86" s="612"/>
      <c r="W86" s="612"/>
      <c r="X86" s="612"/>
      <c r="Y86" s="612"/>
      <c r="Z86" s="612"/>
    </row>
    <row r="87" ht="13.5" customHeight="1">
      <c r="A87" s="612"/>
      <c r="B87" s="682"/>
      <c r="C87" s="612"/>
      <c r="D87" s="612"/>
      <c r="E87" s="612"/>
      <c r="F87" s="612"/>
      <c r="G87" s="612"/>
      <c r="H87" s="612"/>
      <c r="I87" s="612"/>
      <c r="J87" s="612"/>
      <c r="K87" s="612"/>
      <c r="L87" s="612"/>
      <c r="M87" s="612"/>
      <c r="N87" s="612"/>
      <c r="O87" s="612"/>
      <c r="P87" s="612"/>
      <c r="Q87" s="612"/>
      <c r="R87" s="612"/>
      <c r="S87" s="612"/>
      <c r="T87" s="612"/>
      <c r="U87" s="612"/>
      <c r="V87" s="612"/>
      <c r="W87" s="612"/>
      <c r="X87" s="612"/>
      <c r="Y87" s="612"/>
      <c r="Z87" s="612"/>
    </row>
    <row r="88" ht="13.5" customHeight="1">
      <c r="A88" s="612"/>
      <c r="B88" s="682"/>
      <c r="C88" s="612"/>
      <c r="D88" s="612"/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2"/>
      <c r="P88" s="612"/>
      <c r="Q88" s="612"/>
      <c r="R88" s="612"/>
      <c r="S88" s="612"/>
      <c r="T88" s="612"/>
      <c r="U88" s="612"/>
      <c r="V88" s="612"/>
      <c r="W88" s="612"/>
      <c r="X88" s="612"/>
      <c r="Y88" s="612"/>
      <c r="Z88" s="612"/>
    </row>
    <row r="89" ht="13.5" customHeight="1">
      <c r="A89" s="612"/>
      <c r="B89" s="682"/>
      <c r="C89" s="612"/>
      <c r="D89" s="612"/>
      <c r="E89" s="612"/>
      <c r="F89" s="612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612"/>
      <c r="R89" s="612"/>
      <c r="S89" s="612"/>
      <c r="T89" s="612"/>
      <c r="U89" s="612"/>
      <c r="V89" s="612"/>
      <c r="W89" s="612"/>
      <c r="X89" s="612"/>
      <c r="Y89" s="612"/>
      <c r="Z89" s="612"/>
    </row>
    <row r="90" ht="13.5" customHeight="1">
      <c r="A90" s="612"/>
      <c r="B90" s="68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</row>
    <row r="91" ht="13.5" customHeight="1">
      <c r="A91" s="612"/>
      <c r="B91" s="682"/>
      <c r="C91" s="612"/>
      <c r="D91" s="612"/>
      <c r="E91" s="612"/>
      <c r="F91" s="612"/>
      <c r="G91" s="612"/>
      <c r="H91" s="612"/>
      <c r="I91" s="612"/>
      <c r="J91" s="612"/>
      <c r="K91" s="612"/>
      <c r="L91" s="612"/>
      <c r="M91" s="612"/>
      <c r="N91" s="612"/>
      <c r="O91" s="612"/>
      <c r="P91" s="612"/>
      <c r="Q91" s="612"/>
      <c r="R91" s="612"/>
      <c r="S91" s="612"/>
      <c r="T91" s="612"/>
      <c r="U91" s="612"/>
      <c r="V91" s="612"/>
      <c r="W91" s="612"/>
      <c r="X91" s="612"/>
      <c r="Y91" s="612"/>
      <c r="Z91" s="612"/>
    </row>
    <row r="92" ht="13.5" customHeight="1">
      <c r="A92" s="612"/>
      <c r="B92" s="682"/>
      <c r="C92" s="612"/>
      <c r="D92" s="612"/>
      <c r="E92" s="612"/>
      <c r="F92" s="612"/>
      <c r="G92" s="612"/>
      <c r="H92" s="612"/>
      <c r="I92" s="612"/>
      <c r="J92" s="612"/>
      <c r="K92" s="612"/>
      <c r="L92" s="612"/>
      <c r="M92" s="612"/>
      <c r="N92" s="612"/>
      <c r="O92" s="612"/>
      <c r="P92" s="612"/>
      <c r="Q92" s="612"/>
      <c r="R92" s="612"/>
      <c r="S92" s="612"/>
      <c r="T92" s="612"/>
      <c r="U92" s="612"/>
      <c r="V92" s="612"/>
      <c r="W92" s="612"/>
      <c r="X92" s="612"/>
      <c r="Y92" s="612"/>
      <c r="Z92" s="612"/>
    </row>
    <row r="93" ht="13.5" customHeight="1">
      <c r="A93" s="612"/>
      <c r="B93" s="682"/>
      <c r="C93" s="612"/>
      <c r="D93" s="612"/>
      <c r="E93" s="612"/>
      <c r="F93" s="612"/>
      <c r="G93" s="612"/>
      <c r="H93" s="612"/>
      <c r="I93" s="612"/>
      <c r="J93" s="612"/>
      <c r="K93" s="612"/>
      <c r="L93" s="612"/>
      <c r="M93" s="612"/>
      <c r="N93" s="612"/>
      <c r="O93" s="612"/>
      <c r="P93" s="612"/>
      <c r="Q93" s="612"/>
      <c r="R93" s="612"/>
      <c r="S93" s="612"/>
      <c r="T93" s="612"/>
      <c r="U93" s="612"/>
      <c r="V93" s="612"/>
      <c r="W93" s="612"/>
      <c r="X93" s="612"/>
      <c r="Y93" s="612"/>
      <c r="Z93" s="612"/>
    </row>
    <row r="94" ht="13.5" customHeight="1">
      <c r="A94" s="612"/>
      <c r="B94" s="682"/>
      <c r="C94" s="612"/>
      <c r="D94" s="612"/>
      <c r="E94" s="612"/>
      <c r="F94" s="612"/>
      <c r="G94" s="612"/>
      <c r="H94" s="612"/>
      <c r="I94" s="612"/>
      <c r="J94" s="612"/>
      <c r="K94" s="612"/>
      <c r="L94" s="612"/>
      <c r="M94" s="612"/>
      <c r="N94" s="612"/>
      <c r="O94" s="612"/>
      <c r="P94" s="612"/>
      <c r="Q94" s="612"/>
      <c r="R94" s="612"/>
      <c r="S94" s="612"/>
      <c r="T94" s="612"/>
      <c r="U94" s="612"/>
      <c r="V94" s="612"/>
      <c r="W94" s="612"/>
      <c r="X94" s="612"/>
      <c r="Y94" s="612"/>
      <c r="Z94" s="612"/>
    </row>
    <row r="95" ht="13.5" customHeight="1">
      <c r="A95" s="612"/>
      <c r="B95" s="682"/>
      <c r="C95" s="612"/>
      <c r="D95" s="612"/>
      <c r="E95" s="612"/>
      <c r="F95" s="612"/>
      <c r="G95" s="612"/>
      <c r="H95" s="612"/>
      <c r="I95" s="612"/>
      <c r="J95" s="612"/>
      <c r="K95" s="612"/>
      <c r="L95" s="612"/>
      <c r="M95" s="612"/>
      <c r="N95" s="612"/>
      <c r="O95" s="612"/>
      <c r="P95" s="612"/>
      <c r="Q95" s="612"/>
      <c r="R95" s="612"/>
      <c r="S95" s="612"/>
      <c r="T95" s="612"/>
      <c r="U95" s="612"/>
      <c r="V95" s="612"/>
      <c r="W95" s="612"/>
      <c r="X95" s="612"/>
      <c r="Y95" s="612"/>
      <c r="Z95" s="612"/>
    </row>
    <row r="96" ht="13.5" customHeight="1">
      <c r="A96" s="612"/>
      <c r="B96" s="68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2"/>
      <c r="P96" s="612"/>
      <c r="Q96" s="612"/>
      <c r="R96" s="612"/>
      <c r="S96" s="612"/>
      <c r="T96" s="612"/>
      <c r="U96" s="612"/>
      <c r="V96" s="612"/>
      <c r="W96" s="612"/>
      <c r="X96" s="612"/>
      <c r="Y96" s="612"/>
      <c r="Z96" s="612"/>
    </row>
    <row r="97" ht="13.5" customHeight="1">
      <c r="A97" s="612"/>
      <c r="B97" s="68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</row>
    <row r="98" ht="13.5" customHeight="1">
      <c r="A98" s="612"/>
      <c r="B98" s="682"/>
      <c r="C98" s="612"/>
      <c r="D98" s="612"/>
      <c r="E98" s="612"/>
      <c r="F98" s="612"/>
      <c r="G98" s="612"/>
      <c r="H98" s="612"/>
      <c r="I98" s="612"/>
      <c r="J98" s="612"/>
      <c r="K98" s="612"/>
      <c r="L98" s="612"/>
      <c r="M98" s="612"/>
      <c r="N98" s="612"/>
      <c r="O98" s="612"/>
      <c r="P98" s="612"/>
      <c r="Q98" s="612"/>
      <c r="R98" s="612"/>
      <c r="S98" s="612"/>
      <c r="T98" s="612"/>
      <c r="U98" s="612"/>
      <c r="V98" s="612"/>
      <c r="W98" s="612"/>
      <c r="X98" s="612"/>
      <c r="Y98" s="612"/>
      <c r="Z98" s="612"/>
    </row>
    <row r="99" ht="13.5" customHeight="1">
      <c r="A99" s="612"/>
      <c r="B99" s="682"/>
      <c r="C99" s="612"/>
      <c r="D99" s="612"/>
      <c r="E99" s="612"/>
      <c r="F99" s="612"/>
      <c r="G99" s="612"/>
      <c r="H99" s="612"/>
      <c r="I99" s="612"/>
      <c r="J99" s="612"/>
      <c r="K99" s="612"/>
      <c r="L99" s="612"/>
      <c r="M99" s="612"/>
      <c r="N99" s="612"/>
      <c r="O99" s="612"/>
      <c r="P99" s="612"/>
      <c r="Q99" s="612"/>
      <c r="R99" s="612"/>
      <c r="S99" s="612"/>
      <c r="T99" s="612"/>
      <c r="U99" s="612"/>
      <c r="V99" s="612"/>
      <c r="W99" s="612"/>
      <c r="X99" s="612"/>
      <c r="Y99" s="612"/>
      <c r="Z99" s="612"/>
    </row>
    <row r="100" ht="13.5" customHeight="1">
      <c r="A100" s="612"/>
      <c r="B100" s="682"/>
      <c r="C100" s="612"/>
      <c r="D100" s="612"/>
      <c r="E100" s="612"/>
      <c r="F100" s="612"/>
      <c r="G100" s="612"/>
      <c r="H100" s="612"/>
      <c r="I100" s="612"/>
      <c r="J100" s="612"/>
      <c r="K100" s="612"/>
      <c r="L100" s="612"/>
      <c r="M100" s="612"/>
      <c r="N100" s="612"/>
      <c r="O100" s="612"/>
      <c r="P100" s="612"/>
      <c r="Q100" s="612"/>
      <c r="R100" s="612"/>
      <c r="S100" s="612"/>
      <c r="T100" s="612"/>
      <c r="U100" s="612"/>
      <c r="V100" s="612"/>
      <c r="W100" s="612"/>
      <c r="X100" s="612"/>
      <c r="Y100" s="612"/>
      <c r="Z100" s="612"/>
    </row>
    <row r="101" ht="13.5" customHeight="1">
      <c r="A101" s="612"/>
      <c r="B101" s="682"/>
      <c r="C101" s="612"/>
      <c r="D101" s="612"/>
      <c r="E101" s="612"/>
      <c r="F101" s="612"/>
      <c r="G101" s="612"/>
      <c r="H101" s="612"/>
      <c r="I101" s="612"/>
      <c r="J101" s="612"/>
      <c r="K101" s="612"/>
      <c r="L101" s="612"/>
      <c r="M101" s="612"/>
      <c r="N101" s="612"/>
      <c r="O101" s="612"/>
      <c r="P101" s="612"/>
      <c r="Q101" s="612"/>
      <c r="R101" s="612"/>
      <c r="S101" s="612"/>
      <c r="T101" s="612"/>
      <c r="U101" s="612"/>
      <c r="V101" s="612"/>
      <c r="W101" s="612"/>
      <c r="X101" s="612"/>
      <c r="Y101" s="612"/>
      <c r="Z101" s="612"/>
    </row>
    <row r="102" ht="13.5" customHeight="1">
      <c r="A102" s="612"/>
      <c r="B102" s="682"/>
      <c r="C102" s="612"/>
      <c r="D102" s="612"/>
      <c r="E102" s="612"/>
      <c r="F102" s="612"/>
      <c r="G102" s="612"/>
      <c r="H102" s="612"/>
      <c r="I102" s="612"/>
      <c r="J102" s="612"/>
      <c r="K102" s="612"/>
      <c r="L102" s="612"/>
      <c r="M102" s="612"/>
      <c r="N102" s="612"/>
      <c r="O102" s="612"/>
      <c r="P102" s="612"/>
      <c r="Q102" s="612"/>
      <c r="R102" s="612"/>
      <c r="S102" s="612"/>
      <c r="T102" s="612"/>
      <c r="U102" s="612"/>
      <c r="V102" s="612"/>
      <c r="W102" s="612"/>
      <c r="X102" s="612"/>
      <c r="Y102" s="612"/>
      <c r="Z102" s="612"/>
    </row>
    <row r="103" ht="13.5" customHeight="1">
      <c r="A103" s="612"/>
      <c r="B103" s="68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2"/>
      <c r="O103" s="612"/>
      <c r="P103" s="612"/>
      <c r="Q103" s="612"/>
      <c r="R103" s="612"/>
      <c r="S103" s="612"/>
      <c r="T103" s="612"/>
      <c r="U103" s="612"/>
      <c r="V103" s="612"/>
      <c r="W103" s="612"/>
      <c r="X103" s="612"/>
      <c r="Y103" s="612"/>
      <c r="Z103" s="612"/>
    </row>
    <row r="104" ht="13.5" customHeight="1">
      <c r="A104" s="612"/>
      <c r="B104" s="682"/>
      <c r="C104" s="612"/>
      <c r="D104" s="612"/>
      <c r="E104" s="612"/>
      <c r="F104" s="612"/>
      <c r="G104" s="612"/>
      <c r="H104" s="612"/>
      <c r="I104" s="612"/>
      <c r="J104" s="612"/>
      <c r="K104" s="612"/>
      <c r="L104" s="612"/>
      <c r="M104" s="612"/>
      <c r="N104" s="612"/>
      <c r="O104" s="612"/>
      <c r="P104" s="612"/>
      <c r="Q104" s="612"/>
      <c r="R104" s="612"/>
      <c r="S104" s="612"/>
      <c r="T104" s="612"/>
      <c r="U104" s="612"/>
      <c r="V104" s="612"/>
      <c r="W104" s="612"/>
      <c r="X104" s="612"/>
      <c r="Y104" s="612"/>
      <c r="Z104" s="612"/>
    </row>
    <row r="105" ht="13.5" customHeight="1">
      <c r="A105" s="612"/>
      <c r="B105" s="68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</row>
    <row r="106" ht="13.5" customHeight="1">
      <c r="A106" s="612"/>
      <c r="B106" s="682"/>
      <c r="C106" s="612"/>
      <c r="D106" s="612"/>
      <c r="E106" s="612"/>
      <c r="F106" s="612"/>
      <c r="G106" s="612"/>
      <c r="H106" s="612"/>
      <c r="I106" s="612"/>
      <c r="J106" s="612"/>
      <c r="K106" s="612"/>
      <c r="L106" s="612"/>
      <c r="M106" s="612"/>
      <c r="N106" s="612"/>
      <c r="O106" s="612"/>
      <c r="P106" s="612"/>
      <c r="Q106" s="612"/>
      <c r="R106" s="612"/>
      <c r="S106" s="612"/>
      <c r="T106" s="612"/>
      <c r="U106" s="612"/>
      <c r="V106" s="612"/>
      <c r="W106" s="612"/>
      <c r="X106" s="612"/>
      <c r="Y106" s="612"/>
      <c r="Z106" s="612"/>
    </row>
    <row r="107" ht="13.5" customHeight="1">
      <c r="A107" s="612"/>
      <c r="B107" s="682"/>
      <c r="C107" s="612"/>
      <c r="D107" s="612"/>
      <c r="E107" s="612"/>
      <c r="F107" s="612"/>
      <c r="G107" s="612"/>
      <c r="H107" s="612"/>
      <c r="I107" s="612"/>
      <c r="J107" s="612"/>
      <c r="K107" s="612"/>
      <c r="L107" s="612"/>
      <c r="M107" s="612"/>
      <c r="N107" s="612"/>
      <c r="O107" s="612"/>
      <c r="P107" s="612"/>
      <c r="Q107" s="612"/>
      <c r="R107" s="612"/>
      <c r="S107" s="612"/>
      <c r="T107" s="612"/>
      <c r="U107" s="612"/>
      <c r="V107" s="612"/>
      <c r="W107" s="612"/>
      <c r="X107" s="612"/>
      <c r="Y107" s="612"/>
      <c r="Z107" s="612"/>
    </row>
    <row r="108" ht="13.5" customHeight="1">
      <c r="A108" s="612"/>
      <c r="B108" s="682"/>
      <c r="C108" s="612"/>
      <c r="D108" s="612"/>
      <c r="E108" s="612"/>
      <c r="F108" s="612"/>
      <c r="G108" s="612"/>
      <c r="H108" s="612"/>
      <c r="I108" s="612"/>
      <c r="J108" s="612"/>
      <c r="K108" s="612"/>
      <c r="L108" s="612"/>
      <c r="M108" s="612"/>
      <c r="N108" s="612"/>
      <c r="O108" s="612"/>
      <c r="P108" s="612"/>
      <c r="Q108" s="612"/>
      <c r="R108" s="612"/>
      <c r="S108" s="612"/>
      <c r="T108" s="612"/>
      <c r="U108" s="612"/>
      <c r="V108" s="612"/>
      <c r="W108" s="612"/>
      <c r="X108" s="612"/>
      <c r="Y108" s="612"/>
      <c r="Z108" s="612"/>
    </row>
    <row r="109" ht="13.5" customHeight="1">
      <c r="A109" s="612"/>
      <c r="B109" s="682"/>
      <c r="C109" s="612"/>
      <c r="D109" s="612"/>
      <c r="E109" s="612"/>
      <c r="F109" s="612"/>
      <c r="G109" s="612"/>
      <c r="H109" s="612"/>
      <c r="I109" s="612"/>
      <c r="J109" s="612"/>
      <c r="K109" s="612"/>
      <c r="L109" s="612"/>
      <c r="M109" s="612"/>
      <c r="N109" s="612"/>
      <c r="O109" s="612"/>
      <c r="P109" s="612"/>
      <c r="Q109" s="612"/>
      <c r="R109" s="612"/>
      <c r="S109" s="612"/>
      <c r="T109" s="612"/>
      <c r="U109" s="612"/>
      <c r="V109" s="612"/>
      <c r="W109" s="612"/>
      <c r="X109" s="612"/>
      <c r="Y109" s="612"/>
      <c r="Z109" s="612"/>
    </row>
    <row r="110" ht="13.5" customHeight="1">
      <c r="A110" s="612"/>
      <c r="B110" s="682"/>
      <c r="C110" s="612"/>
      <c r="D110" s="612"/>
      <c r="E110" s="612"/>
      <c r="F110" s="612"/>
      <c r="G110" s="612"/>
      <c r="H110" s="612"/>
      <c r="I110" s="612"/>
      <c r="J110" s="612"/>
      <c r="K110" s="612"/>
      <c r="L110" s="612"/>
      <c r="M110" s="612"/>
      <c r="N110" s="612"/>
      <c r="O110" s="612"/>
      <c r="P110" s="612"/>
      <c r="Q110" s="612"/>
      <c r="R110" s="612"/>
      <c r="S110" s="612"/>
      <c r="T110" s="612"/>
      <c r="U110" s="612"/>
      <c r="V110" s="612"/>
      <c r="W110" s="612"/>
      <c r="X110" s="612"/>
      <c r="Y110" s="612"/>
      <c r="Z110" s="612"/>
    </row>
    <row r="111" ht="13.5" customHeight="1">
      <c r="A111" s="612"/>
      <c r="B111" s="682"/>
      <c r="C111" s="612"/>
      <c r="D111" s="612"/>
      <c r="E111" s="612"/>
      <c r="F111" s="612"/>
      <c r="G111" s="612"/>
      <c r="H111" s="612"/>
      <c r="I111" s="612"/>
      <c r="J111" s="612"/>
      <c r="K111" s="612"/>
      <c r="L111" s="612"/>
      <c r="M111" s="612"/>
      <c r="N111" s="612"/>
      <c r="O111" s="612"/>
      <c r="P111" s="612"/>
      <c r="Q111" s="612"/>
      <c r="R111" s="612"/>
      <c r="S111" s="612"/>
      <c r="T111" s="612"/>
      <c r="U111" s="612"/>
      <c r="V111" s="612"/>
      <c r="W111" s="612"/>
      <c r="X111" s="612"/>
      <c r="Y111" s="612"/>
      <c r="Z111" s="612"/>
    </row>
    <row r="112" ht="13.5" customHeight="1">
      <c r="A112" s="612"/>
      <c r="B112" s="682"/>
      <c r="C112" s="612"/>
      <c r="D112" s="612"/>
      <c r="E112" s="612"/>
      <c r="F112" s="612"/>
      <c r="G112" s="612"/>
      <c r="H112" s="612"/>
      <c r="I112" s="612"/>
      <c r="J112" s="612"/>
      <c r="K112" s="612"/>
      <c r="L112" s="612"/>
      <c r="M112" s="612"/>
      <c r="N112" s="612"/>
      <c r="O112" s="612"/>
      <c r="P112" s="612"/>
      <c r="Q112" s="612"/>
      <c r="R112" s="612"/>
      <c r="S112" s="612"/>
      <c r="T112" s="612"/>
      <c r="U112" s="612"/>
      <c r="V112" s="612"/>
      <c r="W112" s="612"/>
      <c r="X112" s="612"/>
      <c r="Y112" s="612"/>
      <c r="Z112" s="612"/>
    </row>
    <row r="113" ht="13.5" customHeight="1">
      <c r="A113" s="612"/>
      <c r="B113" s="682"/>
      <c r="C113" s="612"/>
      <c r="D113" s="612"/>
      <c r="E113" s="612"/>
      <c r="F113" s="612"/>
      <c r="G113" s="612"/>
      <c r="H113" s="612"/>
      <c r="I113" s="612"/>
      <c r="J113" s="612"/>
      <c r="K113" s="612"/>
      <c r="L113" s="612"/>
      <c r="M113" s="612"/>
      <c r="N113" s="612"/>
      <c r="O113" s="612"/>
      <c r="P113" s="612"/>
      <c r="Q113" s="612"/>
      <c r="R113" s="612"/>
      <c r="S113" s="612"/>
      <c r="T113" s="612"/>
      <c r="U113" s="612"/>
      <c r="V113" s="612"/>
      <c r="W113" s="612"/>
      <c r="X113" s="612"/>
      <c r="Y113" s="612"/>
      <c r="Z113" s="612"/>
    </row>
    <row r="114" ht="13.5" customHeight="1">
      <c r="A114" s="612"/>
      <c r="B114" s="682"/>
      <c r="C114" s="612"/>
      <c r="D114" s="612"/>
      <c r="E114" s="612"/>
      <c r="F114" s="612"/>
      <c r="G114" s="612"/>
      <c r="H114" s="612"/>
      <c r="I114" s="612"/>
      <c r="J114" s="612"/>
      <c r="K114" s="612"/>
      <c r="L114" s="612"/>
      <c r="M114" s="612"/>
      <c r="N114" s="612"/>
      <c r="O114" s="612"/>
      <c r="P114" s="612"/>
      <c r="Q114" s="612"/>
      <c r="R114" s="612"/>
      <c r="S114" s="612"/>
      <c r="T114" s="612"/>
      <c r="U114" s="612"/>
      <c r="V114" s="612"/>
      <c r="W114" s="612"/>
      <c r="X114" s="612"/>
      <c r="Y114" s="612"/>
      <c r="Z114" s="612"/>
    </row>
    <row r="115" ht="13.5" customHeight="1">
      <c r="A115" s="612"/>
      <c r="B115" s="68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</row>
    <row r="116" ht="13.5" customHeight="1">
      <c r="A116" s="612"/>
      <c r="B116" s="682"/>
      <c r="C116" s="612"/>
      <c r="D116" s="612"/>
      <c r="E116" s="612"/>
      <c r="F116" s="612"/>
      <c r="G116" s="612"/>
      <c r="H116" s="612"/>
      <c r="I116" s="612"/>
      <c r="J116" s="612"/>
      <c r="K116" s="612"/>
      <c r="L116" s="612"/>
      <c r="M116" s="612"/>
      <c r="N116" s="612"/>
      <c r="O116" s="612"/>
      <c r="P116" s="612"/>
      <c r="Q116" s="612"/>
      <c r="R116" s="612"/>
      <c r="S116" s="612"/>
      <c r="T116" s="612"/>
      <c r="U116" s="612"/>
      <c r="V116" s="612"/>
      <c r="W116" s="612"/>
      <c r="X116" s="612"/>
      <c r="Y116" s="612"/>
      <c r="Z116" s="612"/>
    </row>
    <row r="117" ht="13.5" customHeight="1">
      <c r="A117" s="612"/>
      <c r="B117" s="682"/>
      <c r="C117" s="612"/>
      <c r="D117" s="612"/>
      <c r="E117" s="612"/>
      <c r="F117" s="612"/>
      <c r="G117" s="612"/>
      <c r="H117" s="612"/>
      <c r="I117" s="612"/>
      <c r="J117" s="612"/>
      <c r="K117" s="612"/>
      <c r="L117" s="612"/>
      <c r="M117" s="612"/>
      <c r="N117" s="612"/>
      <c r="O117" s="612"/>
      <c r="P117" s="612"/>
      <c r="Q117" s="612"/>
      <c r="R117" s="612"/>
      <c r="S117" s="612"/>
      <c r="T117" s="612"/>
      <c r="U117" s="612"/>
      <c r="V117" s="612"/>
      <c r="W117" s="612"/>
      <c r="X117" s="612"/>
      <c r="Y117" s="612"/>
      <c r="Z117" s="612"/>
    </row>
    <row r="118" ht="13.5" customHeight="1">
      <c r="A118" s="612"/>
      <c r="B118" s="682"/>
      <c r="C118" s="612"/>
      <c r="D118" s="612"/>
      <c r="E118" s="612"/>
      <c r="F118" s="612"/>
      <c r="G118" s="612"/>
      <c r="H118" s="612"/>
      <c r="I118" s="612"/>
      <c r="J118" s="612"/>
      <c r="K118" s="612"/>
      <c r="L118" s="612"/>
      <c r="M118" s="612"/>
      <c r="N118" s="612"/>
      <c r="O118" s="612"/>
      <c r="P118" s="612"/>
      <c r="Q118" s="612"/>
      <c r="R118" s="612"/>
      <c r="S118" s="612"/>
      <c r="T118" s="612"/>
      <c r="U118" s="612"/>
      <c r="V118" s="612"/>
      <c r="W118" s="612"/>
      <c r="X118" s="612"/>
      <c r="Y118" s="612"/>
      <c r="Z118" s="612"/>
    </row>
    <row r="119" ht="13.5" customHeight="1">
      <c r="A119" s="612"/>
      <c r="B119" s="682"/>
      <c r="C119" s="612"/>
      <c r="D119" s="612"/>
      <c r="E119" s="612"/>
      <c r="F119" s="612"/>
      <c r="G119" s="612"/>
      <c r="H119" s="612"/>
      <c r="I119" s="612"/>
      <c r="J119" s="612"/>
      <c r="K119" s="612"/>
      <c r="L119" s="612"/>
      <c r="M119" s="612"/>
      <c r="N119" s="612"/>
      <c r="O119" s="612"/>
      <c r="P119" s="612"/>
      <c r="Q119" s="612"/>
      <c r="R119" s="612"/>
      <c r="S119" s="612"/>
      <c r="T119" s="612"/>
      <c r="U119" s="612"/>
      <c r="V119" s="612"/>
      <c r="W119" s="612"/>
      <c r="X119" s="612"/>
      <c r="Y119" s="612"/>
      <c r="Z119" s="612"/>
    </row>
    <row r="120" ht="13.5" customHeight="1">
      <c r="A120" s="612"/>
      <c r="B120" s="682"/>
      <c r="C120" s="612"/>
      <c r="D120" s="612"/>
      <c r="E120" s="612"/>
      <c r="F120" s="612"/>
      <c r="G120" s="612"/>
      <c r="H120" s="612"/>
      <c r="I120" s="612"/>
      <c r="J120" s="612"/>
      <c r="K120" s="612"/>
      <c r="L120" s="612"/>
      <c r="M120" s="612"/>
      <c r="N120" s="612"/>
      <c r="O120" s="612"/>
      <c r="P120" s="612"/>
      <c r="Q120" s="612"/>
      <c r="R120" s="612"/>
      <c r="S120" s="612"/>
      <c r="T120" s="612"/>
      <c r="U120" s="612"/>
      <c r="V120" s="612"/>
      <c r="W120" s="612"/>
      <c r="X120" s="612"/>
      <c r="Y120" s="612"/>
      <c r="Z120" s="612"/>
    </row>
    <row r="121" ht="13.5" customHeight="1">
      <c r="A121" s="612"/>
      <c r="B121" s="68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2"/>
      <c r="P121" s="612"/>
      <c r="Q121" s="612"/>
      <c r="R121" s="612"/>
      <c r="S121" s="612"/>
      <c r="T121" s="612"/>
      <c r="U121" s="612"/>
      <c r="V121" s="612"/>
      <c r="W121" s="612"/>
      <c r="X121" s="612"/>
      <c r="Y121" s="612"/>
      <c r="Z121" s="612"/>
    </row>
    <row r="122" ht="13.5" customHeight="1">
      <c r="A122" s="612"/>
      <c r="B122" s="682"/>
      <c r="C122" s="612"/>
      <c r="D122" s="612"/>
      <c r="E122" s="612"/>
      <c r="F122" s="612"/>
      <c r="G122" s="612"/>
      <c r="H122" s="612"/>
      <c r="I122" s="612"/>
      <c r="J122" s="612"/>
      <c r="K122" s="612"/>
      <c r="L122" s="612"/>
      <c r="M122" s="612"/>
      <c r="N122" s="612"/>
      <c r="O122" s="612"/>
      <c r="P122" s="612"/>
      <c r="Q122" s="612"/>
      <c r="R122" s="612"/>
      <c r="S122" s="612"/>
      <c r="T122" s="612"/>
      <c r="U122" s="612"/>
      <c r="V122" s="612"/>
      <c r="W122" s="612"/>
      <c r="X122" s="612"/>
      <c r="Y122" s="612"/>
      <c r="Z122" s="612"/>
    </row>
    <row r="123" ht="13.5" customHeight="1">
      <c r="A123" s="612"/>
      <c r="B123" s="68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</row>
    <row r="124" ht="13.5" customHeight="1">
      <c r="A124" s="612"/>
      <c r="B124" s="682"/>
      <c r="C124" s="612"/>
      <c r="D124" s="612"/>
      <c r="E124" s="612"/>
      <c r="F124" s="612"/>
      <c r="G124" s="612"/>
      <c r="H124" s="612"/>
      <c r="I124" s="612"/>
      <c r="J124" s="612"/>
      <c r="K124" s="612"/>
      <c r="L124" s="612"/>
      <c r="M124" s="612"/>
      <c r="N124" s="612"/>
      <c r="O124" s="612"/>
      <c r="P124" s="612"/>
      <c r="Q124" s="612"/>
      <c r="R124" s="612"/>
      <c r="S124" s="612"/>
      <c r="T124" s="612"/>
      <c r="U124" s="612"/>
      <c r="V124" s="612"/>
      <c r="W124" s="612"/>
      <c r="X124" s="612"/>
      <c r="Y124" s="612"/>
      <c r="Z124" s="612"/>
    </row>
    <row r="125" ht="13.5" customHeight="1">
      <c r="A125" s="612"/>
      <c r="B125" s="682"/>
      <c r="C125" s="612"/>
      <c r="D125" s="612"/>
      <c r="E125" s="612"/>
      <c r="F125" s="612"/>
      <c r="G125" s="612"/>
      <c r="H125" s="612"/>
      <c r="I125" s="612"/>
      <c r="J125" s="612"/>
      <c r="K125" s="612"/>
      <c r="L125" s="612"/>
      <c r="M125" s="612"/>
      <c r="N125" s="612"/>
      <c r="O125" s="612"/>
      <c r="P125" s="612"/>
      <c r="Q125" s="612"/>
      <c r="R125" s="612"/>
      <c r="S125" s="612"/>
      <c r="T125" s="612"/>
      <c r="U125" s="612"/>
      <c r="V125" s="612"/>
      <c r="W125" s="612"/>
      <c r="X125" s="612"/>
      <c r="Y125" s="612"/>
      <c r="Z125" s="612"/>
    </row>
    <row r="126" ht="13.5" customHeight="1">
      <c r="A126" s="612"/>
      <c r="B126" s="682"/>
      <c r="C126" s="612"/>
      <c r="D126" s="612"/>
      <c r="E126" s="612"/>
      <c r="F126" s="612"/>
      <c r="G126" s="612"/>
      <c r="H126" s="612"/>
      <c r="I126" s="612"/>
      <c r="J126" s="612"/>
      <c r="K126" s="612"/>
      <c r="L126" s="612"/>
      <c r="M126" s="612"/>
      <c r="N126" s="612"/>
      <c r="O126" s="612"/>
      <c r="P126" s="612"/>
      <c r="Q126" s="612"/>
      <c r="R126" s="612"/>
      <c r="S126" s="612"/>
      <c r="T126" s="612"/>
      <c r="U126" s="612"/>
      <c r="V126" s="612"/>
      <c r="W126" s="612"/>
      <c r="X126" s="612"/>
      <c r="Y126" s="612"/>
      <c r="Z126" s="612"/>
    </row>
    <row r="127" ht="13.5" customHeight="1">
      <c r="A127" s="612"/>
      <c r="B127" s="682"/>
      <c r="C127" s="612"/>
      <c r="D127" s="612"/>
      <c r="E127" s="612"/>
      <c r="F127" s="612"/>
      <c r="G127" s="612"/>
      <c r="H127" s="612"/>
      <c r="I127" s="612"/>
      <c r="J127" s="612"/>
      <c r="K127" s="612"/>
      <c r="L127" s="612"/>
      <c r="M127" s="612"/>
      <c r="N127" s="612"/>
      <c r="O127" s="612"/>
      <c r="P127" s="612"/>
      <c r="Q127" s="612"/>
      <c r="R127" s="612"/>
      <c r="S127" s="612"/>
      <c r="T127" s="612"/>
      <c r="U127" s="612"/>
      <c r="V127" s="612"/>
      <c r="W127" s="612"/>
      <c r="X127" s="612"/>
      <c r="Y127" s="612"/>
      <c r="Z127" s="612"/>
    </row>
    <row r="128" ht="13.5" customHeight="1">
      <c r="A128" s="612"/>
      <c r="B128" s="68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2"/>
      <c r="P128" s="612"/>
      <c r="Q128" s="612"/>
      <c r="R128" s="612"/>
      <c r="S128" s="612"/>
      <c r="T128" s="612"/>
      <c r="U128" s="612"/>
      <c r="V128" s="612"/>
      <c r="W128" s="612"/>
      <c r="X128" s="612"/>
      <c r="Y128" s="612"/>
      <c r="Z128" s="612"/>
    </row>
    <row r="129" ht="13.5" customHeight="1">
      <c r="A129" s="612"/>
      <c r="B129" s="68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2"/>
      <c r="P129" s="612"/>
      <c r="Q129" s="612"/>
      <c r="R129" s="612"/>
      <c r="S129" s="612"/>
      <c r="T129" s="612"/>
      <c r="U129" s="612"/>
      <c r="V129" s="612"/>
      <c r="W129" s="612"/>
      <c r="X129" s="612"/>
      <c r="Y129" s="612"/>
      <c r="Z129" s="612"/>
    </row>
    <row r="130" ht="13.5" customHeight="1">
      <c r="A130" s="612"/>
      <c r="B130" s="68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</row>
    <row r="131" ht="13.5" customHeight="1">
      <c r="A131" s="612"/>
      <c r="B131" s="682"/>
      <c r="C131" s="612"/>
      <c r="D131" s="612"/>
      <c r="E131" s="612"/>
      <c r="F131" s="612"/>
      <c r="G131" s="612"/>
      <c r="H131" s="612"/>
      <c r="I131" s="612"/>
      <c r="J131" s="612"/>
      <c r="K131" s="612"/>
      <c r="L131" s="612"/>
      <c r="M131" s="612"/>
      <c r="N131" s="612"/>
      <c r="O131" s="612"/>
      <c r="P131" s="612"/>
      <c r="Q131" s="612"/>
      <c r="R131" s="612"/>
      <c r="S131" s="612"/>
      <c r="T131" s="612"/>
      <c r="U131" s="612"/>
      <c r="V131" s="612"/>
      <c r="W131" s="612"/>
      <c r="X131" s="612"/>
      <c r="Y131" s="612"/>
      <c r="Z131" s="612"/>
    </row>
    <row r="132" ht="13.5" customHeight="1">
      <c r="A132" s="612"/>
      <c r="B132" s="682"/>
      <c r="C132" s="612"/>
      <c r="D132" s="612"/>
      <c r="E132" s="612"/>
      <c r="F132" s="612"/>
      <c r="G132" s="612"/>
      <c r="H132" s="612"/>
      <c r="I132" s="612"/>
      <c r="J132" s="612"/>
      <c r="K132" s="612"/>
      <c r="L132" s="612"/>
      <c r="M132" s="612"/>
      <c r="N132" s="612"/>
      <c r="O132" s="612"/>
      <c r="P132" s="612"/>
      <c r="Q132" s="612"/>
      <c r="R132" s="612"/>
      <c r="S132" s="612"/>
      <c r="T132" s="612"/>
      <c r="U132" s="612"/>
      <c r="V132" s="612"/>
      <c r="W132" s="612"/>
      <c r="X132" s="612"/>
      <c r="Y132" s="612"/>
      <c r="Z132" s="612"/>
    </row>
    <row r="133" ht="13.5" customHeight="1">
      <c r="A133" s="612"/>
      <c r="B133" s="68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  <c r="Y133" s="612"/>
      <c r="Z133" s="612"/>
    </row>
    <row r="134" ht="13.5" customHeight="1">
      <c r="A134" s="612"/>
      <c r="B134" s="682"/>
      <c r="C134" s="612"/>
      <c r="D134" s="612"/>
      <c r="E134" s="612"/>
      <c r="F134" s="612"/>
      <c r="G134" s="612"/>
      <c r="H134" s="612"/>
      <c r="I134" s="612"/>
      <c r="J134" s="612"/>
      <c r="K134" s="612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  <c r="Y134" s="612"/>
      <c r="Z134" s="612"/>
    </row>
    <row r="135" ht="13.5" customHeight="1">
      <c r="A135" s="612"/>
      <c r="B135" s="68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</row>
    <row r="136" ht="13.5" customHeight="1">
      <c r="A136" s="612"/>
      <c r="B136" s="682"/>
      <c r="C136" s="612"/>
      <c r="D136" s="612"/>
      <c r="E136" s="612"/>
      <c r="F136" s="612"/>
      <c r="G136" s="612"/>
      <c r="H136" s="612"/>
      <c r="I136" s="612"/>
      <c r="J136" s="612"/>
      <c r="K136" s="612"/>
      <c r="L136" s="612"/>
      <c r="M136" s="612"/>
      <c r="N136" s="612"/>
      <c r="O136" s="612"/>
      <c r="P136" s="612"/>
      <c r="Q136" s="612"/>
      <c r="R136" s="612"/>
      <c r="S136" s="612"/>
      <c r="T136" s="612"/>
      <c r="U136" s="612"/>
      <c r="V136" s="612"/>
      <c r="W136" s="612"/>
      <c r="X136" s="612"/>
      <c r="Y136" s="612"/>
      <c r="Z136" s="612"/>
    </row>
    <row r="137" ht="13.5" customHeight="1">
      <c r="A137" s="612"/>
      <c r="B137" s="682"/>
      <c r="C137" s="612"/>
      <c r="D137" s="612"/>
      <c r="E137" s="612"/>
      <c r="F137" s="612"/>
      <c r="G137" s="612"/>
      <c r="H137" s="612"/>
      <c r="I137" s="612"/>
      <c r="J137" s="612"/>
      <c r="K137" s="612"/>
      <c r="L137" s="612"/>
      <c r="M137" s="612"/>
      <c r="N137" s="612"/>
      <c r="O137" s="612"/>
      <c r="P137" s="612"/>
      <c r="Q137" s="612"/>
      <c r="R137" s="612"/>
      <c r="S137" s="612"/>
      <c r="T137" s="612"/>
      <c r="U137" s="612"/>
      <c r="V137" s="612"/>
      <c r="W137" s="612"/>
      <c r="X137" s="612"/>
      <c r="Y137" s="612"/>
      <c r="Z137" s="612"/>
    </row>
    <row r="138" ht="13.5" customHeight="1">
      <c r="A138" s="612"/>
      <c r="B138" s="68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2"/>
      <c r="P138" s="612"/>
      <c r="Q138" s="612"/>
      <c r="R138" s="612"/>
      <c r="S138" s="612"/>
      <c r="T138" s="612"/>
      <c r="U138" s="612"/>
      <c r="V138" s="612"/>
      <c r="W138" s="612"/>
      <c r="X138" s="612"/>
      <c r="Y138" s="612"/>
      <c r="Z138" s="612"/>
    </row>
    <row r="139" ht="13.5" customHeight="1">
      <c r="A139" s="612"/>
      <c r="B139" s="682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  <c r="O139" s="612"/>
      <c r="P139" s="612"/>
      <c r="Q139" s="612"/>
      <c r="R139" s="612"/>
      <c r="S139" s="612"/>
      <c r="T139" s="612"/>
      <c r="U139" s="612"/>
      <c r="V139" s="612"/>
      <c r="W139" s="612"/>
      <c r="X139" s="612"/>
      <c r="Y139" s="612"/>
      <c r="Z139" s="612"/>
    </row>
    <row r="140" ht="13.5" customHeight="1">
      <c r="A140" s="612"/>
      <c r="B140" s="68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</row>
    <row r="141" ht="13.5" customHeight="1">
      <c r="A141" s="612"/>
      <c r="B141" s="682"/>
      <c r="C141" s="612"/>
      <c r="D141" s="612"/>
      <c r="E141" s="612"/>
      <c r="F141" s="612"/>
      <c r="G141" s="612"/>
      <c r="H141" s="612"/>
      <c r="I141" s="612"/>
      <c r="J141" s="612"/>
      <c r="K141" s="612"/>
      <c r="L141" s="612"/>
      <c r="M141" s="612"/>
      <c r="N141" s="612"/>
      <c r="O141" s="612"/>
      <c r="P141" s="612"/>
      <c r="Q141" s="612"/>
      <c r="R141" s="612"/>
      <c r="S141" s="612"/>
      <c r="T141" s="612"/>
      <c r="U141" s="612"/>
      <c r="V141" s="612"/>
      <c r="W141" s="612"/>
      <c r="X141" s="612"/>
      <c r="Y141" s="612"/>
      <c r="Z141" s="612"/>
    </row>
    <row r="142" ht="13.5" customHeight="1">
      <c r="A142" s="612"/>
      <c r="B142" s="682"/>
      <c r="C142" s="612"/>
      <c r="D142" s="612"/>
      <c r="E142" s="612"/>
      <c r="F142" s="612"/>
      <c r="G142" s="612"/>
      <c r="H142" s="612"/>
      <c r="I142" s="612"/>
      <c r="J142" s="612"/>
      <c r="K142" s="612"/>
      <c r="L142" s="612"/>
      <c r="M142" s="612"/>
      <c r="N142" s="612"/>
      <c r="O142" s="612"/>
      <c r="P142" s="612"/>
      <c r="Q142" s="612"/>
      <c r="R142" s="612"/>
      <c r="S142" s="612"/>
      <c r="T142" s="612"/>
      <c r="U142" s="612"/>
      <c r="V142" s="612"/>
      <c r="W142" s="612"/>
      <c r="X142" s="612"/>
      <c r="Y142" s="612"/>
      <c r="Z142" s="612"/>
    </row>
    <row r="143" ht="13.5" customHeight="1">
      <c r="A143" s="612"/>
      <c r="B143" s="68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2"/>
      <c r="P143" s="612"/>
      <c r="Q143" s="612"/>
      <c r="R143" s="612"/>
      <c r="S143" s="612"/>
      <c r="T143" s="612"/>
      <c r="U143" s="612"/>
      <c r="V143" s="612"/>
      <c r="W143" s="612"/>
      <c r="X143" s="612"/>
      <c r="Y143" s="612"/>
      <c r="Z143" s="612"/>
    </row>
    <row r="144" ht="13.5" customHeight="1">
      <c r="A144" s="612"/>
      <c r="B144" s="68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2"/>
      <c r="P144" s="612"/>
      <c r="Q144" s="612"/>
      <c r="R144" s="612"/>
      <c r="S144" s="612"/>
      <c r="T144" s="612"/>
      <c r="U144" s="612"/>
      <c r="V144" s="612"/>
      <c r="W144" s="612"/>
      <c r="X144" s="612"/>
      <c r="Y144" s="612"/>
      <c r="Z144" s="612"/>
    </row>
    <row r="145" ht="13.5" customHeight="1">
      <c r="A145" s="612"/>
      <c r="B145" s="68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</row>
    <row r="146" ht="13.5" customHeight="1">
      <c r="A146" s="612"/>
      <c r="B146" s="682"/>
      <c r="C146" s="612"/>
      <c r="D146" s="612"/>
      <c r="E146" s="612"/>
      <c r="F146" s="612"/>
      <c r="G146" s="612"/>
      <c r="H146" s="612"/>
      <c r="I146" s="612"/>
      <c r="J146" s="612"/>
      <c r="K146" s="612"/>
      <c r="L146" s="612"/>
      <c r="M146" s="612"/>
      <c r="N146" s="612"/>
      <c r="O146" s="612"/>
      <c r="P146" s="612"/>
      <c r="Q146" s="612"/>
      <c r="R146" s="612"/>
      <c r="S146" s="612"/>
      <c r="T146" s="612"/>
      <c r="U146" s="612"/>
      <c r="V146" s="612"/>
      <c r="W146" s="612"/>
      <c r="X146" s="612"/>
      <c r="Y146" s="612"/>
      <c r="Z146" s="612"/>
    </row>
    <row r="147" ht="13.5" customHeight="1">
      <c r="A147" s="612"/>
      <c r="B147" s="682"/>
      <c r="C147" s="612"/>
      <c r="D147" s="612"/>
      <c r="E147" s="612"/>
      <c r="F147" s="612"/>
      <c r="G147" s="612"/>
      <c r="H147" s="612"/>
      <c r="I147" s="612"/>
      <c r="J147" s="612"/>
      <c r="K147" s="612"/>
      <c r="L147" s="612"/>
      <c r="M147" s="612"/>
      <c r="N147" s="612"/>
      <c r="O147" s="612"/>
      <c r="P147" s="612"/>
      <c r="Q147" s="612"/>
      <c r="R147" s="612"/>
      <c r="S147" s="612"/>
      <c r="T147" s="612"/>
      <c r="U147" s="612"/>
      <c r="V147" s="612"/>
      <c r="W147" s="612"/>
      <c r="X147" s="612"/>
      <c r="Y147" s="612"/>
      <c r="Z147" s="612"/>
    </row>
    <row r="148" ht="13.5" customHeight="1">
      <c r="A148" s="612"/>
      <c r="B148" s="682"/>
      <c r="C148" s="612"/>
      <c r="D148" s="612"/>
      <c r="E148" s="612"/>
      <c r="F148" s="612"/>
      <c r="G148" s="612"/>
      <c r="H148" s="612"/>
      <c r="I148" s="612"/>
      <c r="J148" s="612"/>
      <c r="K148" s="612"/>
      <c r="L148" s="612"/>
      <c r="M148" s="612"/>
      <c r="N148" s="612"/>
      <c r="O148" s="612"/>
      <c r="P148" s="612"/>
      <c r="Q148" s="612"/>
      <c r="R148" s="612"/>
      <c r="S148" s="612"/>
      <c r="T148" s="612"/>
      <c r="U148" s="612"/>
      <c r="V148" s="612"/>
      <c r="W148" s="612"/>
      <c r="X148" s="612"/>
      <c r="Y148" s="612"/>
      <c r="Z148" s="612"/>
    </row>
    <row r="149" ht="13.5" customHeight="1">
      <c r="A149" s="612"/>
      <c r="B149" s="68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2"/>
      <c r="P149" s="612"/>
      <c r="Q149" s="612"/>
      <c r="R149" s="612"/>
      <c r="S149" s="612"/>
      <c r="T149" s="612"/>
      <c r="U149" s="612"/>
      <c r="V149" s="612"/>
      <c r="W149" s="612"/>
      <c r="X149" s="612"/>
      <c r="Y149" s="612"/>
      <c r="Z149" s="612"/>
    </row>
    <row r="150" ht="13.5" customHeight="1">
      <c r="A150" s="612"/>
      <c r="B150" s="682"/>
      <c r="C150" s="612"/>
      <c r="D150" s="612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</row>
    <row r="151" ht="13.5" customHeight="1">
      <c r="A151" s="612"/>
      <c r="B151" s="68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</row>
    <row r="152" ht="13.5" customHeight="1">
      <c r="A152" s="612"/>
      <c r="B152" s="682"/>
      <c r="C152" s="612"/>
      <c r="D152" s="612"/>
      <c r="E152" s="612"/>
      <c r="F152" s="612"/>
      <c r="G152" s="612"/>
      <c r="H152" s="612"/>
      <c r="I152" s="612"/>
      <c r="J152" s="612"/>
      <c r="K152" s="612"/>
      <c r="L152" s="612"/>
      <c r="M152" s="612"/>
      <c r="N152" s="612"/>
      <c r="O152" s="612"/>
      <c r="P152" s="612"/>
      <c r="Q152" s="612"/>
      <c r="R152" s="612"/>
      <c r="S152" s="612"/>
      <c r="T152" s="612"/>
      <c r="U152" s="612"/>
      <c r="V152" s="612"/>
      <c r="W152" s="612"/>
      <c r="X152" s="612"/>
      <c r="Y152" s="612"/>
      <c r="Z152" s="612"/>
    </row>
    <row r="153" ht="13.5" customHeight="1">
      <c r="A153" s="612"/>
      <c r="B153" s="682"/>
      <c r="C153" s="612"/>
      <c r="D153" s="612"/>
      <c r="E153" s="612"/>
      <c r="F153" s="612"/>
      <c r="G153" s="612"/>
      <c r="H153" s="612"/>
      <c r="I153" s="612"/>
      <c r="J153" s="612"/>
      <c r="K153" s="612"/>
      <c r="L153" s="612"/>
      <c r="M153" s="612"/>
      <c r="N153" s="612"/>
      <c r="O153" s="612"/>
      <c r="P153" s="612"/>
      <c r="Q153" s="612"/>
      <c r="R153" s="612"/>
      <c r="S153" s="612"/>
      <c r="T153" s="612"/>
      <c r="U153" s="612"/>
      <c r="V153" s="612"/>
      <c r="W153" s="612"/>
      <c r="X153" s="612"/>
      <c r="Y153" s="612"/>
      <c r="Z153" s="612"/>
    </row>
    <row r="154" ht="13.5" customHeight="1">
      <c r="A154" s="612"/>
      <c r="B154" s="682"/>
      <c r="C154" s="612"/>
      <c r="D154" s="612"/>
      <c r="E154" s="612"/>
      <c r="F154" s="612"/>
      <c r="G154" s="612"/>
      <c r="H154" s="612"/>
      <c r="I154" s="612"/>
      <c r="J154" s="612"/>
      <c r="K154" s="612"/>
      <c r="L154" s="612"/>
      <c r="M154" s="612"/>
      <c r="N154" s="612"/>
      <c r="O154" s="612"/>
      <c r="P154" s="612"/>
      <c r="Q154" s="612"/>
      <c r="R154" s="612"/>
      <c r="S154" s="612"/>
      <c r="T154" s="612"/>
      <c r="U154" s="612"/>
      <c r="V154" s="612"/>
      <c r="W154" s="612"/>
      <c r="X154" s="612"/>
      <c r="Y154" s="612"/>
      <c r="Z154" s="612"/>
    </row>
    <row r="155" ht="13.5" customHeight="1">
      <c r="A155" s="612"/>
      <c r="B155" s="682"/>
      <c r="C155" s="612"/>
      <c r="D155" s="612"/>
      <c r="E155" s="612"/>
      <c r="F155" s="612"/>
      <c r="G155" s="612"/>
      <c r="H155" s="612"/>
      <c r="I155" s="612"/>
      <c r="J155" s="612"/>
      <c r="K155" s="612"/>
      <c r="L155" s="612"/>
      <c r="M155" s="612"/>
      <c r="N155" s="612"/>
      <c r="O155" s="612"/>
      <c r="P155" s="612"/>
      <c r="Q155" s="612"/>
      <c r="R155" s="612"/>
      <c r="S155" s="612"/>
      <c r="T155" s="612"/>
      <c r="U155" s="612"/>
      <c r="V155" s="612"/>
      <c r="W155" s="612"/>
      <c r="X155" s="612"/>
      <c r="Y155" s="612"/>
      <c r="Z155" s="612"/>
    </row>
    <row r="156" ht="13.5" customHeight="1">
      <c r="A156" s="612"/>
      <c r="B156" s="682"/>
      <c r="C156" s="612"/>
      <c r="D156" s="612"/>
      <c r="E156" s="612"/>
      <c r="F156" s="612"/>
      <c r="G156" s="612"/>
      <c r="H156" s="612"/>
      <c r="I156" s="612"/>
      <c r="J156" s="612"/>
      <c r="K156" s="612"/>
      <c r="L156" s="612"/>
      <c r="M156" s="612"/>
      <c r="N156" s="612"/>
      <c r="O156" s="612"/>
      <c r="P156" s="612"/>
      <c r="Q156" s="612"/>
      <c r="R156" s="612"/>
      <c r="S156" s="612"/>
      <c r="T156" s="612"/>
      <c r="U156" s="612"/>
      <c r="V156" s="612"/>
      <c r="W156" s="612"/>
      <c r="X156" s="612"/>
      <c r="Y156" s="612"/>
      <c r="Z156" s="612"/>
    </row>
    <row r="157" ht="13.5" customHeight="1">
      <c r="A157" s="612"/>
      <c r="B157" s="68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2"/>
      <c r="P157" s="612"/>
      <c r="Q157" s="612"/>
      <c r="R157" s="612"/>
      <c r="S157" s="612"/>
      <c r="T157" s="612"/>
      <c r="U157" s="612"/>
      <c r="V157" s="612"/>
      <c r="W157" s="612"/>
      <c r="X157" s="612"/>
      <c r="Y157" s="612"/>
      <c r="Z157" s="612"/>
    </row>
    <row r="158" ht="13.5" customHeight="1">
      <c r="A158" s="612"/>
      <c r="B158" s="68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</row>
    <row r="159" ht="13.5" customHeight="1">
      <c r="A159" s="612"/>
      <c r="B159" s="68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</row>
    <row r="160" ht="13.5" customHeight="1">
      <c r="A160" s="612"/>
      <c r="B160" s="682"/>
      <c r="C160" s="612"/>
      <c r="D160" s="612"/>
      <c r="E160" s="612"/>
      <c r="F160" s="612"/>
      <c r="G160" s="612"/>
      <c r="H160" s="612"/>
      <c r="I160" s="612"/>
      <c r="J160" s="612"/>
      <c r="K160" s="612"/>
      <c r="L160" s="612"/>
      <c r="M160" s="612"/>
      <c r="N160" s="612"/>
      <c r="O160" s="612"/>
      <c r="P160" s="612"/>
      <c r="Q160" s="612"/>
      <c r="R160" s="612"/>
      <c r="S160" s="612"/>
      <c r="T160" s="612"/>
      <c r="U160" s="612"/>
      <c r="V160" s="612"/>
      <c r="W160" s="612"/>
      <c r="X160" s="612"/>
      <c r="Y160" s="612"/>
      <c r="Z160" s="612"/>
    </row>
    <row r="161" ht="13.5" customHeight="1">
      <c r="A161" s="612"/>
      <c r="B161" s="682"/>
      <c r="C161" s="612"/>
      <c r="D161" s="612"/>
      <c r="E161" s="612"/>
      <c r="F161" s="612"/>
      <c r="G161" s="612"/>
      <c r="H161" s="612"/>
      <c r="I161" s="612"/>
      <c r="J161" s="612"/>
      <c r="K161" s="612"/>
      <c r="L161" s="612"/>
      <c r="M161" s="612"/>
      <c r="N161" s="612"/>
      <c r="O161" s="612"/>
      <c r="P161" s="612"/>
      <c r="Q161" s="612"/>
      <c r="R161" s="612"/>
      <c r="S161" s="612"/>
      <c r="T161" s="612"/>
      <c r="U161" s="612"/>
      <c r="V161" s="612"/>
      <c r="W161" s="612"/>
      <c r="X161" s="612"/>
      <c r="Y161" s="612"/>
      <c r="Z161" s="612"/>
    </row>
    <row r="162" ht="13.5" customHeight="1">
      <c r="A162" s="612"/>
      <c r="B162" s="68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2"/>
      <c r="P162" s="612"/>
      <c r="Q162" s="612"/>
      <c r="R162" s="612"/>
      <c r="S162" s="612"/>
      <c r="T162" s="612"/>
      <c r="U162" s="612"/>
      <c r="V162" s="612"/>
      <c r="W162" s="612"/>
      <c r="X162" s="612"/>
      <c r="Y162" s="612"/>
      <c r="Z162" s="612"/>
    </row>
    <row r="163" ht="13.5" customHeight="1">
      <c r="A163" s="612"/>
      <c r="B163" s="682"/>
      <c r="C163" s="612"/>
      <c r="D163" s="612"/>
      <c r="E163" s="612"/>
      <c r="F163" s="612"/>
      <c r="G163" s="612"/>
      <c r="H163" s="612"/>
      <c r="I163" s="612"/>
      <c r="J163" s="612"/>
      <c r="K163" s="612"/>
      <c r="L163" s="612"/>
      <c r="M163" s="612"/>
      <c r="N163" s="612"/>
      <c r="O163" s="612"/>
      <c r="P163" s="612"/>
      <c r="Q163" s="612"/>
      <c r="R163" s="612"/>
      <c r="S163" s="612"/>
      <c r="T163" s="612"/>
      <c r="U163" s="612"/>
      <c r="V163" s="612"/>
      <c r="W163" s="612"/>
      <c r="X163" s="612"/>
      <c r="Y163" s="612"/>
      <c r="Z163" s="612"/>
    </row>
    <row r="164" ht="13.5" customHeight="1">
      <c r="A164" s="612"/>
      <c r="B164" s="68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</row>
    <row r="165" ht="13.5" customHeight="1">
      <c r="A165" s="612"/>
      <c r="B165" s="682"/>
      <c r="C165" s="612"/>
      <c r="D165" s="612"/>
      <c r="E165" s="612"/>
      <c r="F165" s="612"/>
      <c r="G165" s="612"/>
      <c r="H165" s="612"/>
      <c r="I165" s="612"/>
      <c r="J165" s="612"/>
      <c r="K165" s="612"/>
      <c r="L165" s="612"/>
      <c r="M165" s="612"/>
      <c r="N165" s="612"/>
      <c r="O165" s="612"/>
      <c r="P165" s="612"/>
      <c r="Q165" s="612"/>
      <c r="R165" s="612"/>
      <c r="S165" s="612"/>
      <c r="T165" s="612"/>
      <c r="U165" s="612"/>
      <c r="V165" s="612"/>
      <c r="W165" s="612"/>
      <c r="X165" s="612"/>
      <c r="Y165" s="612"/>
      <c r="Z165" s="612"/>
    </row>
    <row r="166" ht="13.5" customHeight="1">
      <c r="A166" s="612"/>
      <c r="B166" s="68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2"/>
      <c r="P166" s="612"/>
      <c r="Q166" s="612"/>
      <c r="R166" s="612"/>
      <c r="S166" s="612"/>
      <c r="T166" s="612"/>
      <c r="U166" s="612"/>
      <c r="V166" s="612"/>
      <c r="W166" s="612"/>
      <c r="X166" s="612"/>
      <c r="Y166" s="612"/>
      <c r="Z166" s="612"/>
    </row>
    <row r="167" ht="13.5" customHeight="1">
      <c r="A167" s="612"/>
      <c r="B167" s="682"/>
      <c r="C167" s="612"/>
      <c r="D167" s="612"/>
      <c r="E167" s="612"/>
      <c r="F167" s="612"/>
      <c r="G167" s="612"/>
      <c r="H167" s="612"/>
      <c r="I167" s="612"/>
      <c r="J167" s="612"/>
      <c r="K167" s="612"/>
      <c r="L167" s="612"/>
      <c r="M167" s="612"/>
      <c r="N167" s="612"/>
      <c r="O167" s="612"/>
      <c r="P167" s="612"/>
      <c r="Q167" s="612"/>
      <c r="R167" s="612"/>
      <c r="S167" s="612"/>
      <c r="T167" s="612"/>
      <c r="U167" s="612"/>
      <c r="V167" s="612"/>
      <c r="W167" s="612"/>
      <c r="X167" s="612"/>
      <c r="Y167" s="612"/>
      <c r="Z167" s="612"/>
    </row>
    <row r="168" ht="13.5" customHeight="1">
      <c r="A168" s="612"/>
      <c r="B168" s="68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</row>
    <row r="169" ht="13.5" customHeight="1">
      <c r="A169" s="612"/>
      <c r="B169" s="682"/>
      <c r="C169" s="612"/>
      <c r="D169" s="612"/>
      <c r="E169" s="612"/>
      <c r="F169" s="612"/>
      <c r="G169" s="612"/>
      <c r="H169" s="612"/>
      <c r="I169" s="612"/>
      <c r="J169" s="612"/>
      <c r="K169" s="612"/>
      <c r="L169" s="612"/>
      <c r="M169" s="612"/>
      <c r="N169" s="612"/>
      <c r="O169" s="612"/>
      <c r="P169" s="612"/>
      <c r="Q169" s="612"/>
      <c r="R169" s="612"/>
      <c r="S169" s="612"/>
      <c r="T169" s="612"/>
      <c r="U169" s="612"/>
      <c r="V169" s="612"/>
      <c r="W169" s="612"/>
      <c r="X169" s="612"/>
      <c r="Y169" s="612"/>
      <c r="Z169" s="612"/>
    </row>
    <row r="170" ht="13.5" customHeight="1">
      <c r="A170" s="612"/>
      <c r="B170" s="682"/>
      <c r="C170" s="612"/>
      <c r="D170" s="612"/>
      <c r="E170" s="612"/>
      <c r="F170" s="612"/>
      <c r="G170" s="612"/>
      <c r="H170" s="612"/>
      <c r="I170" s="612"/>
      <c r="J170" s="612"/>
      <c r="K170" s="612"/>
      <c r="L170" s="612"/>
      <c r="M170" s="612"/>
      <c r="N170" s="612"/>
      <c r="O170" s="612"/>
      <c r="P170" s="612"/>
      <c r="Q170" s="612"/>
      <c r="R170" s="612"/>
      <c r="S170" s="612"/>
      <c r="T170" s="612"/>
      <c r="U170" s="612"/>
      <c r="V170" s="612"/>
      <c r="W170" s="612"/>
      <c r="X170" s="612"/>
      <c r="Y170" s="612"/>
      <c r="Z170" s="612"/>
    </row>
    <row r="171" ht="13.5" customHeight="1">
      <c r="A171" s="612"/>
      <c r="B171" s="682"/>
      <c r="C171" s="612"/>
      <c r="D171" s="612"/>
      <c r="E171" s="612"/>
      <c r="F171" s="612"/>
      <c r="G171" s="612"/>
      <c r="H171" s="612"/>
      <c r="I171" s="612"/>
      <c r="J171" s="612"/>
      <c r="K171" s="612"/>
      <c r="L171" s="612"/>
      <c r="M171" s="612"/>
      <c r="N171" s="612"/>
      <c r="O171" s="612"/>
      <c r="P171" s="612"/>
      <c r="Q171" s="612"/>
      <c r="R171" s="612"/>
      <c r="S171" s="612"/>
      <c r="T171" s="612"/>
      <c r="U171" s="612"/>
      <c r="V171" s="612"/>
      <c r="W171" s="612"/>
      <c r="X171" s="612"/>
      <c r="Y171" s="612"/>
      <c r="Z171" s="612"/>
    </row>
    <row r="172" ht="13.5" customHeight="1">
      <c r="A172" s="612"/>
      <c r="B172" s="682"/>
      <c r="C172" s="612"/>
      <c r="D172" s="612"/>
      <c r="E172" s="612"/>
      <c r="F172" s="612"/>
      <c r="G172" s="612"/>
      <c r="H172" s="612"/>
      <c r="I172" s="612"/>
      <c r="J172" s="612"/>
      <c r="K172" s="612"/>
      <c r="L172" s="612"/>
      <c r="M172" s="612"/>
      <c r="N172" s="612"/>
      <c r="O172" s="612"/>
      <c r="P172" s="612"/>
      <c r="Q172" s="612"/>
      <c r="R172" s="612"/>
      <c r="S172" s="612"/>
      <c r="T172" s="612"/>
      <c r="U172" s="612"/>
      <c r="V172" s="612"/>
      <c r="W172" s="612"/>
      <c r="X172" s="612"/>
      <c r="Y172" s="612"/>
      <c r="Z172" s="612"/>
    </row>
    <row r="173" ht="13.5" customHeight="1">
      <c r="A173" s="612"/>
      <c r="B173" s="682"/>
      <c r="C173" s="612"/>
      <c r="D173" s="612"/>
      <c r="E173" s="612"/>
      <c r="F173" s="612"/>
      <c r="G173" s="612"/>
      <c r="H173" s="612"/>
      <c r="I173" s="612"/>
      <c r="J173" s="612"/>
      <c r="K173" s="612"/>
      <c r="L173" s="612"/>
      <c r="M173" s="612"/>
      <c r="N173" s="612"/>
      <c r="O173" s="612"/>
      <c r="P173" s="612"/>
      <c r="Q173" s="612"/>
      <c r="R173" s="612"/>
      <c r="S173" s="612"/>
      <c r="T173" s="612"/>
      <c r="U173" s="612"/>
      <c r="V173" s="612"/>
      <c r="W173" s="612"/>
      <c r="X173" s="612"/>
      <c r="Y173" s="612"/>
      <c r="Z173" s="612"/>
    </row>
    <row r="174" ht="13.5" customHeight="1">
      <c r="A174" s="612"/>
      <c r="B174" s="682"/>
      <c r="C174" s="612"/>
      <c r="D174" s="612"/>
      <c r="E174" s="612"/>
      <c r="F174" s="612"/>
      <c r="G174" s="612"/>
      <c r="H174" s="612"/>
      <c r="I174" s="612"/>
      <c r="J174" s="612"/>
      <c r="K174" s="612"/>
      <c r="L174" s="612"/>
      <c r="M174" s="612"/>
      <c r="N174" s="612"/>
      <c r="O174" s="612"/>
      <c r="P174" s="612"/>
      <c r="Q174" s="612"/>
      <c r="R174" s="612"/>
      <c r="S174" s="612"/>
      <c r="T174" s="612"/>
      <c r="U174" s="612"/>
      <c r="V174" s="612"/>
      <c r="W174" s="612"/>
      <c r="X174" s="612"/>
      <c r="Y174" s="612"/>
      <c r="Z174" s="612"/>
    </row>
    <row r="175" ht="13.5" customHeight="1">
      <c r="A175" s="612"/>
      <c r="B175" s="682"/>
      <c r="C175" s="612"/>
      <c r="D175" s="612"/>
      <c r="E175" s="612"/>
      <c r="F175" s="612"/>
      <c r="G175" s="612"/>
      <c r="H175" s="612"/>
      <c r="I175" s="612"/>
      <c r="J175" s="612"/>
      <c r="K175" s="612"/>
      <c r="L175" s="612"/>
      <c r="M175" s="612"/>
      <c r="N175" s="612"/>
      <c r="O175" s="612"/>
      <c r="P175" s="612"/>
      <c r="Q175" s="612"/>
      <c r="R175" s="612"/>
      <c r="S175" s="612"/>
      <c r="T175" s="612"/>
      <c r="U175" s="612"/>
      <c r="V175" s="612"/>
      <c r="W175" s="612"/>
      <c r="X175" s="612"/>
      <c r="Y175" s="612"/>
      <c r="Z175" s="612"/>
    </row>
    <row r="176" ht="13.5" customHeight="1">
      <c r="A176" s="612"/>
      <c r="B176" s="682"/>
      <c r="C176" s="612"/>
      <c r="D176" s="612"/>
      <c r="E176" s="612"/>
      <c r="F176" s="612"/>
      <c r="G176" s="612"/>
      <c r="H176" s="612"/>
      <c r="I176" s="612"/>
      <c r="J176" s="612"/>
      <c r="K176" s="612"/>
      <c r="L176" s="612"/>
      <c r="M176" s="612"/>
      <c r="N176" s="612"/>
      <c r="O176" s="612"/>
      <c r="P176" s="612"/>
      <c r="Q176" s="612"/>
      <c r="R176" s="612"/>
      <c r="S176" s="612"/>
      <c r="T176" s="612"/>
      <c r="U176" s="612"/>
      <c r="V176" s="612"/>
      <c r="W176" s="612"/>
      <c r="X176" s="612"/>
      <c r="Y176" s="612"/>
      <c r="Z176" s="612"/>
    </row>
    <row r="177" ht="13.5" customHeight="1">
      <c r="A177" s="612"/>
      <c r="B177" s="682"/>
      <c r="C177" s="612"/>
      <c r="D177" s="612"/>
      <c r="E177" s="612"/>
      <c r="F177" s="612"/>
      <c r="G177" s="612"/>
      <c r="H177" s="612"/>
      <c r="I177" s="612"/>
      <c r="J177" s="612"/>
      <c r="K177" s="612"/>
      <c r="L177" s="612"/>
      <c r="M177" s="612"/>
      <c r="N177" s="612"/>
      <c r="O177" s="612"/>
      <c r="P177" s="612"/>
      <c r="Q177" s="612"/>
      <c r="R177" s="612"/>
      <c r="S177" s="612"/>
      <c r="T177" s="612"/>
      <c r="U177" s="612"/>
      <c r="V177" s="612"/>
      <c r="W177" s="612"/>
      <c r="X177" s="612"/>
      <c r="Y177" s="612"/>
      <c r="Z177" s="612"/>
    </row>
    <row r="178" ht="13.5" customHeight="1">
      <c r="A178" s="612"/>
      <c r="B178" s="682"/>
      <c r="C178" s="612"/>
      <c r="D178" s="612"/>
      <c r="E178" s="612"/>
      <c r="F178" s="612"/>
      <c r="G178" s="612"/>
      <c r="H178" s="612"/>
      <c r="I178" s="612"/>
      <c r="J178" s="612"/>
      <c r="K178" s="612"/>
      <c r="L178" s="612"/>
      <c r="M178" s="612"/>
      <c r="N178" s="612"/>
      <c r="O178" s="612"/>
      <c r="P178" s="612"/>
      <c r="Q178" s="612"/>
      <c r="R178" s="612"/>
      <c r="S178" s="612"/>
      <c r="T178" s="612"/>
      <c r="U178" s="612"/>
      <c r="V178" s="612"/>
      <c r="W178" s="612"/>
      <c r="X178" s="612"/>
      <c r="Y178" s="612"/>
      <c r="Z178" s="612"/>
    </row>
    <row r="179" ht="13.5" customHeight="1">
      <c r="A179" s="612"/>
      <c r="B179" s="68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2"/>
      <c r="P179" s="612"/>
      <c r="Q179" s="612"/>
      <c r="R179" s="612"/>
      <c r="S179" s="612"/>
      <c r="T179" s="612"/>
      <c r="U179" s="612"/>
      <c r="V179" s="612"/>
      <c r="W179" s="612"/>
      <c r="X179" s="612"/>
      <c r="Y179" s="612"/>
      <c r="Z179" s="612"/>
    </row>
    <row r="180" ht="13.5" customHeight="1">
      <c r="A180" s="612"/>
      <c r="B180" s="68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2"/>
      <c r="P180" s="612"/>
      <c r="Q180" s="612"/>
      <c r="R180" s="612"/>
      <c r="S180" s="612"/>
      <c r="T180" s="612"/>
      <c r="U180" s="612"/>
      <c r="V180" s="612"/>
      <c r="W180" s="612"/>
      <c r="X180" s="612"/>
      <c r="Y180" s="612"/>
      <c r="Z180" s="612"/>
    </row>
    <row r="181" ht="13.5" customHeight="1">
      <c r="A181" s="612"/>
      <c r="B181" s="68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</row>
    <row r="182" ht="13.5" customHeight="1">
      <c r="A182" s="612"/>
      <c r="B182" s="682"/>
      <c r="C182" s="612"/>
      <c r="D182" s="612"/>
      <c r="E182" s="612"/>
      <c r="F182" s="612"/>
      <c r="G182" s="612"/>
      <c r="H182" s="612"/>
      <c r="I182" s="612"/>
      <c r="J182" s="612"/>
      <c r="K182" s="612"/>
      <c r="L182" s="612"/>
      <c r="M182" s="612"/>
      <c r="N182" s="612"/>
      <c r="O182" s="612"/>
      <c r="P182" s="612"/>
      <c r="Q182" s="612"/>
      <c r="R182" s="612"/>
      <c r="S182" s="612"/>
      <c r="T182" s="612"/>
      <c r="U182" s="612"/>
      <c r="V182" s="612"/>
      <c r="W182" s="612"/>
      <c r="X182" s="612"/>
      <c r="Y182" s="612"/>
      <c r="Z182" s="612"/>
    </row>
    <row r="183" ht="13.5" customHeight="1">
      <c r="A183" s="612"/>
      <c r="B183" s="682"/>
      <c r="C183" s="612"/>
      <c r="D183" s="612"/>
      <c r="E183" s="612"/>
      <c r="F183" s="612"/>
      <c r="G183" s="612"/>
      <c r="H183" s="612"/>
      <c r="I183" s="612"/>
      <c r="J183" s="612"/>
      <c r="K183" s="612"/>
      <c r="L183" s="612"/>
      <c r="M183" s="612"/>
      <c r="N183" s="612"/>
      <c r="O183" s="612"/>
      <c r="P183" s="612"/>
      <c r="Q183" s="612"/>
      <c r="R183" s="612"/>
      <c r="S183" s="612"/>
      <c r="T183" s="612"/>
      <c r="U183" s="612"/>
      <c r="V183" s="612"/>
      <c r="W183" s="612"/>
      <c r="X183" s="612"/>
      <c r="Y183" s="612"/>
      <c r="Z183" s="612"/>
    </row>
    <row r="184" ht="13.5" customHeight="1">
      <c r="A184" s="612"/>
      <c r="B184" s="682"/>
      <c r="C184" s="612"/>
      <c r="D184" s="612"/>
      <c r="E184" s="612"/>
      <c r="F184" s="612"/>
      <c r="G184" s="612"/>
      <c r="H184" s="612"/>
      <c r="I184" s="612"/>
      <c r="J184" s="612"/>
      <c r="K184" s="612"/>
      <c r="L184" s="612"/>
      <c r="M184" s="612"/>
      <c r="N184" s="612"/>
      <c r="O184" s="612"/>
      <c r="P184" s="612"/>
      <c r="Q184" s="612"/>
      <c r="R184" s="612"/>
      <c r="S184" s="612"/>
      <c r="T184" s="612"/>
      <c r="U184" s="612"/>
      <c r="V184" s="612"/>
      <c r="W184" s="612"/>
      <c r="X184" s="612"/>
      <c r="Y184" s="612"/>
      <c r="Z184" s="612"/>
    </row>
    <row r="185" ht="13.5" customHeight="1">
      <c r="A185" s="612"/>
      <c r="B185" s="682"/>
      <c r="C185" s="612"/>
      <c r="D185" s="612"/>
      <c r="E185" s="612"/>
      <c r="F185" s="612"/>
      <c r="G185" s="612"/>
      <c r="H185" s="612"/>
      <c r="I185" s="612"/>
      <c r="J185" s="612"/>
      <c r="K185" s="612"/>
      <c r="L185" s="612"/>
      <c r="M185" s="612"/>
      <c r="N185" s="612"/>
      <c r="O185" s="612"/>
      <c r="P185" s="612"/>
      <c r="Q185" s="612"/>
      <c r="R185" s="612"/>
      <c r="S185" s="612"/>
      <c r="T185" s="612"/>
      <c r="U185" s="612"/>
      <c r="V185" s="612"/>
      <c r="W185" s="612"/>
      <c r="X185" s="612"/>
      <c r="Y185" s="612"/>
      <c r="Z185" s="612"/>
    </row>
    <row r="186" ht="13.5" customHeight="1">
      <c r="A186" s="612"/>
      <c r="B186" s="68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2"/>
      <c r="P186" s="612"/>
      <c r="Q186" s="612"/>
      <c r="R186" s="612"/>
      <c r="S186" s="612"/>
      <c r="T186" s="612"/>
      <c r="U186" s="612"/>
      <c r="V186" s="612"/>
      <c r="W186" s="612"/>
      <c r="X186" s="612"/>
      <c r="Y186" s="612"/>
      <c r="Z186" s="612"/>
    </row>
    <row r="187" ht="13.5" customHeight="1">
      <c r="A187" s="612"/>
      <c r="B187" s="68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</row>
    <row r="188" ht="13.5" customHeight="1">
      <c r="A188" s="612"/>
      <c r="B188" s="682"/>
      <c r="C188" s="612"/>
      <c r="D188" s="612"/>
      <c r="E188" s="612"/>
      <c r="F188" s="612"/>
      <c r="G188" s="612"/>
      <c r="H188" s="612"/>
      <c r="I188" s="612"/>
      <c r="J188" s="612"/>
      <c r="K188" s="612"/>
      <c r="L188" s="612"/>
      <c r="M188" s="612"/>
      <c r="N188" s="612"/>
      <c r="O188" s="612"/>
      <c r="P188" s="612"/>
      <c r="Q188" s="612"/>
      <c r="R188" s="612"/>
      <c r="S188" s="612"/>
      <c r="T188" s="612"/>
      <c r="U188" s="612"/>
      <c r="V188" s="612"/>
      <c r="W188" s="612"/>
      <c r="X188" s="612"/>
      <c r="Y188" s="612"/>
      <c r="Z188" s="612"/>
    </row>
    <row r="189" ht="13.5" customHeight="1">
      <c r="A189" s="612"/>
      <c r="B189" s="682"/>
      <c r="C189" s="612"/>
      <c r="D189" s="612"/>
      <c r="E189" s="612"/>
      <c r="F189" s="612"/>
      <c r="G189" s="612"/>
      <c r="H189" s="612"/>
      <c r="I189" s="612"/>
      <c r="J189" s="612"/>
      <c r="K189" s="612"/>
      <c r="L189" s="612"/>
      <c r="M189" s="612"/>
      <c r="N189" s="612"/>
      <c r="O189" s="612"/>
      <c r="P189" s="612"/>
      <c r="Q189" s="612"/>
      <c r="R189" s="612"/>
      <c r="S189" s="612"/>
      <c r="T189" s="612"/>
      <c r="U189" s="612"/>
      <c r="V189" s="612"/>
      <c r="W189" s="612"/>
      <c r="X189" s="612"/>
      <c r="Y189" s="612"/>
      <c r="Z189" s="612"/>
    </row>
    <row r="190" ht="13.5" customHeight="1">
      <c r="A190" s="612"/>
      <c r="B190" s="68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2"/>
      <c r="P190" s="612"/>
      <c r="Q190" s="612"/>
      <c r="R190" s="612"/>
      <c r="S190" s="612"/>
      <c r="T190" s="612"/>
      <c r="U190" s="612"/>
      <c r="V190" s="612"/>
      <c r="W190" s="612"/>
      <c r="X190" s="612"/>
      <c r="Y190" s="612"/>
      <c r="Z190" s="612"/>
    </row>
    <row r="191" ht="13.5" customHeight="1">
      <c r="A191" s="612"/>
      <c r="B191" s="68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2"/>
      <c r="P191" s="612"/>
      <c r="Q191" s="612"/>
      <c r="R191" s="612"/>
      <c r="S191" s="612"/>
      <c r="T191" s="612"/>
      <c r="U191" s="612"/>
      <c r="V191" s="612"/>
      <c r="W191" s="612"/>
      <c r="X191" s="612"/>
      <c r="Y191" s="612"/>
      <c r="Z191" s="612"/>
    </row>
    <row r="192" ht="13.5" customHeight="1">
      <c r="A192" s="612"/>
      <c r="B192" s="68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</row>
    <row r="193" ht="13.5" customHeight="1">
      <c r="A193" s="612"/>
      <c r="B193" s="682"/>
      <c r="C193" s="612"/>
      <c r="D193" s="612"/>
      <c r="E193" s="612"/>
      <c r="F193" s="612"/>
      <c r="G193" s="612"/>
      <c r="H193" s="612"/>
      <c r="I193" s="612"/>
      <c r="J193" s="612"/>
      <c r="K193" s="612"/>
      <c r="L193" s="612"/>
      <c r="M193" s="612"/>
      <c r="N193" s="612"/>
      <c r="O193" s="612"/>
      <c r="P193" s="612"/>
      <c r="Q193" s="612"/>
      <c r="R193" s="612"/>
      <c r="S193" s="612"/>
      <c r="T193" s="612"/>
      <c r="U193" s="612"/>
      <c r="V193" s="612"/>
      <c r="W193" s="612"/>
      <c r="X193" s="612"/>
      <c r="Y193" s="612"/>
      <c r="Z193" s="612"/>
    </row>
    <row r="194" ht="13.5" customHeight="1">
      <c r="A194" s="612"/>
      <c r="B194" s="682"/>
      <c r="C194" s="612"/>
      <c r="D194" s="612"/>
      <c r="E194" s="612"/>
      <c r="F194" s="612"/>
      <c r="G194" s="612"/>
      <c r="H194" s="612"/>
      <c r="I194" s="612"/>
      <c r="J194" s="612"/>
      <c r="K194" s="612"/>
      <c r="L194" s="612"/>
      <c r="M194" s="612"/>
      <c r="N194" s="612"/>
      <c r="O194" s="612"/>
      <c r="P194" s="612"/>
      <c r="Q194" s="612"/>
      <c r="R194" s="612"/>
      <c r="S194" s="612"/>
      <c r="T194" s="612"/>
      <c r="U194" s="612"/>
      <c r="V194" s="612"/>
      <c r="W194" s="612"/>
      <c r="X194" s="612"/>
      <c r="Y194" s="612"/>
      <c r="Z194" s="612"/>
    </row>
    <row r="195" ht="13.5" customHeight="1">
      <c r="A195" s="612"/>
      <c r="B195" s="682"/>
      <c r="C195" s="612"/>
      <c r="D195" s="612"/>
      <c r="E195" s="612"/>
      <c r="F195" s="612"/>
      <c r="G195" s="612"/>
      <c r="H195" s="612"/>
      <c r="I195" s="612"/>
      <c r="J195" s="612"/>
      <c r="K195" s="612"/>
      <c r="L195" s="612"/>
      <c r="M195" s="612"/>
      <c r="N195" s="612"/>
      <c r="O195" s="612"/>
      <c r="P195" s="612"/>
      <c r="Q195" s="612"/>
      <c r="R195" s="612"/>
      <c r="S195" s="612"/>
      <c r="T195" s="612"/>
      <c r="U195" s="612"/>
      <c r="V195" s="612"/>
      <c r="W195" s="612"/>
      <c r="X195" s="612"/>
      <c r="Y195" s="612"/>
      <c r="Z195" s="612"/>
    </row>
    <row r="196" ht="13.5" customHeight="1">
      <c r="A196" s="612"/>
      <c r="B196" s="682"/>
      <c r="C196" s="612"/>
      <c r="D196" s="612"/>
      <c r="E196" s="612"/>
      <c r="F196" s="612"/>
      <c r="G196" s="612"/>
      <c r="H196" s="612"/>
      <c r="I196" s="612"/>
      <c r="J196" s="612"/>
      <c r="K196" s="612"/>
      <c r="L196" s="612"/>
      <c r="M196" s="612"/>
      <c r="N196" s="612"/>
      <c r="O196" s="612"/>
      <c r="P196" s="612"/>
      <c r="Q196" s="612"/>
      <c r="R196" s="612"/>
      <c r="S196" s="612"/>
      <c r="T196" s="612"/>
      <c r="U196" s="612"/>
      <c r="V196" s="612"/>
      <c r="W196" s="612"/>
      <c r="X196" s="612"/>
      <c r="Y196" s="612"/>
      <c r="Z196" s="612"/>
    </row>
    <row r="197" ht="13.5" customHeight="1">
      <c r="A197" s="612"/>
      <c r="B197" s="68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</row>
    <row r="198" ht="13.5" customHeight="1">
      <c r="A198" s="612"/>
      <c r="B198" s="68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</row>
    <row r="199" ht="13.5" customHeight="1">
      <c r="A199" s="612"/>
      <c r="B199" s="682"/>
      <c r="C199" s="612"/>
      <c r="D199" s="612"/>
      <c r="E199" s="612"/>
      <c r="F199" s="612"/>
      <c r="G199" s="612"/>
      <c r="H199" s="612"/>
      <c r="I199" s="612"/>
      <c r="J199" s="612"/>
      <c r="K199" s="612"/>
      <c r="L199" s="612"/>
      <c r="M199" s="612"/>
      <c r="N199" s="612"/>
      <c r="O199" s="612"/>
      <c r="P199" s="612"/>
      <c r="Q199" s="612"/>
      <c r="R199" s="612"/>
      <c r="S199" s="612"/>
      <c r="T199" s="612"/>
      <c r="U199" s="612"/>
      <c r="V199" s="612"/>
      <c r="W199" s="612"/>
      <c r="X199" s="612"/>
      <c r="Y199" s="612"/>
      <c r="Z199" s="612"/>
    </row>
    <row r="200" ht="13.5" customHeight="1">
      <c r="A200" s="612"/>
      <c r="B200" s="682"/>
      <c r="C200" s="612"/>
      <c r="D200" s="612"/>
      <c r="E200" s="612"/>
      <c r="F200" s="612"/>
      <c r="G200" s="612"/>
      <c r="H200" s="612"/>
      <c r="I200" s="612"/>
      <c r="J200" s="612"/>
      <c r="K200" s="612"/>
      <c r="L200" s="612"/>
      <c r="M200" s="612"/>
      <c r="N200" s="612"/>
      <c r="O200" s="612"/>
      <c r="P200" s="612"/>
      <c r="Q200" s="612"/>
      <c r="R200" s="612"/>
      <c r="S200" s="612"/>
      <c r="T200" s="612"/>
      <c r="U200" s="612"/>
      <c r="V200" s="612"/>
      <c r="W200" s="612"/>
      <c r="X200" s="612"/>
      <c r="Y200" s="612"/>
      <c r="Z200" s="612"/>
    </row>
    <row r="201" ht="13.5" customHeight="1">
      <c r="A201" s="612"/>
      <c r="B201" s="682"/>
      <c r="C201" s="612"/>
      <c r="D201" s="612"/>
      <c r="E201" s="612"/>
      <c r="F201" s="612"/>
      <c r="G201" s="612"/>
      <c r="H201" s="612"/>
      <c r="I201" s="612"/>
      <c r="J201" s="612"/>
      <c r="K201" s="612"/>
      <c r="L201" s="612"/>
      <c r="M201" s="612"/>
      <c r="N201" s="612"/>
      <c r="O201" s="612"/>
      <c r="P201" s="612"/>
      <c r="Q201" s="612"/>
      <c r="R201" s="612"/>
      <c r="S201" s="612"/>
      <c r="T201" s="612"/>
      <c r="U201" s="612"/>
      <c r="V201" s="612"/>
      <c r="W201" s="612"/>
      <c r="X201" s="612"/>
      <c r="Y201" s="612"/>
      <c r="Z201" s="612"/>
    </row>
    <row r="202" ht="13.5" customHeight="1">
      <c r="A202" s="612"/>
      <c r="B202" s="682"/>
      <c r="C202" s="612"/>
      <c r="D202" s="612"/>
      <c r="E202" s="612"/>
      <c r="F202" s="612"/>
      <c r="G202" s="612"/>
      <c r="H202" s="612"/>
      <c r="I202" s="612"/>
      <c r="J202" s="612"/>
      <c r="K202" s="612"/>
      <c r="L202" s="612"/>
      <c r="M202" s="612"/>
      <c r="N202" s="612"/>
      <c r="O202" s="612"/>
      <c r="P202" s="612"/>
      <c r="Q202" s="612"/>
      <c r="R202" s="612"/>
      <c r="S202" s="612"/>
      <c r="T202" s="612"/>
      <c r="U202" s="612"/>
      <c r="V202" s="612"/>
      <c r="W202" s="612"/>
      <c r="X202" s="612"/>
      <c r="Y202" s="612"/>
      <c r="Z202" s="612"/>
    </row>
    <row r="203" ht="13.5" customHeight="1">
      <c r="A203" s="612"/>
      <c r="B203" s="682"/>
      <c r="C203" s="612"/>
      <c r="D203" s="612"/>
      <c r="E203" s="612"/>
      <c r="F203" s="612"/>
      <c r="G203" s="612"/>
      <c r="H203" s="612"/>
      <c r="I203" s="612"/>
      <c r="J203" s="612"/>
      <c r="K203" s="612"/>
      <c r="L203" s="612"/>
      <c r="M203" s="612"/>
      <c r="N203" s="612"/>
      <c r="O203" s="612"/>
      <c r="P203" s="612"/>
      <c r="Q203" s="612"/>
      <c r="R203" s="612"/>
      <c r="S203" s="612"/>
      <c r="T203" s="612"/>
      <c r="U203" s="612"/>
      <c r="V203" s="612"/>
      <c r="W203" s="612"/>
      <c r="X203" s="612"/>
      <c r="Y203" s="612"/>
      <c r="Z203" s="612"/>
    </row>
    <row r="204" ht="13.5" customHeight="1">
      <c r="A204" s="612"/>
      <c r="B204" s="682"/>
      <c r="C204" s="612"/>
      <c r="D204" s="612"/>
      <c r="E204" s="612"/>
      <c r="F204" s="612"/>
      <c r="G204" s="612"/>
      <c r="H204" s="612"/>
      <c r="I204" s="612"/>
      <c r="J204" s="612"/>
      <c r="K204" s="612"/>
      <c r="L204" s="612"/>
      <c r="M204" s="612"/>
      <c r="N204" s="612"/>
      <c r="O204" s="612"/>
      <c r="P204" s="612"/>
      <c r="Q204" s="612"/>
      <c r="R204" s="612"/>
      <c r="S204" s="612"/>
      <c r="T204" s="612"/>
      <c r="U204" s="612"/>
      <c r="V204" s="612"/>
      <c r="W204" s="612"/>
      <c r="X204" s="612"/>
      <c r="Y204" s="612"/>
      <c r="Z204" s="612"/>
    </row>
    <row r="205" ht="13.5" customHeight="1">
      <c r="A205" s="612"/>
      <c r="B205" s="68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</row>
    <row r="206" ht="13.5" customHeight="1">
      <c r="A206" s="612"/>
      <c r="B206" s="68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</row>
    <row r="207" ht="13.5" customHeight="1">
      <c r="A207" s="612"/>
      <c r="B207" s="682"/>
      <c r="C207" s="612"/>
      <c r="D207" s="612"/>
      <c r="E207" s="612"/>
      <c r="F207" s="612"/>
      <c r="G207" s="612"/>
      <c r="H207" s="612"/>
      <c r="I207" s="612"/>
      <c r="J207" s="612"/>
      <c r="K207" s="612"/>
      <c r="L207" s="612"/>
      <c r="M207" s="612"/>
      <c r="N207" s="612"/>
      <c r="O207" s="612"/>
      <c r="P207" s="612"/>
      <c r="Q207" s="612"/>
      <c r="R207" s="612"/>
      <c r="S207" s="612"/>
      <c r="T207" s="612"/>
      <c r="U207" s="612"/>
      <c r="V207" s="612"/>
      <c r="W207" s="612"/>
      <c r="X207" s="612"/>
      <c r="Y207" s="612"/>
      <c r="Z207" s="612"/>
    </row>
    <row r="208" ht="13.5" customHeight="1">
      <c r="A208" s="612"/>
      <c r="B208" s="68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2"/>
      <c r="P208" s="612"/>
      <c r="Q208" s="612"/>
      <c r="R208" s="612"/>
      <c r="S208" s="612"/>
      <c r="T208" s="612"/>
      <c r="U208" s="612"/>
      <c r="V208" s="612"/>
      <c r="W208" s="612"/>
      <c r="X208" s="612"/>
      <c r="Y208" s="612"/>
      <c r="Z208" s="612"/>
    </row>
    <row r="209" ht="13.5" customHeight="1">
      <c r="A209" s="612"/>
      <c r="B209" s="68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2"/>
      <c r="P209" s="612"/>
      <c r="Q209" s="612"/>
      <c r="R209" s="612"/>
      <c r="S209" s="612"/>
      <c r="T209" s="612"/>
      <c r="U209" s="612"/>
      <c r="V209" s="612"/>
      <c r="W209" s="612"/>
      <c r="X209" s="612"/>
      <c r="Y209" s="612"/>
      <c r="Z209" s="612"/>
    </row>
    <row r="210" ht="13.5" customHeight="1">
      <c r="A210" s="612"/>
      <c r="B210" s="68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</row>
    <row r="211" ht="13.5" customHeight="1">
      <c r="A211" s="612"/>
      <c r="B211" s="682"/>
      <c r="C211" s="612"/>
      <c r="D211" s="612"/>
      <c r="E211" s="612"/>
      <c r="F211" s="612"/>
      <c r="G211" s="612"/>
      <c r="H211" s="612"/>
      <c r="I211" s="612"/>
      <c r="J211" s="612"/>
      <c r="K211" s="612"/>
      <c r="L211" s="612"/>
      <c r="M211" s="612"/>
      <c r="N211" s="612"/>
      <c r="O211" s="612"/>
      <c r="P211" s="612"/>
      <c r="Q211" s="612"/>
      <c r="R211" s="612"/>
      <c r="S211" s="612"/>
      <c r="T211" s="612"/>
      <c r="U211" s="612"/>
      <c r="V211" s="612"/>
      <c r="W211" s="612"/>
      <c r="X211" s="612"/>
      <c r="Y211" s="612"/>
      <c r="Z211" s="612"/>
    </row>
    <row r="212" ht="13.5" customHeight="1">
      <c r="A212" s="612"/>
      <c r="B212" s="682"/>
      <c r="C212" s="612"/>
      <c r="D212" s="612"/>
      <c r="E212" s="612"/>
      <c r="F212" s="612"/>
      <c r="G212" s="612"/>
      <c r="H212" s="612"/>
      <c r="I212" s="612"/>
      <c r="J212" s="612"/>
      <c r="K212" s="612"/>
      <c r="L212" s="612"/>
      <c r="M212" s="612"/>
      <c r="N212" s="612"/>
      <c r="O212" s="612"/>
      <c r="P212" s="612"/>
      <c r="Q212" s="612"/>
      <c r="R212" s="612"/>
      <c r="S212" s="612"/>
      <c r="T212" s="612"/>
      <c r="U212" s="612"/>
      <c r="V212" s="612"/>
      <c r="W212" s="612"/>
      <c r="X212" s="612"/>
      <c r="Y212" s="612"/>
      <c r="Z212" s="612"/>
    </row>
    <row r="213" ht="13.5" customHeight="1">
      <c r="A213" s="612"/>
      <c r="B213" s="682"/>
      <c r="C213" s="612"/>
      <c r="D213" s="612"/>
      <c r="E213" s="612"/>
      <c r="F213" s="612"/>
      <c r="G213" s="612"/>
      <c r="H213" s="612"/>
      <c r="I213" s="612"/>
      <c r="J213" s="612"/>
      <c r="K213" s="612"/>
      <c r="L213" s="612"/>
      <c r="M213" s="612"/>
      <c r="N213" s="612"/>
      <c r="O213" s="612"/>
      <c r="P213" s="612"/>
      <c r="Q213" s="612"/>
      <c r="R213" s="612"/>
      <c r="S213" s="612"/>
      <c r="T213" s="612"/>
      <c r="U213" s="612"/>
      <c r="V213" s="612"/>
      <c r="W213" s="612"/>
      <c r="X213" s="612"/>
      <c r="Y213" s="612"/>
      <c r="Z213" s="612"/>
    </row>
    <row r="214" ht="13.5" customHeight="1">
      <c r="A214" s="612"/>
      <c r="B214" s="682"/>
      <c r="C214" s="612"/>
      <c r="D214" s="612"/>
      <c r="E214" s="612"/>
      <c r="F214" s="612"/>
      <c r="G214" s="612"/>
      <c r="H214" s="612"/>
      <c r="I214" s="612"/>
      <c r="J214" s="612"/>
      <c r="K214" s="612"/>
      <c r="L214" s="612"/>
      <c r="M214" s="612"/>
      <c r="N214" s="612"/>
      <c r="O214" s="612"/>
      <c r="P214" s="612"/>
      <c r="Q214" s="612"/>
      <c r="R214" s="612"/>
      <c r="S214" s="612"/>
      <c r="T214" s="612"/>
      <c r="U214" s="612"/>
      <c r="V214" s="612"/>
      <c r="W214" s="612"/>
      <c r="X214" s="612"/>
      <c r="Y214" s="612"/>
      <c r="Z214" s="612"/>
    </row>
    <row r="215" ht="13.5" customHeight="1">
      <c r="A215" s="612"/>
      <c r="B215" s="682"/>
      <c r="C215" s="612"/>
      <c r="D215" s="612"/>
      <c r="E215" s="612"/>
      <c r="F215" s="612"/>
      <c r="G215" s="612"/>
      <c r="H215" s="612"/>
      <c r="I215" s="612"/>
      <c r="J215" s="612"/>
      <c r="K215" s="612"/>
      <c r="L215" s="612"/>
      <c r="M215" s="612"/>
      <c r="N215" s="612"/>
      <c r="O215" s="612"/>
      <c r="P215" s="612"/>
      <c r="Q215" s="612"/>
      <c r="R215" s="612"/>
      <c r="S215" s="612"/>
      <c r="T215" s="612"/>
      <c r="U215" s="612"/>
      <c r="V215" s="612"/>
      <c r="W215" s="612"/>
      <c r="X215" s="612"/>
      <c r="Y215" s="612"/>
      <c r="Z215" s="612"/>
    </row>
    <row r="216" ht="13.5" customHeight="1">
      <c r="A216" s="612"/>
      <c r="B216" s="682"/>
      <c r="C216" s="612"/>
      <c r="D216" s="612"/>
      <c r="E216" s="612"/>
      <c r="F216" s="612"/>
      <c r="G216" s="612"/>
      <c r="H216" s="612"/>
      <c r="I216" s="612"/>
      <c r="J216" s="612"/>
      <c r="K216" s="612"/>
      <c r="L216" s="612"/>
      <c r="M216" s="612"/>
      <c r="N216" s="612"/>
      <c r="O216" s="612"/>
      <c r="P216" s="612"/>
      <c r="Q216" s="612"/>
      <c r="R216" s="612"/>
      <c r="S216" s="612"/>
      <c r="T216" s="612"/>
      <c r="U216" s="612"/>
      <c r="V216" s="612"/>
      <c r="W216" s="612"/>
      <c r="X216" s="612"/>
      <c r="Y216" s="612"/>
      <c r="Z216" s="612"/>
    </row>
    <row r="217" ht="13.5" customHeight="1">
      <c r="A217" s="612"/>
      <c r="B217" s="682"/>
      <c r="C217" s="612"/>
      <c r="D217" s="612"/>
      <c r="E217" s="612"/>
      <c r="F217" s="612"/>
      <c r="G217" s="612"/>
      <c r="H217" s="612"/>
      <c r="I217" s="612"/>
      <c r="J217" s="612"/>
      <c r="K217" s="612"/>
      <c r="L217" s="612"/>
      <c r="M217" s="612"/>
      <c r="N217" s="612"/>
      <c r="O217" s="612"/>
      <c r="P217" s="612"/>
      <c r="Q217" s="612"/>
      <c r="R217" s="612"/>
      <c r="S217" s="612"/>
      <c r="T217" s="612"/>
      <c r="U217" s="612"/>
      <c r="V217" s="612"/>
      <c r="W217" s="612"/>
      <c r="X217" s="612"/>
      <c r="Y217" s="612"/>
      <c r="Z217" s="612"/>
    </row>
    <row r="218" ht="13.5" customHeight="1">
      <c r="A218" s="612"/>
      <c r="B218" s="682"/>
      <c r="C218" s="612"/>
      <c r="D218" s="612"/>
      <c r="E218" s="612"/>
      <c r="F218" s="612"/>
      <c r="G218" s="612"/>
      <c r="H218" s="612"/>
      <c r="I218" s="612"/>
      <c r="J218" s="612"/>
      <c r="K218" s="612"/>
      <c r="L218" s="612"/>
      <c r="M218" s="612"/>
      <c r="N218" s="612"/>
      <c r="O218" s="612"/>
      <c r="P218" s="612"/>
      <c r="Q218" s="612"/>
      <c r="R218" s="612"/>
      <c r="S218" s="612"/>
      <c r="T218" s="612"/>
      <c r="U218" s="612"/>
      <c r="V218" s="612"/>
      <c r="W218" s="612"/>
      <c r="X218" s="612"/>
      <c r="Y218" s="612"/>
      <c r="Z218" s="612"/>
    </row>
    <row r="219" ht="13.5" customHeight="1">
      <c r="A219" s="612"/>
      <c r="B219" s="682"/>
      <c r="C219" s="612"/>
      <c r="D219" s="612"/>
      <c r="E219" s="612"/>
      <c r="F219" s="612"/>
      <c r="G219" s="612"/>
      <c r="H219" s="612"/>
      <c r="I219" s="612"/>
      <c r="J219" s="612"/>
      <c r="K219" s="612"/>
      <c r="L219" s="612"/>
      <c r="M219" s="612"/>
      <c r="N219" s="612"/>
      <c r="O219" s="612"/>
      <c r="P219" s="612"/>
      <c r="Q219" s="612"/>
      <c r="R219" s="612"/>
      <c r="S219" s="612"/>
      <c r="T219" s="612"/>
      <c r="U219" s="612"/>
      <c r="V219" s="612"/>
      <c r="W219" s="612"/>
      <c r="X219" s="612"/>
      <c r="Y219" s="612"/>
      <c r="Z219" s="612"/>
    </row>
    <row r="220" ht="13.5" customHeight="1">
      <c r="A220" s="612"/>
      <c r="B220" s="682"/>
      <c r="C220" s="612"/>
      <c r="D220" s="612"/>
      <c r="E220" s="612"/>
      <c r="F220" s="612"/>
      <c r="G220" s="612"/>
      <c r="H220" s="612"/>
      <c r="I220" s="612"/>
      <c r="J220" s="612"/>
      <c r="K220" s="612"/>
      <c r="L220" s="612"/>
      <c r="M220" s="612"/>
      <c r="N220" s="612"/>
      <c r="O220" s="612"/>
      <c r="P220" s="612"/>
      <c r="Q220" s="612"/>
      <c r="R220" s="612"/>
      <c r="S220" s="612"/>
      <c r="T220" s="612"/>
      <c r="U220" s="612"/>
      <c r="V220" s="612"/>
      <c r="W220" s="612"/>
      <c r="X220" s="612"/>
      <c r="Y220" s="612"/>
      <c r="Z220" s="612"/>
    </row>
    <row r="221" ht="13.5" customHeight="1">
      <c r="A221" s="612"/>
      <c r="B221" s="682"/>
      <c r="C221" s="612"/>
      <c r="D221" s="612"/>
      <c r="E221" s="612"/>
      <c r="F221" s="612"/>
      <c r="G221" s="612"/>
      <c r="H221" s="612"/>
      <c r="I221" s="612"/>
      <c r="J221" s="612"/>
      <c r="K221" s="612"/>
      <c r="L221" s="612"/>
      <c r="M221" s="612"/>
      <c r="N221" s="612"/>
      <c r="O221" s="612"/>
      <c r="P221" s="612"/>
      <c r="Q221" s="612"/>
      <c r="R221" s="612"/>
      <c r="S221" s="612"/>
      <c r="T221" s="612"/>
      <c r="U221" s="612"/>
      <c r="V221" s="612"/>
      <c r="W221" s="612"/>
      <c r="X221" s="612"/>
      <c r="Y221" s="612"/>
      <c r="Z221" s="612"/>
    </row>
    <row r="222" ht="13.5" customHeight="1">
      <c r="A222" s="612"/>
      <c r="B222" s="682"/>
      <c r="C222" s="612"/>
      <c r="D222" s="612"/>
      <c r="E222" s="612"/>
      <c r="F222" s="612"/>
      <c r="G222" s="612"/>
      <c r="H222" s="612"/>
      <c r="I222" s="612"/>
      <c r="J222" s="612"/>
      <c r="K222" s="612"/>
      <c r="L222" s="612"/>
      <c r="M222" s="612"/>
      <c r="N222" s="612"/>
      <c r="O222" s="612"/>
      <c r="P222" s="612"/>
      <c r="Q222" s="612"/>
      <c r="R222" s="612"/>
      <c r="S222" s="612"/>
      <c r="T222" s="612"/>
      <c r="U222" s="612"/>
      <c r="V222" s="612"/>
      <c r="W222" s="612"/>
      <c r="X222" s="612"/>
      <c r="Y222" s="612"/>
      <c r="Z222" s="612"/>
    </row>
    <row r="223" ht="13.5" customHeight="1">
      <c r="A223" s="612"/>
      <c r="B223" s="682"/>
      <c r="C223" s="612"/>
      <c r="D223" s="612"/>
      <c r="E223" s="612"/>
      <c r="F223" s="612"/>
      <c r="G223" s="612"/>
      <c r="H223" s="612"/>
      <c r="I223" s="612"/>
      <c r="J223" s="612"/>
      <c r="K223" s="612"/>
      <c r="L223" s="612"/>
      <c r="M223" s="612"/>
      <c r="N223" s="612"/>
      <c r="O223" s="612"/>
      <c r="P223" s="612"/>
      <c r="Q223" s="612"/>
      <c r="R223" s="612"/>
      <c r="S223" s="612"/>
      <c r="T223" s="612"/>
      <c r="U223" s="612"/>
      <c r="V223" s="612"/>
      <c r="W223" s="612"/>
      <c r="X223" s="612"/>
      <c r="Y223" s="612"/>
      <c r="Z223" s="612"/>
    </row>
    <row r="224" ht="13.5" customHeight="1">
      <c r="A224" s="612"/>
      <c r="B224" s="682"/>
      <c r="C224" s="612"/>
      <c r="D224" s="612"/>
      <c r="E224" s="612"/>
      <c r="F224" s="612"/>
      <c r="G224" s="612"/>
      <c r="H224" s="612"/>
      <c r="I224" s="612"/>
      <c r="J224" s="612"/>
      <c r="K224" s="612"/>
      <c r="L224" s="612"/>
      <c r="M224" s="612"/>
      <c r="N224" s="612"/>
      <c r="O224" s="612"/>
      <c r="P224" s="612"/>
      <c r="Q224" s="612"/>
      <c r="R224" s="612"/>
      <c r="S224" s="612"/>
      <c r="T224" s="612"/>
      <c r="U224" s="612"/>
      <c r="V224" s="612"/>
      <c r="W224" s="612"/>
      <c r="X224" s="612"/>
      <c r="Y224" s="612"/>
      <c r="Z224" s="612"/>
    </row>
    <row r="225" ht="13.5" customHeight="1">
      <c r="A225" s="612"/>
      <c r="B225" s="68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2"/>
      <c r="P225" s="612"/>
      <c r="Q225" s="612"/>
      <c r="R225" s="612"/>
      <c r="S225" s="612"/>
      <c r="T225" s="612"/>
      <c r="U225" s="612"/>
      <c r="V225" s="612"/>
      <c r="W225" s="612"/>
      <c r="X225" s="612"/>
      <c r="Y225" s="612"/>
      <c r="Z225" s="612"/>
    </row>
    <row r="226" ht="13.5" customHeight="1">
      <c r="A226" s="612"/>
      <c r="B226" s="68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2"/>
      <c r="P226" s="612"/>
      <c r="Q226" s="612"/>
      <c r="R226" s="612"/>
      <c r="S226" s="612"/>
      <c r="T226" s="612"/>
      <c r="U226" s="612"/>
      <c r="V226" s="612"/>
      <c r="W226" s="612"/>
      <c r="X226" s="612"/>
      <c r="Y226" s="612"/>
      <c r="Z226" s="612"/>
    </row>
    <row r="227" ht="13.5" customHeight="1">
      <c r="A227" s="612"/>
      <c r="B227" s="68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</row>
    <row r="228" ht="13.5" customHeight="1">
      <c r="A228" s="612"/>
      <c r="B228" s="682"/>
      <c r="C228" s="612"/>
      <c r="D228" s="612"/>
      <c r="E228" s="612"/>
      <c r="F228" s="612"/>
      <c r="G228" s="612"/>
      <c r="H228" s="612"/>
      <c r="I228" s="612"/>
      <c r="J228" s="612"/>
      <c r="K228" s="612"/>
      <c r="L228" s="612"/>
      <c r="M228" s="612"/>
      <c r="N228" s="612"/>
      <c r="O228" s="612"/>
      <c r="P228" s="612"/>
      <c r="Q228" s="612"/>
      <c r="R228" s="612"/>
      <c r="S228" s="612"/>
      <c r="T228" s="612"/>
      <c r="U228" s="612"/>
      <c r="V228" s="612"/>
      <c r="W228" s="612"/>
      <c r="X228" s="612"/>
      <c r="Y228" s="612"/>
      <c r="Z228" s="612"/>
    </row>
    <row r="229" ht="13.5" customHeight="1">
      <c r="A229" s="612"/>
      <c r="B229" s="682"/>
      <c r="C229" s="612"/>
      <c r="D229" s="612"/>
      <c r="E229" s="612"/>
      <c r="F229" s="612"/>
      <c r="G229" s="612"/>
      <c r="H229" s="612"/>
      <c r="I229" s="612"/>
      <c r="J229" s="612"/>
      <c r="K229" s="612"/>
      <c r="L229" s="612"/>
      <c r="M229" s="612"/>
      <c r="N229" s="612"/>
      <c r="O229" s="612"/>
      <c r="P229" s="612"/>
      <c r="Q229" s="612"/>
      <c r="R229" s="612"/>
      <c r="S229" s="612"/>
      <c r="T229" s="612"/>
      <c r="U229" s="612"/>
      <c r="V229" s="612"/>
      <c r="W229" s="612"/>
      <c r="X229" s="612"/>
      <c r="Y229" s="612"/>
      <c r="Z229" s="612"/>
    </row>
    <row r="230" ht="13.5" customHeight="1">
      <c r="A230" s="612"/>
      <c r="B230" s="682"/>
      <c r="C230" s="612"/>
      <c r="D230" s="612"/>
      <c r="E230" s="612"/>
      <c r="F230" s="612"/>
      <c r="G230" s="612"/>
      <c r="H230" s="612"/>
      <c r="I230" s="612"/>
      <c r="J230" s="612"/>
      <c r="K230" s="612"/>
      <c r="L230" s="612"/>
      <c r="M230" s="612"/>
      <c r="N230" s="612"/>
      <c r="O230" s="612"/>
      <c r="P230" s="612"/>
      <c r="Q230" s="612"/>
      <c r="R230" s="612"/>
      <c r="S230" s="612"/>
      <c r="T230" s="612"/>
      <c r="U230" s="612"/>
      <c r="V230" s="612"/>
      <c r="W230" s="612"/>
      <c r="X230" s="612"/>
      <c r="Y230" s="612"/>
      <c r="Z230" s="612"/>
    </row>
    <row r="231" ht="13.5" customHeight="1">
      <c r="A231" s="612"/>
      <c r="B231" s="682"/>
      <c r="C231" s="612"/>
      <c r="D231" s="612"/>
      <c r="E231" s="612"/>
      <c r="F231" s="612"/>
      <c r="G231" s="612"/>
      <c r="H231" s="612"/>
      <c r="I231" s="612"/>
      <c r="J231" s="612"/>
      <c r="K231" s="612"/>
      <c r="L231" s="612"/>
      <c r="M231" s="612"/>
      <c r="N231" s="612"/>
      <c r="O231" s="612"/>
      <c r="P231" s="612"/>
      <c r="Q231" s="612"/>
      <c r="R231" s="612"/>
      <c r="S231" s="612"/>
      <c r="T231" s="612"/>
      <c r="U231" s="612"/>
      <c r="V231" s="612"/>
      <c r="W231" s="612"/>
      <c r="X231" s="612"/>
      <c r="Y231" s="612"/>
      <c r="Z231" s="612"/>
    </row>
    <row r="232" ht="13.5" customHeight="1">
      <c r="A232" s="612"/>
      <c r="B232" s="68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</row>
    <row r="233" ht="13.5" customHeight="1">
      <c r="A233" s="612"/>
      <c r="B233" s="682"/>
      <c r="C233" s="612"/>
      <c r="D233" s="612"/>
      <c r="E233" s="612"/>
      <c r="F233" s="612"/>
      <c r="G233" s="612"/>
      <c r="H233" s="612"/>
      <c r="I233" s="612"/>
      <c r="J233" s="612"/>
      <c r="K233" s="612"/>
      <c r="L233" s="612"/>
      <c r="M233" s="612"/>
      <c r="N233" s="612"/>
      <c r="O233" s="612"/>
      <c r="P233" s="612"/>
      <c r="Q233" s="612"/>
      <c r="R233" s="612"/>
      <c r="S233" s="612"/>
      <c r="T233" s="612"/>
      <c r="U233" s="612"/>
      <c r="V233" s="612"/>
      <c r="W233" s="612"/>
      <c r="X233" s="612"/>
      <c r="Y233" s="612"/>
      <c r="Z233" s="612"/>
    </row>
    <row r="234" ht="13.5" customHeight="1">
      <c r="A234" s="612"/>
      <c r="B234" s="682"/>
      <c r="C234" s="612"/>
      <c r="D234" s="612"/>
      <c r="E234" s="612"/>
      <c r="F234" s="612"/>
      <c r="G234" s="612"/>
      <c r="H234" s="612"/>
      <c r="I234" s="612"/>
      <c r="J234" s="612"/>
      <c r="K234" s="612"/>
      <c r="L234" s="612"/>
      <c r="M234" s="612"/>
      <c r="N234" s="612"/>
      <c r="O234" s="612"/>
      <c r="P234" s="612"/>
      <c r="Q234" s="612"/>
      <c r="R234" s="612"/>
      <c r="S234" s="612"/>
      <c r="T234" s="612"/>
      <c r="U234" s="612"/>
      <c r="V234" s="612"/>
      <c r="W234" s="612"/>
      <c r="X234" s="612"/>
      <c r="Y234" s="612"/>
      <c r="Z234" s="612"/>
    </row>
    <row r="235" ht="13.5" customHeight="1">
      <c r="A235" s="612"/>
      <c r="B235" s="682"/>
      <c r="C235" s="612"/>
      <c r="D235" s="612"/>
      <c r="E235" s="612"/>
      <c r="F235" s="612"/>
      <c r="G235" s="612"/>
      <c r="H235" s="612"/>
      <c r="I235" s="612"/>
      <c r="J235" s="612"/>
      <c r="K235" s="612"/>
      <c r="L235" s="612"/>
      <c r="M235" s="612"/>
      <c r="N235" s="612"/>
      <c r="O235" s="612"/>
      <c r="P235" s="612"/>
      <c r="Q235" s="612"/>
      <c r="R235" s="612"/>
      <c r="S235" s="612"/>
      <c r="T235" s="612"/>
      <c r="U235" s="612"/>
      <c r="V235" s="612"/>
      <c r="W235" s="612"/>
      <c r="X235" s="612"/>
      <c r="Y235" s="612"/>
      <c r="Z235" s="612"/>
    </row>
    <row r="236" ht="13.5" customHeight="1">
      <c r="A236" s="612"/>
      <c r="B236" s="682"/>
      <c r="C236" s="612"/>
      <c r="D236" s="612"/>
      <c r="E236" s="612"/>
      <c r="F236" s="612"/>
      <c r="G236" s="612"/>
      <c r="H236" s="612"/>
      <c r="I236" s="612"/>
      <c r="J236" s="612"/>
      <c r="K236" s="612"/>
      <c r="L236" s="612"/>
      <c r="M236" s="612"/>
      <c r="N236" s="612"/>
      <c r="O236" s="612"/>
      <c r="P236" s="612"/>
      <c r="Q236" s="612"/>
      <c r="R236" s="612"/>
      <c r="S236" s="612"/>
      <c r="T236" s="612"/>
      <c r="U236" s="612"/>
      <c r="V236" s="612"/>
      <c r="W236" s="612"/>
      <c r="X236" s="612"/>
      <c r="Y236" s="612"/>
      <c r="Z236" s="612"/>
    </row>
    <row r="237" ht="13.5" customHeight="1">
      <c r="A237" s="612"/>
      <c r="B237" s="682"/>
      <c r="C237" s="612"/>
      <c r="D237" s="612"/>
      <c r="E237" s="612"/>
      <c r="F237" s="612"/>
      <c r="G237" s="612"/>
      <c r="H237" s="612"/>
      <c r="I237" s="612"/>
      <c r="J237" s="612"/>
      <c r="K237" s="612"/>
      <c r="L237" s="612"/>
      <c r="M237" s="612"/>
      <c r="N237" s="612"/>
      <c r="O237" s="612"/>
      <c r="P237" s="612"/>
      <c r="Q237" s="612"/>
      <c r="R237" s="612"/>
      <c r="S237" s="612"/>
      <c r="T237" s="612"/>
      <c r="U237" s="612"/>
      <c r="V237" s="612"/>
      <c r="W237" s="612"/>
      <c r="X237" s="612"/>
      <c r="Y237" s="612"/>
      <c r="Z237" s="612"/>
    </row>
    <row r="238" ht="13.5" customHeight="1">
      <c r="A238" s="612"/>
      <c r="B238" s="68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</row>
    <row r="239" ht="13.5" customHeight="1">
      <c r="A239" s="612"/>
      <c r="B239" s="682"/>
      <c r="C239" s="612"/>
      <c r="D239" s="612"/>
      <c r="E239" s="612"/>
      <c r="F239" s="612"/>
      <c r="G239" s="612"/>
      <c r="H239" s="612"/>
      <c r="I239" s="612"/>
      <c r="J239" s="612"/>
      <c r="K239" s="612"/>
      <c r="L239" s="612"/>
      <c r="M239" s="612"/>
      <c r="N239" s="612"/>
      <c r="O239" s="612"/>
      <c r="P239" s="612"/>
      <c r="Q239" s="612"/>
      <c r="R239" s="612"/>
      <c r="S239" s="612"/>
      <c r="T239" s="612"/>
      <c r="U239" s="612"/>
      <c r="V239" s="612"/>
      <c r="W239" s="612"/>
      <c r="X239" s="612"/>
      <c r="Y239" s="612"/>
      <c r="Z239" s="61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32:C32"/>
    <mergeCell ref="B33:C33"/>
    <mergeCell ref="B36:C36"/>
    <mergeCell ref="B37:C37"/>
    <mergeCell ref="B2:C2"/>
    <mergeCell ref="E4:I4"/>
    <mergeCell ref="J4:N4"/>
    <mergeCell ref="B27:C27"/>
    <mergeCell ref="B28:C28"/>
    <mergeCell ref="B29:C29"/>
    <mergeCell ref="B31:C31"/>
  </mergeCells>
  <conditionalFormatting sqref="I11">
    <cfRule type="cellIs" dxfId="0" priority="1" operator="notBetween">
      <formula>-0.001</formula>
      <formula>0.001</formula>
    </cfRule>
  </conditionalFormatting>
  <conditionalFormatting sqref="I25 I34">
    <cfRule type="cellIs" dxfId="0" priority="2" operator="notBetween">
      <formula>-0.001</formula>
      <formula>0.001</formula>
    </cfRule>
  </conditionalFormatting>
  <conditionalFormatting sqref="I39:V39">
    <cfRule type="cellIs" dxfId="0" priority="3" operator="notBetween">
      <formula>-0.001</formula>
      <formula>0.001</formula>
    </cfRule>
  </conditionalFormatting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BD8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31.38"/>
    <col customWidth="1" min="3" max="3" width="16.88"/>
    <col customWidth="1" hidden="1" min="4" max="4" width="16.88"/>
    <col customWidth="1" min="5" max="8" width="11.38"/>
    <col customWidth="1" min="9" max="9" width="10.38"/>
    <col customWidth="1" min="10" max="12" width="11.38"/>
    <col customWidth="1" min="13" max="18" width="10.13"/>
    <col customWidth="1" min="19" max="19" width="6.38"/>
    <col customWidth="1" min="20" max="20" width="1.88"/>
    <col customWidth="1" min="21" max="21" width="11.38"/>
    <col customWidth="1" min="22" max="26" width="12.38"/>
  </cols>
  <sheetData>
    <row r="1" ht="9.0" customHeight="1">
      <c r="A1" s="1009"/>
      <c r="B1" s="1010"/>
      <c r="C1" s="1011"/>
      <c r="D1" s="1011"/>
      <c r="E1" s="1009"/>
      <c r="F1" s="1009"/>
      <c r="G1" s="1009"/>
      <c r="H1" s="1009"/>
      <c r="I1" s="1009"/>
      <c r="J1" s="1009"/>
      <c r="K1" s="1009"/>
      <c r="L1" s="1009"/>
      <c r="M1" s="1009"/>
      <c r="N1" s="1009"/>
      <c r="O1" s="1009"/>
      <c r="P1" s="1009"/>
      <c r="Q1" s="1009"/>
      <c r="R1" s="1009"/>
      <c r="S1" s="1009"/>
      <c r="T1" s="1009"/>
      <c r="U1" s="1009"/>
      <c r="V1" s="1012"/>
      <c r="W1" s="1012"/>
      <c r="X1" s="1012"/>
      <c r="Y1" s="1012"/>
      <c r="Z1" s="1012"/>
    </row>
    <row r="2" ht="24.75" customHeight="1">
      <c r="A2" s="1013"/>
      <c r="B2" s="36" t="s">
        <v>678</v>
      </c>
      <c r="C2" s="1014"/>
      <c r="D2" s="1014"/>
      <c r="E2" s="1014"/>
      <c r="F2" s="1014"/>
      <c r="G2" s="1014"/>
      <c r="H2" s="1014"/>
      <c r="I2" s="166"/>
      <c r="J2" s="166"/>
      <c r="K2" s="166"/>
      <c r="L2" s="166"/>
      <c r="M2" s="166"/>
      <c r="N2" s="166"/>
      <c r="O2" s="166"/>
      <c r="P2" s="1013"/>
      <c r="Q2" s="1013"/>
      <c r="R2" s="1013"/>
      <c r="S2" s="1013"/>
      <c r="T2" s="1013"/>
      <c r="U2" s="1013"/>
      <c r="V2" s="1013"/>
      <c r="W2" s="1013"/>
      <c r="X2" s="1013"/>
      <c r="Y2" s="1013"/>
      <c r="Z2" s="1013"/>
    </row>
    <row r="3" ht="15.75" customHeight="1">
      <c r="A3" s="308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897"/>
      <c r="W3" s="897"/>
      <c r="X3" s="897"/>
      <c r="Y3" s="897"/>
      <c r="Z3" s="897"/>
    </row>
    <row r="4" ht="15.75" customHeight="1">
      <c r="A4" s="308"/>
      <c r="B4" s="1015" t="s">
        <v>679</v>
      </c>
      <c r="C4" s="1015"/>
      <c r="D4" s="308"/>
      <c r="E4" s="308"/>
      <c r="F4" s="1016"/>
      <c r="G4" s="1017"/>
      <c r="H4" s="1017"/>
      <c r="I4" s="1017"/>
      <c r="J4" s="1017"/>
      <c r="K4" s="1017"/>
      <c r="L4" s="1017"/>
      <c r="M4" s="308"/>
      <c r="N4" s="308"/>
      <c r="O4" s="308"/>
      <c r="P4" s="308"/>
      <c r="Q4" s="308"/>
      <c r="R4" s="308"/>
      <c r="S4" s="308"/>
      <c r="T4" s="308"/>
      <c r="U4" s="308"/>
      <c r="V4" s="897"/>
      <c r="W4" s="897"/>
      <c r="X4" s="897"/>
      <c r="Y4" s="897"/>
      <c r="Z4" s="897"/>
    </row>
    <row r="5" ht="15.75" customHeight="1">
      <c r="A5" s="308"/>
      <c r="B5" s="1018" t="s">
        <v>680</v>
      </c>
      <c r="C5" s="1019">
        <v>122000.0</v>
      </c>
      <c r="D5" s="1020"/>
      <c r="E5" s="308"/>
      <c r="F5" s="1021" t="s">
        <v>681</v>
      </c>
      <c r="G5" s="459"/>
      <c r="H5" s="459"/>
      <c r="I5" s="459"/>
      <c r="J5" s="459"/>
      <c r="K5" s="1022"/>
      <c r="L5" s="1022"/>
      <c r="M5" s="308"/>
      <c r="N5" s="308"/>
      <c r="O5" s="308"/>
      <c r="P5" s="308"/>
      <c r="Q5" s="308"/>
      <c r="R5" s="308"/>
      <c r="S5" s="308"/>
      <c r="T5" s="308"/>
      <c r="U5" s="308"/>
      <c r="V5" s="897"/>
      <c r="W5" s="897"/>
      <c r="X5" s="897"/>
      <c r="Y5" s="897"/>
      <c r="Z5" s="897"/>
    </row>
    <row r="6" ht="15.75" customHeight="1">
      <c r="A6" s="308"/>
      <c r="B6" s="1018" t="s">
        <v>682</v>
      </c>
      <c r="C6" s="1023">
        <v>45792.0</v>
      </c>
      <c r="D6" s="1024"/>
      <c r="E6" s="308"/>
      <c r="F6" s="459" t="s">
        <v>683</v>
      </c>
      <c r="G6" s="459"/>
      <c r="H6" s="459"/>
      <c r="I6" s="459"/>
      <c r="J6" s="459"/>
      <c r="K6" s="459"/>
      <c r="L6" s="459"/>
      <c r="M6" s="308"/>
      <c r="N6" s="308"/>
      <c r="O6" s="308"/>
      <c r="P6" s="308"/>
      <c r="Q6" s="308"/>
      <c r="R6" s="308"/>
      <c r="S6" s="308"/>
      <c r="T6" s="308"/>
      <c r="U6" s="308"/>
      <c r="V6" s="897"/>
      <c r="W6" s="897"/>
      <c r="X6" s="897"/>
      <c r="Y6" s="897"/>
      <c r="Z6" s="897"/>
    </row>
    <row r="7" ht="15.75" customHeight="1">
      <c r="A7" s="308"/>
      <c r="B7" s="1018" t="s">
        <v>684</v>
      </c>
      <c r="C7" s="1025">
        <v>7.0</v>
      </c>
      <c r="D7" s="1026"/>
      <c r="E7" s="308"/>
      <c r="F7" s="459" t="s">
        <v>685</v>
      </c>
      <c r="G7" s="459"/>
      <c r="H7" s="459"/>
      <c r="I7" s="459"/>
      <c r="J7" s="459"/>
      <c r="K7" s="1022"/>
      <c r="L7" s="1022"/>
      <c r="M7" s="308"/>
      <c r="N7" s="308"/>
      <c r="O7" s="308"/>
      <c r="P7" s="308"/>
      <c r="Q7" s="308"/>
      <c r="R7" s="308"/>
      <c r="S7" s="308"/>
      <c r="T7" s="308"/>
      <c r="U7" s="308"/>
      <c r="V7" s="897"/>
      <c r="W7" s="897"/>
      <c r="X7" s="897"/>
      <c r="Y7" s="897"/>
      <c r="Z7" s="897"/>
    </row>
    <row r="8" ht="15.75" customHeight="1">
      <c r="A8" s="308"/>
      <c r="B8" s="1018" t="s">
        <v>686</v>
      </c>
      <c r="C8" s="1027">
        <v>0.0395</v>
      </c>
      <c r="D8" s="1028"/>
      <c r="E8" s="308"/>
      <c r="F8" s="459"/>
      <c r="G8" s="459"/>
      <c r="H8" s="459"/>
      <c r="I8" s="459"/>
      <c r="J8" s="1029"/>
      <c r="K8" s="1022"/>
      <c r="L8" s="1022"/>
      <c r="M8" s="308"/>
      <c r="N8" s="308"/>
      <c r="O8" s="308"/>
      <c r="P8" s="308"/>
      <c r="Q8" s="308"/>
      <c r="R8" s="308"/>
      <c r="S8" s="308"/>
      <c r="T8" s="308"/>
      <c r="U8" s="308"/>
      <c r="V8" s="897"/>
      <c r="W8" s="897"/>
      <c r="X8" s="897"/>
      <c r="Y8" s="897"/>
      <c r="Z8" s="897"/>
    </row>
    <row r="9" ht="15.75" customHeight="1">
      <c r="A9" s="308"/>
      <c r="B9" s="1018" t="s">
        <v>687</v>
      </c>
      <c r="C9" s="1030">
        <v>40.0</v>
      </c>
      <c r="D9" s="1031"/>
      <c r="E9" s="308"/>
      <c r="F9" s="1022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897"/>
      <c r="W9" s="897"/>
      <c r="X9" s="897"/>
      <c r="Y9" s="897"/>
      <c r="Z9" s="897"/>
    </row>
    <row r="10" ht="15.75" customHeight="1">
      <c r="A10" s="308"/>
      <c r="B10" s="1018" t="s">
        <v>688</v>
      </c>
      <c r="C10" s="1032"/>
      <c r="D10" s="1026"/>
      <c r="E10" s="308"/>
      <c r="F10" s="1022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897"/>
      <c r="W10" s="897"/>
      <c r="X10" s="897"/>
      <c r="Y10" s="897"/>
      <c r="Z10" s="897"/>
    </row>
    <row r="11" ht="15.75" customHeight="1">
      <c r="A11" s="308"/>
      <c r="B11" s="1018" t="s">
        <v>689</v>
      </c>
      <c r="C11" s="1033">
        <v>83.0</v>
      </c>
      <c r="D11" s="1034"/>
      <c r="E11" s="308"/>
      <c r="F11" s="459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897"/>
      <c r="W11" s="897"/>
      <c r="X11" s="897"/>
      <c r="Y11" s="897"/>
      <c r="Z11" s="897"/>
    </row>
    <row r="12" ht="15.75" customHeight="1">
      <c r="A12" s="308"/>
      <c r="B12" s="1018" t="s">
        <v>690</v>
      </c>
      <c r="C12" s="1035">
        <f>PMT(C8/12,C11,-C5)+C9</f>
        <v>1722.205716</v>
      </c>
      <c r="D12" s="1035"/>
      <c r="E12" s="308"/>
      <c r="F12" s="459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897"/>
      <c r="W12" s="897"/>
      <c r="X12" s="897"/>
      <c r="Y12" s="897"/>
      <c r="Z12" s="897"/>
    </row>
    <row r="13" ht="15.75" customHeight="1">
      <c r="A13" s="308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897"/>
      <c r="W13" s="897"/>
      <c r="X13" s="897"/>
      <c r="Y13" s="897"/>
      <c r="Z13" s="897"/>
    </row>
    <row r="14" ht="15.75" customHeight="1">
      <c r="A14" s="308"/>
      <c r="B14" s="800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897"/>
      <c r="W14" s="897"/>
      <c r="X14" s="897"/>
      <c r="Y14" s="897"/>
      <c r="Z14" s="897"/>
    </row>
    <row r="15" ht="24.75" customHeight="1">
      <c r="A15" s="308"/>
      <c r="B15" s="181" t="s">
        <v>691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308"/>
      <c r="Q15" s="308"/>
      <c r="R15" s="308"/>
      <c r="S15" s="308"/>
      <c r="T15" s="308"/>
      <c r="U15" s="308"/>
      <c r="V15" s="897"/>
      <c r="W15" s="897"/>
      <c r="X15" s="897"/>
      <c r="Y15" s="897"/>
      <c r="Z15" s="897"/>
    </row>
    <row r="16" ht="24.75" customHeight="1">
      <c r="A16" s="308"/>
      <c r="B16" s="1036"/>
      <c r="C16" s="1037" t="s">
        <v>692</v>
      </c>
      <c r="D16" s="1038"/>
      <c r="E16" s="1038">
        <f>YEAR(C6)</f>
        <v>2025</v>
      </c>
      <c r="F16" s="1038">
        <f t="shared" ref="F16:O16" si="1">E16+1</f>
        <v>2026</v>
      </c>
      <c r="G16" s="1038">
        <f t="shared" si="1"/>
        <v>2027</v>
      </c>
      <c r="H16" s="1038">
        <f t="shared" si="1"/>
        <v>2028</v>
      </c>
      <c r="I16" s="1038">
        <f t="shared" si="1"/>
        <v>2029</v>
      </c>
      <c r="J16" s="1038">
        <f t="shared" si="1"/>
        <v>2030</v>
      </c>
      <c r="K16" s="1038">
        <f t="shared" si="1"/>
        <v>2031</v>
      </c>
      <c r="L16" s="1038">
        <f t="shared" si="1"/>
        <v>2032</v>
      </c>
      <c r="M16" s="1038">
        <f t="shared" si="1"/>
        <v>2033</v>
      </c>
      <c r="N16" s="1038">
        <f t="shared" si="1"/>
        <v>2034</v>
      </c>
      <c r="O16" s="1038">
        <f t="shared" si="1"/>
        <v>2035</v>
      </c>
      <c r="P16" s="308"/>
      <c r="Q16" s="308"/>
      <c r="R16" s="308"/>
      <c r="S16" s="897"/>
      <c r="T16" s="897"/>
      <c r="U16" s="897"/>
      <c r="V16" s="897"/>
      <c r="W16" s="897"/>
      <c r="X16" s="897"/>
      <c r="Y16" s="897"/>
      <c r="Z16" s="897"/>
    </row>
    <row r="17" ht="15.75" customHeight="1">
      <c r="A17" s="308"/>
      <c r="B17" s="1039" t="s">
        <v>693</v>
      </c>
      <c r="C17" s="1040">
        <f t="shared" ref="C17:C19" si="3">SUM(E17:O17)</f>
        <v>20434.15776</v>
      </c>
      <c r="D17" s="1041"/>
      <c r="E17" s="1042">
        <f t="shared" ref="E17:O17" si="2">SUMIF($E$25:$E$539,E16,$H$25:$H$539)</f>
        <v>2811.083333</v>
      </c>
      <c r="F17" s="1042">
        <f t="shared" si="2"/>
        <v>4537.70942</v>
      </c>
      <c r="G17" s="1042">
        <f t="shared" si="2"/>
        <v>3908.269076</v>
      </c>
      <c r="H17" s="1042">
        <f t="shared" si="2"/>
        <v>3253.510742</v>
      </c>
      <c r="I17" s="1042">
        <f t="shared" si="2"/>
        <v>2572.416049</v>
      </c>
      <c r="J17" s="1042">
        <f t="shared" si="2"/>
        <v>1863.925672</v>
      </c>
      <c r="K17" s="1042">
        <f t="shared" si="2"/>
        <v>1126.937673</v>
      </c>
      <c r="L17" s="1042">
        <f t="shared" si="2"/>
        <v>360.3057912</v>
      </c>
      <c r="M17" s="1042">
        <f t="shared" si="2"/>
        <v>0</v>
      </c>
      <c r="N17" s="1042">
        <f t="shared" si="2"/>
        <v>0</v>
      </c>
      <c r="O17" s="1042">
        <f t="shared" si="2"/>
        <v>0</v>
      </c>
      <c r="P17" s="308"/>
      <c r="Q17" s="308"/>
      <c r="R17" s="308"/>
      <c r="S17" s="897"/>
      <c r="T17" s="897"/>
      <c r="U17" s="897"/>
      <c r="V17" s="897"/>
      <c r="W17" s="897"/>
      <c r="X17" s="897"/>
      <c r="Y17" s="897"/>
      <c r="Z17" s="897"/>
    </row>
    <row r="18" ht="15.75" customHeight="1">
      <c r="A18" s="308"/>
      <c r="B18" s="1039" t="s">
        <v>694</v>
      </c>
      <c r="C18" s="1040">
        <f t="shared" si="3"/>
        <v>3600</v>
      </c>
      <c r="D18" s="1041"/>
      <c r="E18" s="1042">
        <f t="shared" ref="E18:O18" si="4">SUMIF($E$25:$E$539,E16,$I$25:$I$539)</f>
        <v>280</v>
      </c>
      <c r="F18" s="1042">
        <f t="shared" si="4"/>
        <v>480</v>
      </c>
      <c r="G18" s="1042">
        <f t="shared" si="4"/>
        <v>480</v>
      </c>
      <c r="H18" s="1042">
        <f t="shared" si="4"/>
        <v>480</v>
      </c>
      <c r="I18" s="1042">
        <f t="shared" si="4"/>
        <v>480</v>
      </c>
      <c r="J18" s="1042">
        <f t="shared" si="4"/>
        <v>480</v>
      </c>
      <c r="K18" s="1042">
        <f t="shared" si="4"/>
        <v>480</v>
      </c>
      <c r="L18" s="1042">
        <f t="shared" si="4"/>
        <v>440</v>
      </c>
      <c r="M18" s="1042">
        <f t="shared" si="4"/>
        <v>0</v>
      </c>
      <c r="N18" s="1042">
        <f t="shared" si="4"/>
        <v>0</v>
      </c>
      <c r="O18" s="1042">
        <f t="shared" si="4"/>
        <v>0</v>
      </c>
      <c r="P18" s="308"/>
      <c r="Q18" s="308"/>
      <c r="R18" s="308"/>
      <c r="S18" s="897"/>
      <c r="T18" s="897"/>
      <c r="U18" s="897"/>
      <c r="V18" s="897"/>
      <c r="W18" s="897"/>
      <c r="X18" s="897"/>
      <c r="Y18" s="897"/>
      <c r="Z18" s="897"/>
    </row>
    <row r="19" ht="15.75" customHeight="1">
      <c r="A19" s="308"/>
      <c r="B19" s="1039" t="s">
        <v>695</v>
      </c>
      <c r="C19" s="1040">
        <f t="shared" si="3"/>
        <v>122000</v>
      </c>
      <c r="D19" s="1041"/>
      <c r="E19" s="1042">
        <f t="shared" ref="E19:O19" si="5">SUMIF($E$25:$E$539,E16,$G$25:$G$539)</f>
        <v>0</v>
      </c>
      <c r="F19" s="1042">
        <f t="shared" si="5"/>
        <v>15648.75917</v>
      </c>
      <c r="G19" s="1042">
        <f t="shared" si="5"/>
        <v>16278.19952</v>
      </c>
      <c r="H19" s="1042">
        <f t="shared" si="5"/>
        <v>16932.95785</v>
      </c>
      <c r="I19" s="1042">
        <f t="shared" si="5"/>
        <v>17614.05254</v>
      </c>
      <c r="J19" s="1042">
        <f t="shared" si="5"/>
        <v>18322.54292</v>
      </c>
      <c r="K19" s="1042">
        <f t="shared" si="5"/>
        <v>19059.53092</v>
      </c>
      <c r="L19" s="1042">
        <f t="shared" si="5"/>
        <v>18143.95708</v>
      </c>
      <c r="M19" s="1042">
        <f t="shared" si="5"/>
        <v>0</v>
      </c>
      <c r="N19" s="1042">
        <f t="shared" si="5"/>
        <v>0</v>
      </c>
      <c r="O19" s="1042">
        <f t="shared" si="5"/>
        <v>0</v>
      </c>
      <c r="P19" s="308"/>
      <c r="Q19" s="308"/>
      <c r="R19" s="308"/>
      <c r="S19" s="897"/>
      <c r="T19" s="897"/>
      <c r="U19" s="897"/>
      <c r="V19" s="897"/>
      <c r="W19" s="897"/>
      <c r="X19" s="897"/>
      <c r="Y19" s="897"/>
      <c r="Z19" s="897"/>
    </row>
    <row r="20" ht="15.75" customHeight="1">
      <c r="A20" s="308"/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897"/>
      <c r="T20" s="897"/>
      <c r="U20" s="897"/>
      <c r="V20" s="897"/>
      <c r="W20" s="897"/>
      <c r="X20" s="897"/>
      <c r="Y20" s="897"/>
      <c r="Z20" s="897"/>
    </row>
    <row r="21" ht="15.75" customHeight="1">
      <c r="A21" s="308"/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897"/>
      <c r="W21" s="897"/>
      <c r="X21" s="897"/>
      <c r="Y21" s="897"/>
      <c r="Z21" s="897"/>
    </row>
    <row r="22" ht="15.75" customHeight="1">
      <c r="A22" s="308"/>
      <c r="B22" s="308"/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897"/>
      <c r="W22" s="897"/>
      <c r="X22" s="897"/>
      <c r="Y22" s="897"/>
      <c r="Z22" s="897"/>
    </row>
    <row r="23" ht="24.75" customHeight="1">
      <c r="A23" s="308"/>
      <c r="B23" s="181" t="s">
        <v>696</v>
      </c>
      <c r="C23" s="181"/>
      <c r="D23" s="181"/>
      <c r="E23" s="181"/>
      <c r="F23" s="181"/>
      <c r="G23" s="181"/>
      <c r="H23" s="181"/>
      <c r="I23" s="181"/>
      <c r="J23" s="181"/>
      <c r="K23" s="1043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897"/>
      <c r="W23" s="897"/>
      <c r="X23" s="897"/>
      <c r="Y23" s="897"/>
      <c r="Z23" s="897"/>
    </row>
    <row r="24" ht="54.75" customHeight="1">
      <c r="A24" s="308"/>
      <c r="B24" s="1044" t="s">
        <v>697</v>
      </c>
      <c r="C24" s="1045" t="s">
        <v>698</v>
      </c>
      <c r="D24" s="1045" t="s">
        <v>159</v>
      </c>
      <c r="E24" s="1046" t="s">
        <v>699</v>
      </c>
      <c r="F24" s="1046" t="s">
        <v>700</v>
      </c>
      <c r="G24" s="1046" t="s">
        <v>701</v>
      </c>
      <c r="H24" s="1046" t="s">
        <v>702</v>
      </c>
      <c r="I24" s="1046" t="s">
        <v>703</v>
      </c>
      <c r="J24" s="1047" t="s">
        <v>704</v>
      </c>
      <c r="K24" s="1043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897"/>
      <c r="W24" s="897"/>
      <c r="X24" s="897"/>
      <c r="Y24" s="897"/>
      <c r="Z24" s="897"/>
    </row>
    <row r="25" ht="15.75" customHeight="1">
      <c r="A25" s="308"/>
      <c r="B25" s="1026">
        <v>1.0</v>
      </c>
      <c r="C25" s="1048">
        <f>EDATE(C6,1)</f>
        <v>45823</v>
      </c>
      <c r="D25" s="1049">
        <f t="shared" ref="D25:D374" si="6">MONTH(C25)</f>
        <v>6</v>
      </c>
      <c r="E25" s="1050">
        <f t="shared" ref="E25:E374" si="7">YEAR(C25)</f>
        <v>2025</v>
      </c>
      <c r="F25" s="1050">
        <f>C5</f>
        <v>122000</v>
      </c>
      <c r="G25" s="1050">
        <f t="shared" ref="G25:G374" si="8">J25-H25-I25</f>
        <v>0</v>
      </c>
      <c r="H25" s="1050">
        <f t="shared" ref="H25:H374" si="9">F25*($C$8/12)</f>
        <v>401.5833333</v>
      </c>
      <c r="I25" s="1050">
        <f t="shared" ref="I25:I374" si="10">IF(F25&lt;1,0,$C$9)</f>
        <v>40</v>
      </c>
      <c r="J25" s="1051">
        <f t="shared" ref="J25:J374" si="11">IF(F25&lt;1,0,IF(B25&lt;=$C$7,(H25+I25),$C$12))</f>
        <v>441.5833333</v>
      </c>
      <c r="K25" s="1043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897"/>
      <c r="W25" s="897"/>
      <c r="X25" s="897"/>
      <c r="Y25" s="897"/>
      <c r="Z25" s="897"/>
    </row>
    <row r="26" ht="15.75" customHeight="1">
      <c r="A26" s="308"/>
      <c r="B26" s="1026">
        <v>2.0</v>
      </c>
      <c r="C26" s="1048">
        <f t="shared" ref="C26:C374" si="12">EDATE(C25,1)</f>
        <v>45853</v>
      </c>
      <c r="D26" s="1049">
        <f t="shared" si="6"/>
        <v>7</v>
      </c>
      <c r="E26" s="1050">
        <f t="shared" si="7"/>
        <v>2025</v>
      </c>
      <c r="F26" s="1050">
        <f t="shared" ref="F26:F374" si="13">IF(F25-G25&lt;=0,0,F25-G25)</f>
        <v>122000</v>
      </c>
      <c r="G26" s="1050">
        <f t="shared" si="8"/>
        <v>0</v>
      </c>
      <c r="H26" s="1050">
        <f t="shared" si="9"/>
        <v>401.5833333</v>
      </c>
      <c r="I26" s="1050">
        <f t="shared" si="10"/>
        <v>40</v>
      </c>
      <c r="J26" s="1051">
        <f t="shared" si="11"/>
        <v>441.5833333</v>
      </c>
      <c r="K26" s="1043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897"/>
      <c r="W26" s="897"/>
      <c r="X26" s="897"/>
      <c r="Y26" s="897"/>
      <c r="Z26" s="897"/>
    </row>
    <row r="27" ht="15.75" customHeight="1">
      <c r="A27" s="308"/>
      <c r="B27" s="1026">
        <v>3.0</v>
      </c>
      <c r="C27" s="1048">
        <f t="shared" si="12"/>
        <v>45884</v>
      </c>
      <c r="D27" s="1049">
        <f t="shared" si="6"/>
        <v>8</v>
      </c>
      <c r="E27" s="1050">
        <f t="shared" si="7"/>
        <v>2025</v>
      </c>
      <c r="F27" s="1050">
        <f t="shared" si="13"/>
        <v>122000</v>
      </c>
      <c r="G27" s="1050">
        <f t="shared" si="8"/>
        <v>0</v>
      </c>
      <c r="H27" s="1050">
        <f t="shared" si="9"/>
        <v>401.5833333</v>
      </c>
      <c r="I27" s="1050">
        <f t="shared" si="10"/>
        <v>40</v>
      </c>
      <c r="J27" s="1051">
        <f t="shared" si="11"/>
        <v>441.5833333</v>
      </c>
      <c r="K27" s="1043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897"/>
      <c r="W27" s="897"/>
      <c r="X27" s="897"/>
      <c r="Y27" s="897"/>
      <c r="Z27" s="897"/>
    </row>
    <row r="28" ht="15.75" customHeight="1">
      <c r="A28" s="308"/>
      <c r="B28" s="1026">
        <v>4.0</v>
      </c>
      <c r="C28" s="1048">
        <f t="shared" si="12"/>
        <v>45915</v>
      </c>
      <c r="D28" s="1049">
        <f t="shared" si="6"/>
        <v>9</v>
      </c>
      <c r="E28" s="1050">
        <f t="shared" si="7"/>
        <v>2025</v>
      </c>
      <c r="F28" s="1050">
        <f t="shared" si="13"/>
        <v>122000</v>
      </c>
      <c r="G28" s="1050">
        <f t="shared" si="8"/>
        <v>0</v>
      </c>
      <c r="H28" s="1050">
        <f t="shared" si="9"/>
        <v>401.5833333</v>
      </c>
      <c r="I28" s="1050">
        <f t="shared" si="10"/>
        <v>40</v>
      </c>
      <c r="J28" s="1051">
        <f t="shared" si="11"/>
        <v>441.5833333</v>
      </c>
      <c r="K28" s="1043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897"/>
      <c r="W28" s="897"/>
      <c r="X28" s="897"/>
      <c r="Y28" s="897"/>
      <c r="Z28" s="897"/>
    </row>
    <row r="29" ht="15.75" customHeight="1">
      <c r="A29" s="308"/>
      <c r="B29" s="1026">
        <v>5.0</v>
      </c>
      <c r="C29" s="1048">
        <f t="shared" si="12"/>
        <v>45945</v>
      </c>
      <c r="D29" s="1049">
        <f t="shared" si="6"/>
        <v>10</v>
      </c>
      <c r="E29" s="1050">
        <f t="shared" si="7"/>
        <v>2025</v>
      </c>
      <c r="F29" s="1050">
        <f t="shared" si="13"/>
        <v>122000</v>
      </c>
      <c r="G29" s="1050">
        <f t="shared" si="8"/>
        <v>0</v>
      </c>
      <c r="H29" s="1050">
        <f t="shared" si="9"/>
        <v>401.5833333</v>
      </c>
      <c r="I29" s="1050">
        <f t="shared" si="10"/>
        <v>40</v>
      </c>
      <c r="J29" s="1051">
        <f t="shared" si="11"/>
        <v>441.5833333</v>
      </c>
      <c r="K29" s="1043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897"/>
      <c r="W29" s="897"/>
      <c r="X29" s="897"/>
      <c r="Y29" s="897"/>
      <c r="Z29" s="897"/>
    </row>
    <row r="30" ht="15.75" customHeight="1">
      <c r="A30" s="308"/>
      <c r="B30" s="1026">
        <v>6.0</v>
      </c>
      <c r="C30" s="1048">
        <f t="shared" si="12"/>
        <v>45976</v>
      </c>
      <c r="D30" s="1049">
        <f t="shared" si="6"/>
        <v>11</v>
      </c>
      <c r="E30" s="1050">
        <f t="shared" si="7"/>
        <v>2025</v>
      </c>
      <c r="F30" s="1050">
        <f t="shared" si="13"/>
        <v>122000</v>
      </c>
      <c r="G30" s="1050">
        <f t="shared" si="8"/>
        <v>0</v>
      </c>
      <c r="H30" s="1050">
        <f t="shared" si="9"/>
        <v>401.5833333</v>
      </c>
      <c r="I30" s="1050">
        <f t="shared" si="10"/>
        <v>40</v>
      </c>
      <c r="J30" s="1051">
        <f t="shared" si="11"/>
        <v>441.5833333</v>
      </c>
      <c r="K30" s="1043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897"/>
      <c r="W30" s="897"/>
      <c r="X30" s="897"/>
      <c r="Y30" s="897"/>
      <c r="Z30" s="897"/>
    </row>
    <row r="31" ht="15.75" customHeight="1">
      <c r="A31" s="308"/>
      <c r="B31" s="1026">
        <v>7.0</v>
      </c>
      <c r="C31" s="1048">
        <f t="shared" si="12"/>
        <v>46006</v>
      </c>
      <c r="D31" s="1049">
        <f t="shared" si="6"/>
        <v>12</v>
      </c>
      <c r="E31" s="1050">
        <f t="shared" si="7"/>
        <v>2025</v>
      </c>
      <c r="F31" s="1050">
        <f t="shared" si="13"/>
        <v>122000</v>
      </c>
      <c r="G31" s="1050">
        <f t="shared" si="8"/>
        <v>0</v>
      </c>
      <c r="H31" s="1050">
        <f t="shared" si="9"/>
        <v>401.5833333</v>
      </c>
      <c r="I31" s="1050">
        <f t="shared" si="10"/>
        <v>40</v>
      </c>
      <c r="J31" s="1051">
        <f t="shared" si="11"/>
        <v>441.5833333</v>
      </c>
      <c r="K31" s="1043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897"/>
      <c r="W31" s="897"/>
      <c r="X31" s="897"/>
      <c r="Y31" s="897"/>
      <c r="Z31" s="897"/>
    </row>
    <row r="32" ht="15.75" customHeight="1">
      <c r="A32" s="308"/>
      <c r="B32" s="1026">
        <v>8.0</v>
      </c>
      <c r="C32" s="1048">
        <f t="shared" si="12"/>
        <v>46037</v>
      </c>
      <c r="D32" s="1049">
        <f t="shared" si="6"/>
        <v>1</v>
      </c>
      <c r="E32" s="1050">
        <f t="shared" si="7"/>
        <v>2026</v>
      </c>
      <c r="F32" s="1050">
        <f t="shared" si="13"/>
        <v>122000</v>
      </c>
      <c r="G32" s="1050">
        <f t="shared" si="8"/>
        <v>1280.622383</v>
      </c>
      <c r="H32" s="1050">
        <f t="shared" si="9"/>
        <v>401.5833333</v>
      </c>
      <c r="I32" s="1050">
        <f t="shared" si="10"/>
        <v>40</v>
      </c>
      <c r="J32" s="1051">
        <f t="shared" si="11"/>
        <v>1722.205716</v>
      </c>
      <c r="K32" s="1043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897"/>
      <c r="W32" s="897"/>
      <c r="X32" s="897"/>
      <c r="Y32" s="897"/>
      <c r="Z32" s="897"/>
    </row>
    <row r="33" ht="15.75" customHeight="1">
      <c r="A33" s="308"/>
      <c r="B33" s="1026">
        <v>9.0</v>
      </c>
      <c r="C33" s="1048">
        <f t="shared" si="12"/>
        <v>46068</v>
      </c>
      <c r="D33" s="1049">
        <f t="shared" si="6"/>
        <v>2</v>
      </c>
      <c r="E33" s="1050">
        <f t="shared" si="7"/>
        <v>2026</v>
      </c>
      <c r="F33" s="1050">
        <f t="shared" si="13"/>
        <v>120719.3776</v>
      </c>
      <c r="G33" s="1050">
        <f t="shared" si="8"/>
        <v>1284.837765</v>
      </c>
      <c r="H33" s="1050">
        <f t="shared" si="9"/>
        <v>397.3679513</v>
      </c>
      <c r="I33" s="1050">
        <f t="shared" si="10"/>
        <v>40</v>
      </c>
      <c r="J33" s="1051">
        <f t="shared" si="11"/>
        <v>1722.205716</v>
      </c>
      <c r="K33" s="1043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897"/>
      <c r="W33" s="897"/>
      <c r="X33" s="897"/>
      <c r="Y33" s="897"/>
      <c r="Z33" s="897"/>
    </row>
    <row r="34" ht="15.75" customHeight="1">
      <c r="A34" s="308"/>
      <c r="B34" s="1026">
        <v>10.0</v>
      </c>
      <c r="C34" s="1048">
        <f t="shared" si="12"/>
        <v>46096</v>
      </c>
      <c r="D34" s="1049">
        <f t="shared" si="6"/>
        <v>3</v>
      </c>
      <c r="E34" s="1050">
        <f t="shared" si="7"/>
        <v>2026</v>
      </c>
      <c r="F34" s="1050">
        <f t="shared" si="13"/>
        <v>119434.5399</v>
      </c>
      <c r="G34" s="1050">
        <f t="shared" si="8"/>
        <v>1289.067022</v>
      </c>
      <c r="H34" s="1050">
        <f t="shared" si="9"/>
        <v>393.1386937</v>
      </c>
      <c r="I34" s="1050">
        <f t="shared" si="10"/>
        <v>40</v>
      </c>
      <c r="J34" s="1051">
        <f t="shared" si="11"/>
        <v>1722.205716</v>
      </c>
      <c r="K34" s="1043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897"/>
      <c r="W34" s="897"/>
      <c r="X34" s="897"/>
      <c r="Y34" s="897"/>
      <c r="Z34" s="897"/>
    </row>
    <row r="35" ht="15.75" customHeight="1">
      <c r="A35" s="308"/>
      <c r="B35" s="1026">
        <v>11.0</v>
      </c>
      <c r="C35" s="1048">
        <f t="shared" si="12"/>
        <v>46127</v>
      </c>
      <c r="D35" s="1049">
        <f t="shared" si="6"/>
        <v>4</v>
      </c>
      <c r="E35" s="1050">
        <f t="shared" si="7"/>
        <v>2026</v>
      </c>
      <c r="F35" s="1050">
        <f t="shared" si="13"/>
        <v>118145.4728</v>
      </c>
      <c r="G35" s="1050">
        <f t="shared" si="8"/>
        <v>1293.310201</v>
      </c>
      <c r="H35" s="1050">
        <f t="shared" si="9"/>
        <v>388.8955147</v>
      </c>
      <c r="I35" s="1050">
        <f t="shared" si="10"/>
        <v>40</v>
      </c>
      <c r="J35" s="1051">
        <f t="shared" si="11"/>
        <v>1722.205716</v>
      </c>
      <c r="K35" s="1043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897"/>
      <c r="W35" s="897"/>
      <c r="X35" s="897"/>
      <c r="Y35" s="897"/>
      <c r="Z35" s="897"/>
    </row>
    <row r="36" ht="15.75" customHeight="1">
      <c r="A36" s="308"/>
      <c r="B36" s="1026">
        <v>12.0</v>
      </c>
      <c r="C36" s="1048">
        <f t="shared" si="12"/>
        <v>46157</v>
      </c>
      <c r="D36" s="1049">
        <f t="shared" si="6"/>
        <v>5</v>
      </c>
      <c r="E36" s="1050">
        <f t="shared" si="7"/>
        <v>2026</v>
      </c>
      <c r="F36" s="1050">
        <f t="shared" si="13"/>
        <v>116852.1626</v>
      </c>
      <c r="G36" s="1050">
        <f t="shared" si="8"/>
        <v>1297.567347</v>
      </c>
      <c r="H36" s="1050">
        <f t="shared" si="9"/>
        <v>384.6383687</v>
      </c>
      <c r="I36" s="1050">
        <f t="shared" si="10"/>
        <v>40</v>
      </c>
      <c r="J36" s="1051">
        <f t="shared" si="11"/>
        <v>1722.205716</v>
      </c>
      <c r="K36" s="1043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897"/>
      <c r="W36" s="897"/>
      <c r="X36" s="897"/>
      <c r="Y36" s="897"/>
      <c r="Z36" s="897"/>
    </row>
    <row r="37" ht="15.75" customHeight="1">
      <c r="A37" s="308"/>
      <c r="B37" s="1026">
        <v>13.0</v>
      </c>
      <c r="C37" s="1048">
        <f t="shared" si="12"/>
        <v>46188</v>
      </c>
      <c r="D37" s="1049">
        <f t="shared" si="6"/>
        <v>6</v>
      </c>
      <c r="E37" s="1050">
        <f t="shared" si="7"/>
        <v>2026</v>
      </c>
      <c r="F37" s="1050">
        <f t="shared" si="13"/>
        <v>115554.5953</v>
      </c>
      <c r="G37" s="1050">
        <f t="shared" si="8"/>
        <v>1301.838506</v>
      </c>
      <c r="H37" s="1050">
        <f t="shared" si="9"/>
        <v>380.3672095</v>
      </c>
      <c r="I37" s="1050">
        <f t="shared" si="10"/>
        <v>40</v>
      </c>
      <c r="J37" s="1051">
        <f t="shared" si="11"/>
        <v>1722.205716</v>
      </c>
      <c r="K37" s="1043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897"/>
      <c r="W37" s="897"/>
      <c r="X37" s="897"/>
      <c r="Y37" s="897"/>
      <c r="Z37" s="897"/>
    </row>
    <row r="38" ht="15.75" customHeight="1">
      <c r="A38" s="308"/>
      <c r="B38" s="1026">
        <v>14.0</v>
      </c>
      <c r="C38" s="1048">
        <f t="shared" si="12"/>
        <v>46218</v>
      </c>
      <c r="D38" s="1049">
        <f t="shared" si="6"/>
        <v>7</v>
      </c>
      <c r="E38" s="1050">
        <f t="shared" si="7"/>
        <v>2026</v>
      </c>
      <c r="F38" s="1050">
        <f t="shared" si="13"/>
        <v>114252.7568</v>
      </c>
      <c r="G38" s="1050">
        <f t="shared" si="8"/>
        <v>1306.123725</v>
      </c>
      <c r="H38" s="1050">
        <f t="shared" si="9"/>
        <v>376.0819911</v>
      </c>
      <c r="I38" s="1050">
        <f t="shared" si="10"/>
        <v>40</v>
      </c>
      <c r="J38" s="1051">
        <f t="shared" si="11"/>
        <v>1722.205716</v>
      </c>
      <c r="K38" s="1043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897"/>
      <c r="W38" s="897"/>
      <c r="X38" s="897"/>
      <c r="Y38" s="897"/>
      <c r="Z38" s="897"/>
    </row>
    <row r="39" ht="15.75" customHeight="1">
      <c r="A39" s="308"/>
      <c r="B39" s="1026">
        <v>15.0</v>
      </c>
      <c r="C39" s="1048">
        <f t="shared" si="12"/>
        <v>46249</v>
      </c>
      <c r="D39" s="1049">
        <f t="shared" si="6"/>
        <v>8</v>
      </c>
      <c r="E39" s="1050">
        <f t="shared" si="7"/>
        <v>2026</v>
      </c>
      <c r="F39" s="1050">
        <f t="shared" si="13"/>
        <v>112946.6331</v>
      </c>
      <c r="G39" s="1050">
        <f t="shared" si="8"/>
        <v>1310.423049</v>
      </c>
      <c r="H39" s="1050">
        <f t="shared" si="9"/>
        <v>371.7826671</v>
      </c>
      <c r="I39" s="1050">
        <f t="shared" si="10"/>
        <v>40</v>
      </c>
      <c r="J39" s="1051">
        <f t="shared" si="11"/>
        <v>1722.205716</v>
      </c>
      <c r="K39" s="1043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897"/>
      <c r="W39" s="897"/>
      <c r="X39" s="897"/>
      <c r="Y39" s="897"/>
      <c r="Z39" s="897"/>
    </row>
    <row r="40" ht="15.75" customHeight="1">
      <c r="A40" s="308"/>
      <c r="B40" s="1026">
        <v>16.0</v>
      </c>
      <c r="C40" s="1048">
        <f t="shared" si="12"/>
        <v>46280</v>
      </c>
      <c r="D40" s="1049">
        <f t="shared" si="6"/>
        <v>9</v>
      </c>
      <c r="E40" s="1050">
        <f t="shared" si="7"/>
        <v>2026</v>
      </c>
      <c r="F40" s="1050">
        <f t="shared" si="13"/>
        <v>111636.21</v>
      </c>
      <c r="G40" s="1050">
        <f t="shared" si="8"/>
        <v>1314.736525</v>
      </c>
      <c r="H40" s="1050">
        <f t="shared" si="9"/>
        <v>367.4691913</v>
      </c>
      <c r="I40" s="1050">
        <f t="shared" si="10"/>
        <v>40</v>
      </c>
      <c r="J40" s="1051">
        <f t="shared" si="11"/>
        <v>1722.205716</v>
      </c>
      <c r="K40" s="1043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897"/>
      <c r="W40" s="897"/>
      <c r="X40" s="897"/>
      <c r="Y40" s="897"/>
      <c r="Z40" s="897"/>
    </row>
    <row r="41" ht="15.75" customHeight="1">
      <c r="A41" s="308"/>
      <c r="B41" s="1026">
        <v>17.0</v>
      </c>
      <c r="C41" s="1048">
        <f t="shared" si="12"/>
        <v>46310</v>
      </c>
      <c r="D41" s="1049">
        <f t="shared" si="6"/>
        <v>10</v>
      </c>
      <c r="E41" s="1050">
        <f t="shared" si="7"/>
        <v>2026</v>
      </c>
      <c r="F41" s="1050">
        <f t="shared" si="13"/>
        <v>110321.4735</v>
      </c>
      <c r="G41" s="1050">
        <f t="shared" si="8"/>
        <v>1319.064199</v>
      </c>
      <c r="H41" s="1050">
        <f t="shared" si="9"/>
        <v>363.1415169</v>
      </c>
      <c r="I41" s="1050">
        <f t="shared" si="10"/>
        <v>40</v>
      </c>
      <c r="J41" s="1051">
        <f t="shared" si="11"/>
        <v>1722.205716</v>
      </c>
      <c r="K41" s="1043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897"/>
      <c r="W41" s="897"/>
      <c r="X41" s="897"/>
      <c r="Y41" s="897"/>
      <c r="Z41" s="897"/>
    </row>
    <row r="42" ht="15.75" customHeight="1">
      <c r="A42" s="308"/>
      <c r="B42" s="1026">
        <v>18.0</v>
      </c>
      <c r="C42" s="1048">
        <f t="shared" si="12"/>
        <v>46341</v>
      </c>
      <c r="D42" s="1049">
        <f t="shared" si="6"/>
        <v>11</v>
      </c>
      <c r="E42" s="1050">
        <f t="shared" si="7"/>
        <v>2026</v>
      </c>
      <c r="F42" s="1050">
        <f t="shared" si="13"/>
        <v>109002.4093</v>
      </c>
      <c r="G42" s="1050">
        <f t="shared" si="8"/>
        <v>1323.406119</v>
      </c>
      <c r="H42" s="1050">
        <f t="shared" si="9"/>
        <v>358.7995972</v>
      </c>
      <c r="I42" s="1050">
        <f t="shared" si="10"/>
        <v>40</v>
      </c>
      <c r="J42" s="1051">
        <f t="shared" si="11"/>
        <v>1722.205716</v>
      </c>
      <c r="K42" s="1043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897"/>
      <c r="W42" s="897"/>
      <c r="X42" s="897"/>
      <c r="Y42" s="897"/>
      <c r="Z42" s="897"/>
    </row>
    <row r="43" ht="15.75" customHeight="1">
      <c r="A43" s="308"/>
      <c r="B43" s="1026">
        <v>19.0</v>
      </c>
      <c r="C43" s="1048">
        <f t="shared" si="12"/>
        <v>46371</v>
      </c>
      <c r="D43" s="1049">
        <f t="shared" si="6"/>
        <v>12</v>
      </c>
      <c r="E43" s="1050">
        <f t="shared" si="7"/>
        <v>2026</v>
      </c>
      <c r="F43" s="1050">
        <f t="shared" si="13"/>
        <v>107679.0032</v>
      </c>
      <c r="G43" s="1050">
        <f t="shared" si="8"/>
        <v>1327.762331</v>
      </c>
      <c r="H43" s="1050">
        <f t="shared" si="9"/>
        <v>354.4433854</v>
      </c>
      <c r="I43" s="1050">
        <f t="shared" si="10"/>
        <v>40</v>
      </c>
      <c r="J43" s="1051">
        <f t="shared" si="11"/>
        <v>1722.205716</v>
      </c>
      <c r="K43" s="1043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897"/>
      <c r="W43" s="897"/>
      <c r="X43" s="897"/>
      <c r="Y43" s="897"/>
      <c r="Z43" s="897"/>
    </row>
    <row r="44" ht="15.75" customHeight="1">
      <c r="A44" s="308"/>
      <c r="B44" s="1026">
        <v>20.0</v>
      </c>
      <c r="C44" s="1048">
        <f t="shared" si="12"/>
        <v>46402</v>
      </c>
      <c r="D44" s="1049">
        <f t="shared" si="6"/>
        <v>1</v>
      </c>
      <c r="E44" s="1050">
        <f t="shared" si="7"/>
        <v>2027</v>
      </c>
      <c r="F44" s="1050">
        <f t="shared" si="13"/>
        <v>106351.2408</v>
      </c>
      <c r="G44" s="1050">
        <f t="shared" si="8"/>
        <v>1332.132882</v>
      </c>
      <c r="H44" s="1050">
        <f t="shared" si="9"/>
        <v>350.0728344</v>
      </c>
      <c r="I44" s="1050">
        <f t="shared" si="10"/>
        <v>40</v>
      </c>
      <c r="J44" s="1051">
        <f t="shared" si="11"/>
        <v>1722.205716</v>
      </c>
      <c r="K44" s="1043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897"/>
      <c r="W44" s="897"/>
      <c r="X44" s="897"/>
      <c r="Y44" s="897"/>
      <c r="Z44" s="897"/>
    </row>
    <row r="45" ht="15.75" customHeight="1">
      <c r="A45" s="308"/>
      <c r="B45" s="1026">
        <v>21.0</v>
      </c>
      <c r="C45" s="1048">
        <f t="shared" si="12"/>
        <v>46433</v>
      </c>
      <c r="D45" s="1049">
        <f t="shared" si="6"/>
        <v>2</v>
      </c>
      <c r="E45" s="1050">
        <f t="shared" si="7"/>
        <v>2027</v>
      </c>
      <c r="F45" s="1050">
        <f t="shared" si="13"/>
        <v>105019.1079</v>
      </c>
      <c r="G45" s="1050">
        <f t="shared" si="8"/>
        <v>1336.517819</v>
      </c>
      <c r="H45" s="1050">
        <f t="shared" si="9"/>
        <v>345.687897</v>
      </c>
      <c r="I45" s="1050">
        <f t="shared" si="10"/>
        <v>40</v>
      </c>
      <c r="J45" s="1051">
        <f t="shared" si="11"/>
        <v>1722.205716</v>
      </c>
      <c r="K45" s="1043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897"/>
      <c r="W45" s="897"/>
      <c r="X45" s="897"/>
      <c r="Y45" s="897"/>
      <c r="Z45" s="897"/>
    </row>
    <row r="46" ht="15.75" customHeight="1">
      <c r="A46" s="308"/>
      <c r="B46" s="1026">
        <v>22.0</v>
      </c>
      <c r="C46" s="1048">
        <f t="shared" si="12"/>
        <v>46461</v>
      </c>
      <c r="D46" s="1049">
        <f t="shared" si="6"/>
        <v>3</v>
      </c>
      <c r="E46" s="1050">
        <f t="shared" si="7"/>
        <v>2027</v>
      </c>
      <c r="F46" s="1050">
        <f t="shared" si="13"/>
        <v>103682.5901</v>
      </c>
      <c r="G46" s="1050">
        <f t="shared" si="8"/>
        <v>1340.91719</v>
      </c>
      <c r="H46" s="1050">
        <f t="shared" si="9"/>
        <v>341.2885258</v>
      </c>
      <c r="I46" s="1050">
        <f t="shared" si="10"/>
        <v>40</v>
      </c>
      <c r="J46" s="1051">
        <f t="shared" si="11"/>
        <v>1722.205716</v>
      </c>
      <c r="K46" s="1043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897"/>
      <c r="W46" s="897"/>
      <c r="X46" s="897"/>
      <c r="Y46" s="897"/>
      <c r="Z46" s="897"/>
    </row>
    <row r="47" ht="15.75" customHeight="1">
      <c r="A47" s="308"/>
      <c r="B47" s="1026">
        <v>23.0</v>
      </c>
      <c r="C47" s="1048">
        <f t="shared" si="12"/>
        <v>46492</v>
      </c>
      <c r="D47" s="1049">
        <f t="shared" si="6"/>
        <v>4</v>
      </c>
      <c r="E47" s="1050">
        <f t="shared" si="7"/>
        <v>2027</v>
      </c>
      <c r="F47" s="1050">
        <f t="shared" si="13"/>
        <v>102341.6729</v>
      </c>
      <c r="G47" s="1050">
        <f t="shared" si="8"/>
        <v>1345.331043</v>
      </c>
      <c r="H47" s="1050">
        <f t="shared" si="9"/>
        <v>336.8746734</v>
      </c>
      <c r="I47" s="1050">
        <f t="shared" si="10"/>
        <v>40</v>
      </c>
      <c r="J47" s="1051">
        <f t="shared" si="11"/>
        <v>1722.205716</v>
      </c>
      <c r="K47" s="1043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897"/>
      <c r="W47" s="897"/>
      <c r="X47" s="897"/>
      <c r="Y47" s="897"/>
      <c r="Z47" s="897"/>
    </row>
    <row r="48" ht="15.75" customHeight="1">
      <c r="A48" s="308"/>
      <c r="B48" s="1026">
        <v>24.0</v>
      </c>
      <c r="C48" s="1048">
        <f t="shared" si="12"/>
        <v>46522</v>
      </c>
      <c r="D48" s="1049">
        <f t="shared" si="6"/>
        <v>5</v>
      </c>
      <c r="E48" s="1050">
        <f t="shared" si="7"/>
        <v>2027</v>
      </c>
      <c r="F48" s="1050">
        <f t="shared" si="13"/>
        <v>100996.3419</v>
      </c>
      <c r="G48" s="1050">
        <f t="shared" si="8"/>
        <v>1349.759424</v>
      </c>
      <c r="H48" s="1050">
        <f t="shared" si="9"/>
        <v>332.4462921</v>
      </c>
      <c r="I48" s="1050">
        <f t="shared" si="10"/>
        <v>40</v>
      </c>
      <c r="J48" s="1051">
        <f t="shared" si="11"/>
        <v>1722.205716</v>
      </c>
      <c r="K48" s="1043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897"/>
      <c r="W48" s="897"/>
      <c r="X48" s="897"/>
      <c r="Y48" s="897"/>
      <c r="Z48" s="897"/>
    </row>
    <row r="49" ht="15.75" customHeight="1">
      <c r="A49" s="308"/>
      <c r="B49" s="1026">
        <v>25.0</v>
      </c>
      <c r="C49" s="1048">
        <f t="shared" si="12"/>
        <v>46553</v>
      </c>
      <c r="D49" s="1049">
        <f t="shared" si="6"/>
        <v>6</v>
      </c>
      <c r="E49" s="1050">
        <f t="shared" si="7"/>
        <v>2027</v>
      </c>
      <c r="F49" s="1050">
        <f t="shared" si="13"/>
        <v>99646.58247</v>
      </c>
      <c r="G49" s="1050">
        <f t="shared" si="8"/>
        <v>1354.202382</v>
      </c>
      <c r="H49" s="1050">
        <f t="shared" si="9"/>
        <v>328.003334</v>
      </c>
      <c r="I49" s="1050">
        <f t="shared" si="10"/>
        <v>40</v>
      </c>
      <c r="J49" s="1051">
        <f t="shared" si="11"/>
        <v>1722.205716</v>
      </c>
      <c r="K49" s="1043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897"/>
      <c r="W49" s="897"/>
      <c r="X49" s="897"/>
      <c r="Y49" s="897"/>
      <c r="Z49" s="897"/>
    </row>
    <row r="50" ht="15.75" customHeight="1">
      <c r="A50" s="308"/>
      <c r="B50" s="1026">
        <v>26.0</v>
      </c>
      <c r="C50" s="1048">
        <f t="shared" si="12"/>
        <v>46583</v>
      </c>
      <c r="D50" s="1049">
        <f t="shared" si="6"/>
        <v>7</v>
      </c>
      <c r="E50" s="1050">
        <f t="shared" si="7"/>
        <v>2027</v>
      </c>
      <c r="F50" s="1050">
        <f t="shared" si="13"/>
        <v>98292.38009</v>
      </c>
      <c r="G50" s="1050">
        <f t="shared" si="8"/>
        <v>1358.659965</v>
      </c>
      <c r="H50" s="1050">
        <f t="shared" si="9"/>
        <v>323.5457511</v>
      </c>
      <c r="I50" s="1050">
        <f t="shared" si="10"/>
        <v>40</v>
      </c>
      <c r="J50" s="1051">
        <f t="shared" si="11"/>
        <v>1722.205716</v>
      </c>
      <c r="K50" s="1043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897"/>
      <c r="W50" s="897"/>
      <c r="X50" s="897"/>
      <c r="Y50" s="897"/>
      <c r="Z50" s="897"/>
    </row>
    <row r="51" ht="15.75" customHeight="1">
      <c r="A51" s="308"/>
      <c r="B51" s="1026">
        <v>27.0</v>
      </c>
      <c r="C51" s="1048">
        <f t="shared" si="12"/>
        <v>46614</v>
      </c>
      <c r="D51" s="1049">
        <f t="shared" si="6"/>
        <v>8</v>
      </c>
      <c r="E51" s="1050">
        <f t="shared" si="7"/>
        <v>2027</v>
      </c>
      <c r="F51" s="1050">
        <f t="shared" si="13"/>
        <v>96933.72012</v>
      </c>
      <c r="G51" s="1050">
        <f t="shared" si="8"/>
        <v>1363.132221</v>
      </c>
      <c r="H51" s="1050">
        <f t="shared" si="9"/>
        <v>319.0734954</v>
      </c>
      <c r="I51" s="1050">
        <f t="shared" si="10"/>
        <v>40</v>
      </c>
      <c r="J51" s="1051">
        <f t="shared" si="11"/>
        <v>1722.205716</v>
      </c>
      <c r="K51" s="1043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897"/>
      <c r="W51" s="897"/>
      <c r="X51" s="897"/>
      <c r="Y51" s="897"/>
      <c r="Z51" s="897"/>
    </row>
    <row r="52" ht="15.75" customHeight="1">
      <c r="A52" s="308"/>
      <c r="B52" s="1026">
        <v>28.0</v>
      </c>
      <c r="C52" s="1048">
        <f t="shared" si="12"/>
        <v>46645</v>
      </c>
      <c r="D52" s="1049">
        <f t="shared" si="6"/>
        <v>9</v>
      </c>
      <c r="E52" s="1050">
        <f t="shared" si="7"/>
        <v>2027</v>
      </c>
      <c r="F52" s="1050">
        <f t="shared" si="13"/>
        <v>95570.5879</v>
      </c>
      <c r="G52" s="1050">
        <f t="shared" si="8"/>
        <v>1367.619197</v>
      </c>
      <c r="H52" s="1050">
        <f t="shared" si="9"/>
        <v>314.5865185</v>
      </c>
      <c r="I52" s="1050">
        <f t="shared" si="10"/>
        <v>40</v>
      </c>
      <c r="J52" s="1051">
        <f t="shared" si="11"/>
        <v>1722.205716</v>
      </c>
      <c r="K52" s="1043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897"/>
      <c r="W52" s="897"/>
      <c r="X52" s="897"/>
      <c r="Y52" s="897"/>
      <c r="Z52" s="897"/>
    </row>
    <row r="53" ht="15.75" customHeight="1">
      <c r="A53" s="308"/>
      <c r="B53" s="1026">
        <v>29.0</v>
      </c>
      <c r="C53" s="1048">
        <f t="shared" si="12"/>
        <v>46675</v>
      </c>
      <c r="D53" s="1049">
        <f t="shared" si="6"/>
        <v>10</v>
      </c>
      <c r="E53" s="1050">
        <f t="shared" si="7"/>
        <v>2027</v>
      </c>
      <c r="F53" s="1050">
        <f t="shared" si="13"/>
        <v>94202.96871</v>
      </c>
      <c r="G53" s="1050">
        <f t="shared" si="8"/>
        <v>1372.120944</v>
      </c>
      <c r="H53" s="1050">
        <f t="shared" si="9"/>
        <v>310.084772</v>
      </c>
      <c r="I53" s="1050">
        <f t="shared" si="10"/>
        <v>40</v>
      </c>
      <c r="J53" s="1051">
        <f t="shared" si="11"/>
        <v>1722.205716</v>
      </c>
      <c r="K53" s="1043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897"/>
      <c r="W53" s="897"/>
      <c r="X53" s="897"/>
      <c r="Y53" s="897"/>
      <c r="Z53" s="897"/>
    </row>
    <row r="54" ht="15.75" customHeight="1">
      <c r="A54" s="308"/>
      <c r="B54" s="1026">
        <v>30.0</v>
      </c>
      <c r="C54" s="1048">
        <f t="shared" si="12"/>
        <v>46706</v>
      </c>
      <c r="D54" s="1049">
        <f t="shared" si="6"/>
        <v>11</v>
      </c>
      <c r="E54" s="1050">
        <f t="shared" si="7"/>
        <v>2027</v>
      </c>
      <c r="F54" s="1050">
        <f t="shared" si="13"/>
        <v>92830.84776</v>
      </c>
      <c r="G54" s="1050">
        <f t="shared" si="8"/>
        <v>1376.637509</v>
      </c>
      <c r="H54" s="1050">
        <f t="shared" si="9"/>
        <v>305.5682072</v>
      </c>
      <c r="I54" s="1050">
        <f t="shared" si="10"/>
        <v>40</v>
      </c>
      <c r="J54" s="1051">
        <f t="shared" si="11"/>
        <v>1722.205716</v>
      </c>
      <c r="K54" s="1043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897"/>
      <c r="W54" s="897"/>
      <c r="X54" s="897"/>
      <c r="Y54" s="897"/>
      <c r="Z54" s="897"/>
    </row>
    <row r="55" ht="15.75" customHeight="1">
      <c r="A55" s="308"/>
      <c r="B55" s="1026">
        <v>31.0</v>
      </c>
      <c r="C55" s="1048">
        <f t="shared" si="12"/>
        <v>46736</v>
      </c>
      <c r="D55" s="1049">
        <f t="shared" si="6"/>
        <v>12</v>
      </c>
      <c r="E55" s="1050">
        <f t="shared" si="7"/>
        <v>2027</v>
      </c>
      <c r="F55" s="1050">
        <f t="shared" si="13"/>
        <v>91454.21025</v>
      </c>
      <c r="G55" s="1050">
        <f t="shared" si="8"/>
        <v>1381.168941</v>
      </c>
      <c r="H55" s="1050">
        <f t="shared" si="9"/>
        <v>301.0367754</v>
      </c>
      <c r="I55" s="1050">
        <f t="shared" si="10"/>
        <v>40</v>
      </c>
      <c r="J55" s="1051">
        <f t="shared" si="11"/>
        <v>1722.205716</v>
      </c>
      <c r="K55" s="1043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897"/>
      <c r="W55" s="897"/>
      <c r="X55" s="897"/>
      <c r="Y55" s="897"/>
      <c r="Z55" s="897"/>
    </row>
    <row r="56" ht="15.75" customHeight="1">
      <c r="A56" s="308"/>
      <c r="B56" s="1026">
        <v>32.0</v>
      </c>
      <c r="C56" s="1048">
        <f t="shared" si="12"/>
        <v>46767</v>
      </c>
      <c r="D56" s="1049">
        <f t="shared" si="6"/>
        <v>1</v>
      </c>
      <c r="E56" s="1050">
        <f t="shared" si="7"/>
        <v>2028</v>
      </c>
      <c r="F56" s="1050">
        <f t="shared" si="13"/>
        <v>90073.04131</v>
      </c>
      <c r="G56" s="1050">
        <f t="shared" si="8"/>
        <v>1385.715288</v>
      </c>
      <c r="H56" s="1050">
        <f t="shared" si="9"/>
        <v>296.4904277</v>
      </c>
      <c r="I56" s="1050">
        <f t="shared" si="10"/>
        <v>40</v>
      </c>
      <c r="J56" s="1051">
        <f t="shared" si="11"/>
        <v>1722.205716</v>
      </c>
      <c r="K56" s="1043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897"/>
      <c r="W56" s="897"/>
      <c r="X56" s="897"/>
      <c r="Y56" s="897"/>
      <c r="Z56" s="897"/>
    </row>
    <row r="57" ht="15.75" customHeight="1">
      <c r="A57" s="308"/>
      <c r="B57" s="1026">
        <v>33.0</v>
      </c>
      <c r="C57" s="1048">
        <f t="shared" si="12"/>
        <v>46798</v>
      </c>
      <c r="D57" s="1049">
        <f t="shared" si="6"/>
        <v>2</v>
      </c>
      <c r="E57" s="1050">
        <f t="shared" si="7"/>
        <v>2028</v>
      </c>
      <c r="F57" s="1050">
        <f t="shared" si="13"/>
        <v>88687.32603</v>
      </c>
      <c r="G57" s="1050">
        <f t="shared" si="8"/>
        <v>1390.276601</v>
      </c>
      <c r="H57" s="1050">
        <f t="shared" si="9"/>
        <v>291.9291148</v>
      </c>
      <c r="I57" s="1050">
        <f t="shared" si="10"/>
        <v>40</v>
      </c>
      <c r="J57" s="1051">
        <f t="shared" si="11"/>
        <v>1722.205716</v>
      </c>
      <c r="K57" s="1043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897"/>
      <c r="W57" s="897"/>
      <c r="X57" s="897"/>
      <c r="Y57" s="897"/>
      <c r="Z57" s="897"/>
    </row>
    <row r="58" ht="15.75" customHeight="1">
      <c r="A58" s="308"/>
      <c r="B58" s="1026">
        <v>34.0</v>
      </c>
      <c r="C58" s="1048">
        <f t="shared" si="12"/>
        <v>46827</v>
      </c>
      <c r="D58" s="1049">
        <f t="shared" si="6"/>
        <v>3</v>
      </c>
      <c r="E58" s="1050">
        <f t="shared" si="7"/>
        <v>2028</v>
      </c>
      <c r="F58" s="1050">
        <f t="shared" si="13"/>
        <v>87297.04942</v>
      </c>
      <c r="G58" s="1050">
        <f t="shared" si="8"/>
        <v>1394.852928</v>
      </c>
      <c r="H58" s="1050">
        <f t="shared" si="9"/>
        <v>287.3527877</v>
      </c>
      <c r="I58" s="1050">
        <f t="shared" si="10"/>
        <v>40</v>
      </c>
      <c r="J58" s="1051">
        <f t="shared" si="11"/>
        <v>1722.205716</v>
      </c>
      <c r="K58" s="1043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897"/>
      <c r="W58" s="897"/>
      <c r="X58" s="897"/>
      <c r="Y58" s="897"/>
      <c r="Z58" s="897"/>
    </row>
    <row r="59" ht="15.75" customHeight="1">
      <c r="A59" s="308"/>
      <c r="B59" s="1026">
        <v>35.0</v>
      </c>
      <c r="C59" s="1048">
        <f t="shared" si="12"/>
        <v>46858</v>
      </c>
      <c r="D59" s="1049">
        <f t="shared" si="6"/>
        <v>4</v>
      </c>
      <c r="E59" s="1050">
        <f t="shared" si="7"/>
        <v>2028</v>
      </c>
      <c r="F59" s="1050">
        <f t="shared" si="13"/>
        <v>85902.1965</v>
      </c>
      <c r="G59" s="1050">
        <f t="shared" si="8"/>
        <v>1399.444319</v>
      </c>
      <c r="H59" s="1050">
        <f t="shared" si="9"/>
        <v>282.7613968</v>
      </c>
      <c r="I59" s="1050">
        <f t="shared" si="10"/>
        <v>40</v>
      </c>
      <c r="J59" s="1051">
        <f t="shared" si="11"/>
        <v>1722.205716</v>
      </c>
      <c r="K59" s="1043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897"/>
      <c r="W59" s="897"/>
      <c r="X59" s="897"/>
      <c r="Y59" s="897"/>
      <c r="Z59" s="897"/>
    </row>
    <row r="60" ht="15.75" customHeight="1">
      <c r="A60" s="308"/>
      <c r="B60" s="1026">
        <v>36.0</v>
      </c>
      <c r="C60" s="1048">
        <f t="shared" si="12"/>
        <v>46888</v>
      </c>
      <c r="D60" s="1049">
        <f t="shared" si="6"/>
        <v>5</v>
      </c>
      <c r="E60" s="1050">
        <f t="shared" si="7"/>
        <v>2028</v>
      </c>
      <c r="F60" s="1050">
        <f t="shared" si="13"/>
        <v>84502.75218</v>
      </c>
      <c r="G60" s="1050">
        <f t="shared" si="8"/>
        <v>1404.050823</v>
      </c>
      <c r="H60" s="1050">
        <f t="shared" si="9"/>
        <v>278.1548926</v>
      </c>
      <c r="I60" s="1050">
        <f t="shared" si="10"/>
        <v>40</v>
      </c>
      <c r="J60" s="1051">
        <f t="shared" si="11"/>
        <v>1722.205716</v>
      </c>
      <c r="K60" s="1043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897"/>
      <c r="W60" s="897"/>
      <c r="X60" s="897"/>
      <c r="Y60" s="897"/>
      <c r="Z60" s="897"/>
    </row>
    <row r="61" ht="15.75" customHeight="1">
      <c r="A61" s="308"/>
      <c r="B61" s="1026">
        <v>37.0</v>
      </c>
      <c r="C61" s="1048">
        <f t="shared" si="12"/>
        <v>46919</v>
      </c>
      <c r="D61" s="1049">
        <f t="shared" si="6"/>
        <v>6</v>
      </c>
      <c r="E61" s="1050">
        <f t="shared" si="7"/>
        <v>2028</v>
      </c>
      <c r="F61" s="1050">
        <f t="shared" si="13"/>
        <v>83098.70135</v>
      </c>
      <c r="G61" s="1050">
        <f t="shared" si="8"/>
        <v>1408.672491</v>
      </c>
      <c r="H61" s="1050">
        <f t="shared" si="9"/>
        <v>273.5332253</v>
      </c>
      <c r="I61" s="1050">
        <f t="shared" si="10"/>
        <v>40</v>
      </c>
      <c r="J61" s="1051">
        <f t="shared" si="11"/>
        <v>1722.205716</v>
      </c>
      <c r="K61" s="1043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897"/>
      <c r="W61" s="897"/>
      <c r="X61" s="897"/>
      <c r="Y61" s="897"/>
      <c r="Z61" s="897"/>
    </row>
    <row r="62" ht="15.75" customHeight="1">
      <c r="A62" s="308"/>
      <c r="B62" s="1026">
        <v>38.0</v>
      </c>
      <c r="C62" s="1048">
        <f t="shared" si="12"/>
        <v>46949</v>
      </c>
      <c r="D62" s="1049">
        <f t="shared" si="6"/>
        <v>7</v>
      </c>
      <c r="E62" s="1050">
        <f t="shared" si="7"/>
        <v>2028</v>
      </c>
      <c r="F62" s="1050">
        <f t="shared" si="13"/>
        <v>81690.02886</v>
      </c>
      <c r="G62" s="1050">
        <f t="shared" si="8"/>
        <v>1413.309371</v>
      </c>
      <c r="H62" s="1050">
        <f t="shared" si="9"/>
        <v>268.896345</v>
      </c>
      <c r="I62" s="1050">
        <f t="shared" si="10"/>
        <v>40</v>
      </c>
      <c r="J62" s="1051">
        <f t="shared" si="11"/>
        <v>1722.205716</v>
      </c>
      <c r="K62" s="1043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897"/>
      <c r="W62" s="897"/>
      <c r="X62" s="897"/>
      <c r="Y62" s="897"/>
      <c r="Z62" s="897"/>
    </row>
    <row r="63" ht="15.75" customHeight="1">
      <c r="A63" s="308"/>
      <c r="B63" s="1026">
        <v>39.0</v>
      </c>
      <c r="C63" s="1048">
        <f t="shared" si="12"/>
        <v>46980</v>
      </c>
      <c r="D63" s="1049">
        <f t="shared" si="6"/>
        <v>8</v>
      </c>
      <c r="E63" s="1050">
        <f t="shared" si="7"/>
        <v>2028</v>
      </c>
      <c r="F63" s="1050">
        <f t="shared" si="13"/>
        <v>80276.71949</v>
      </c>
      <c r="G63" s="1050">
        <f t="shared" si="8"/>
        <v>1417.961514</v>
      </c>
      <c r="H63" s="1050">
        <f t="shared" si="9"/>
        <v>264.2442017</v>
      </c>
      <c r="I63" s="1050">
        <f t="shared" si="10"/>
        <v>40</v>
      </c>
      <c r="J63" s="1051">
        <f t="shared" si="11"/>
        <v>1722.205716</v>
      </c>
      <c r="K63" s="1043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897"/>
      <c r="W63" s="897"/>
      <c r="X63" s="897"/>
      <c r="Y63" s="897"/>
      <c r="Z63" s="897"/>
    </row>
    <row r="64" ht="15.75" customHeight="1">
      <c r="A64" s="308"/>
      <c r="B64" s="1026">
        <v>40.0</v>
      </c>
      <c r="C64" s="1048">
        <f t="shared" si="12"/>
        <v>47011</v>
      </c>
      <c r="D64" s="1049">
        <f t="shared" si="6"/>
        <v>9</v>
      </c>
      <c r="E64" s="1050">
        <f t="shared" si="7"/>
        <v>2028</v>
      </c>
      <c r="F64" s="1050">
        <f t="shared" si="13"/>
        <v>78858.75798</v>
      </c>
      <c r="G64" s="1050">
        <f t="shared" si="8"/>
        <v>1422.628971</v>
      </c>
      <c r="H64" s="1050">
        <f t="shared" si="9"/>
        <v>259.576745</v>
      </c>
      <c r="I64" s="1050">
        <f t="shared" si="10"/>
        <v>40</v>
      </c>
      <c r="J64" s="1051">
        <f t="shared" si="11"/>
        <v>1722.205716</v>
      </c>
      <c r="K64" s="1043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897"/>
      <c r="W64" s="897"/>
      <c r="X64" s="897"/>
      <c r="Y64" s="897"/>
      <c r="Z64" s="897"/>
    </row>
    <row r="65" ht="15.75" customHeight="1">
      <c r="A65" s="308"/>
      <c r="B65" s="1026">
        <v>41.0</v>
      </c>
      <c r="C65" s="1048">
        <f t="shared" si="12"/>
        <v>47041</v>
      </c>
      <c r="D65" s="1049">
        <f t="shared" si="6"/>
        <v>10</v>
      </c>
      <c r="E65" s="1050">
        <f t="shared" si="7"/>
        <v>2028</v>
      </c>
      <c r="F65" s="1050">
        <f t="shared" si="13"/>
        <v>77436.12901</v>
      </c>
      <c r="G65" s="1050">
        <f t="shared" si="8"/>
        <v>1427.311791</v>
      </c>
      <c r="H65" s="1050">
        <f t="shared" si="9"/>
        <v>254.8939246</v>
      </c>
      <c r="I65" s="1050">
        <f t="shared" si="10"/>
        <v>40</v>
      </c>
      <c r="J65" s="1051">
        <f t="shared" si="11"/>
        <v>1722.205716</v>
      </c>
      <c r="K65" s="1043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897"/>
      <c r="W65" s="897"/>
      <c r="X65" s="897"/>
      <c r="Y65" s="897"/>
      <c r="Z65" s="897"/>
    </row>
    <row r="66" ht="15.75" customHeight="1">
      <c r="A66" s="308"/>
      <c r="B66" s="1026">
        <v>42.0</v>
      </c>
      <c r="C66" s="1048">
        <f t="shared" si="12"/>
        <v>47072</v>
      </c>
      <c r="D66" s="1049">
        <f t="shared" si="6"/>
        <v>11</v>
      </c>
      <c r="E66" s="1050">
        <f t="shared" si="7"/>
        <v>2028</v>
      </c>
      <c r="F66" s="1050">
        <f t="shared" si="13"/>
        <v>76008.81722</v>
      </c>
      <c r="G66" s="1050">
        <f t="shared" si="8"/>
        <v>1432.010026</v>
      </c>
      <c r="H66" s="1050">
        <f t="shared" si="9"/>
        <v>250.19569</v>
      </c>
      <c r="I66" s="1050">
        <f t="shared" si="10"/>
        <v>40</v>
      </c>
      <c r="J66" s="1051">
        <f t="shared" si="11"/>
        <v>1722.205716</v>
      </c>
      <c r="K66" s="1043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897"/>
      <c r="W66" s="897"/>
      <c r="X66" s="897"/>
      <c r="Y66" s="897"/>
      <c r="Z66" s="897"/>
    </row>
    <row r="67" ht="15.75" customHeight="1">
      <c r="A67" s="308"/>
      <c r="B67" s="1026">
        <v>43.0</v>
      </c>
      <c r="C67" s="1048">
        <f t="shared" si="12"/>
        <v>47102</v>
      </c>
      <c r="D67" s="1049">
        <f t="shared" si="6"/>
        <v>12</v>
      </c>
      <c r="E67" s="1050">
        <f t="shared" si="7"/>
        <v>2028</v>
      </c>
      <c r="F67" s="1050">
        <f t="shared" si="13"/>
        <v>74576.80719</v>
      </c>
      <c r="G67" s="1050">
        <f t="shared" si="8"/>
        <v>1436.723726</v>
      </c>
      <c r="H67" s="1050">
        <f t="shared" si="9"/>
        <v>245.4819903</v>
      </c>
      <c r="I67" s="1050">
        <f t="shared" si="10"/>
        <v>40</v>
      </c>
      <c r="J67" s="1051">
        <f t="shared" si="11"/>
        <v>1722.205716</v>
      </c>
      <c r="K67" s="1043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897"/>
      <c r="W67" s="897"/>
      <c r="X67" s="897"/>
      <c r="Y67" s="897"/>
      <c r="Z67" s="897"/>
    </row>
    <row r="68" ht="15.75" customHeight="1">
      <c r="A68" s="308"/>
      <c r="B68" s="1026">
        <v>44.0</v>
      </c>
      <c r="C68" s="1048">
        <f t="shared" si="12"/>
        <v>47133</v>
      </c>
      <c r="D68" s="1049">
        <f t="shared" si="6"/>
        <v>1</v>
      </c>
      <c r="E68" s="1050">
        <f t="shared" si="7"/>
        <v>2029</v>
      </c>
      <c r="F68" s="1050">
        <f t="shared" si="13"/>
        <v>73140.08346</v>
      </c>
      <c r="G68" s="1050">
        <f t="shared" si="8"/>
        <v>1441.452941</v>
      </c>
      <c r="H68" s="1050">
        <f t="shared" si="9"/>
        <v>240.7527747</v>
      </c>
      <c r="I68" s="1050">
        <f t="shared" si="10"/>
        <v>40</v>
      </c>
      <c r="J68" s="1051">
        <f t="shared" si="11"/>
        <v>1722.205716</v>
      </c>
      <c r="K68" s="1043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897"/>
      <c r="W68" s="897"/>
      <c r="X68" s="897"/>
      <c r="Y68" s="897"/>
      <c r="Z68" s="897"/>
    </row>
    <row r="69" ht="15.75" customHeight="1">
      <c r="A69" s="308"/>
      <c r="B69" s="1026">
        <v>45.0</v>
      </c>
      <c r="C69" s="1048">
        <f t="shared" si="12"/>
        <v>47164</v>
      </c>
      <c r="D69" s="1049">
        <f t="shared" si="6"/>
        <v>2</v>
      </c>
      <c r="E69" s="1050">
        <f t="shared" si="7"/>
        <v>2029</v>
      </c>
      <c r="F69" s="1050">
        <f t="shared" si="13"/>
        <v>71698.63052</v>
      </c>
      <c r="G69" s="1050">
        <f t="shared" si="8"/>
        <v>1446.197724</v>
      </c>
      <c r="H69" s="1050">
        <f t="shared" si="9"/>
        <v>236.0079921</v>
      </c>
      <c r="I69" s="1050">
        <f t="shared" si="10"/>
        <v>40</v>
      </c>
      <c r="J69" s="1051">
        <f t="shared" si="11"/>
        <v>1722.205716</v>
      </c>
      <c r="K69" s="1043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897"/>
      <c r="W69" s="897"/>
      <c r="X69" s="897"/>
      <c r="Y69" s="897"/>
      <c r="Z69" s="897"/>
    </row>
    <row r="70" ht="15.75" customHeight="1">
      <c r="A70" s="308"/>
      <c r="B70" s="1026">
        <v>46.0</v>
      </c>
      <c r="C70" s="1048">
        <f t="shared" si="12"/>
        <v>47192</v>
      </c>
      <c r="D70" s="1049">
        <f t="shared" si="6"/>
        <v>3</v>
      </c>
      <c r="E70" s="1050">
        <f t="shared" si="7"/>
        <v>2029</v>
      </c>
      <c r="F70" s="1050">
        <f t="shared" si="13"/>
        <v>70252.4328</v>
      </c>
      <c r="G70" s="1050">
        <f t="shared" si="8"/>
        <v>1450.958125</v>
      </c>
      <c r="H70" s="1050">
        <f t="shared" si="9"/>
        <v>231.2475913</v>
      </c>
      <c r="I70" s="1050">
        <f t="shared" si="10"/>
        <v>40</v>
      </c>
      <c r="J70" s="1051">
        <f t="shared" si="11"/>
        <v>1722.205716</v>
      </c>
      <c r="K70" s="1043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897"/>
      <c r="W70" s="897"/>
      <c r="X70" s="897"/>
      <c r="Y70" s="897"/>
      <c r="Z70" s="897"/>
    </row>
    <row r="71" ht="15.75" customHeight="1">
      <c r="A71" s="308"/>
      <c r="B71" s="1026">
        <v>47.0</v>
      </c>
      <c r="C71" s="1048">
        <f t="shared" si="12"/>
        <v>47223</v>
      </c>
      <c r="D71" s="1049">
        <f t="shared" si="6"/>
        <v>4</v>
      </c>
      <c r="E71" s="1050">
        <f t="shared" si="7"/>
        <v>2029</v>
      </c>
      <c r="F71" s="1050">
        <f t="shared" si="13"/>
        <v>68801.47467</v>
      </c>
      <c r="G71" s="1050">
        <f t="shared" si="8"/>
        <v>1455.734195</v>
      </c>
      <c r="H71" s="1050">
        <f t="shared" si="9"/>
        <v>226.4715208</v>
      </c>
      <c r="I71" s="1050">
        <f t="shared" si="10"/>
        <v>40</v>
      </c>
      <c r="J71" s="1051">
        <f t="shared" si="11"/>
        <v>1722.205716</v>
      </c>
      <c r="K71" s="1043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897"/>
      <c r="W71" s="897"/>
      <c r="X71" s="897"/>
      <c r="Y71" s="897"/>
      <c r="Z71" s="897"/>
    </row>
    <row r="72" ht="15.75" customHeight="1">
      <c r="A72" s="308"/>
      <c r="B72" s="1026">
        <v>48.0</v>
      </c>
      <c r="C72" s="1048">
        <f t="shared" si="12"/>
        <v>47253</v>
      </c>
      <c r="D72" s="1049">
        <f t="shared" si="6"/>
        <v>5</v>
      </c>
      <c r="E72" s="1050">
        <f t="shared" si="7"/>
        <v>2029</v>
      </c>
      <c r="F72" s="1050">
        <f t="shared" si="13"/>
        <v>67345.74048</v>
      </c>
      <c r="G72" s="1050">
        <f t="shared" si="8"/>
        <v>1460.525987</v>
      </c>
      <c r="H72" s="1050">
        <f t="shared" si="9"/>
        <v>221.6797291</v>
      </c>
      <c r="I72" s="1050">
        <f t="shared" si="10"/>
        <v>40</v>
      </c>
      <c r="J72" s="1051">
        <f t="shared" si="11"/>
        <v>1722.205716</v>
      </c>
      <c r="K72" s="1043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897"/>
      <c r="W72" s="897"/>
      <c r="X72" s="897"/>
      <c r="Y72" s="897"/>
      <c r="Z72" s="897"/>
    </row>
    <row r="73" ht="15.75" customHeight="1">
      <c r="A73" s="308"/>
      <c r="B73" s="1026">
        <v>49.0</v>
      </c>
      <c r="C73" s="1048">
        <f t="shared" si="12"/>
        <v>47284</v>
      </c>
      <c r="D73" s="1049">
        <f t="shared" si="6"/>
        <v>6</v>
      </c>
      <c r="E73" s="1050">
        <f t="shared" si="7"/>
        <v>2029</v>
      </c>
      <c r="F73" s="1050">
        <f t="shared" si="13"/>
        <v>65885.21449</v>
      </c>
      <c r="G73" s="1050">
        <f t="shared" si="8"/>
        <v>1465.333552</v>
      </c>
      <c r="H73" s="1050">
        <f t="shared" si="9"/>
        <v>216.8721644</v>
      </c>
      <c r="I73" s="1050">
        <f t="shared" si="10"/>
        <v>40</v>
      </c>
      <c r="J73" s="1051">
        <f t="shared" si="11"/>
        <v>1722.205716</v>
      </c>
      <c r="K73" s="1043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897"/>
      <c r="W73" s="897"/>
      <c r="X73" s="897"/>
      <c r="Y73" s="897"/>
      <c r="Z73" s="897"/>
    </row>
    <row r="74" ht="15.75" customHeight="1">
      <c r="A74" s="308"/>
      <c r="B74" s="1026">
        <v>50.0</v>
      </c>
      <c r="C74" s="1048">
        <f t="shared" si="12"/>
        <v>47314</v>
      </c>
      <c r="D74" s="1049">
        <f t="shared" si="6"/>
        <v>7</v>
      </c>
      <c r="E74" s="1050">
        <f t="shared" si="7"/>
        <v>2029</v>
      </c>
      <c r="F74" s="1050">
        <f t="shared" si="13"/>
        <v>64419.88094</v>
      </c>
      <c r="G74" s="1050">
        <f t="shared" si="8"/>
        <v>1470.156941</v>
      </c>
      <c r="H74" s="1050">
        <f t="shared" si="9"/>
        <v>212.0487748</v>
      </c>
      <c r="I74" s="1050">
        <f t="shared" si="10"/>
        <v>40</v>
      </c>
      <c r="J74" s="1051">
        <f t="shared" si="11"/>
        <v>1722.205716</v>
      </c>
      <c r="K74" s="1043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897"/>
      <c r="W74" s="897"/>
      <c r="X74" s="897"/>
      <c r="Y74" s="897"/>
      <c r="Z74" s="897"/>
    </row>
    <row r="75" ht="15.75" customHeight="1">
      <c r="A75" s="308"/>
      <c r="B75" s="1026">
        <v>51.0</v>
      </c>
      <c r="C75" s="1048">
        <f t="shared" si="12"/>
        <v>47345</v>
      </c>
      <c r="D75" s="1049">
        <f t="shared" si="6"/>
        <v>8</v>
      </c>
      <c r="E75" s="1050">
        <f t="shared" si="7"/>
        <v>2029</v>
      </c>
      <c r="F75" s="1050">
        <f t="shared" si="13"/>
        <v>62949.724</v>
      </c>
      <c r="G75" s="1050">
        <f t="shared" si="8"/>
        <v>1474.996208</v>
      </c>
      <c r="H75" s="1050">
        <f t="shared" si="9"/>
        <v>207.2095082</v>
      </c>
      <c r="I75" s="1050">
        <f t="shared" si="10"/>
        <v>40</v>
      </c>
      <c r="J75" s="1051">
        <f t="shared" si="11"/>
        <v>1722.205716</v>
      </c>
      <c r="K75" s="1043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897"/>
      <c r="W75" s="897"/>
      <c r="X75" s="897"/>
      <c r="Y75" s="897"/>
      <c r="Z75" s="897"/>
    </row>
    <row r="76" ht="15.75" customHeight="1">
      <c r="A76" s="308"/>
      <c r="B76" s="1026">
        <v>52.0</v>
      </c>
      <c r="C76" s="1048">
        <f t="shared" si="12"/>
        <v>47376</v>
      </c>
      <c r="D76" s="1049">
        <f t="shared" si="6"/>
        <v>9</v>
      </c>
      <c r="E76" s="1050">
        <f t="shared" si="7"/>
        <v>2029</v>
      </c>
      <c r="F76" s="1050">
        <f t="shared" si="13"/>
        <v>61474.72779</v>
      </c>
      <c r="G76" s="1050">
        <f t="shared" si="8"/>
        <v>1479.851404</v>
      </c>
      <c r="H76" s="1050">
        <f t="shared" si="9"/>
        <v>202.3543123</v>
      </c>
      <c r="I76" s="1050">
        <f t="shared" si="10"/>
        <v>40</v>
      </c>
      <c r="J76" s="1051">
        <f t="shared" si="11"/>
        <v>1722.205716</v>
      </c>
      <c r="K76" s="1043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897"/>
      <c r="W76" s="897"/>
      <c r="X76" s="897"/>
      <c r="Y76" s="897"/>
      <c r="Z76" s="897"/>
    </row>
    <row r="77" ht="15.75" customHeight="1">
      <c r="A77" s="308"/>
      <c r="B77" s="1026">
        <v>53.0</v>
      </c>
      <c r="C77" s="1048">
        <f t="shared" si="12"/>
        <v>47406</v>
      </c>
      <c r="D77" s="1049">
        <f t="shared" si="6"/>
        <v>10</v>
      </c>
      <c r="E77" s="1050">
        <f t="shared" si="7"/>
        <v>2029</v>
      </c>
      <c r="F77" s="1050">
        <f t="shared" si="13"/>
        <v>59994.87639</v>
      </c>
      <c r="G77" s="1050">
        <f t="shared" si="8"/>
        <v>1484.722581</v>
      </c>
      <c r="H77" s="1050">
        <f t="shared" si="9"/>
        <v>197.4831348</v>
      </c>
      <c r="I77" s="1050">
        <f t="shared" si="10"/>
        <v>40</v>
      </c>
      <c r="J77" s="1051">
        <f t="shared" si="11"/>
        <v>1722.205716</v>
      </c>
      <c r="K77" s="1043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897"/>
      <c r="W77" s="897"/>
      <c r="X77" s="897"/>
      <c r="Y77" s="897"/>
      <c r="Z77" s="897"/>
    </row>
    <row r="78" ht="15.75" customHeight="1">
      <c r="A78" s="308"/>
      <c r="B78" s="1026">
        <v>54.0</v>
      </c>
      <c r="C78" s="1048">
        <f t="shared" si="12"/>
        <v>47437</v>
      </c>
      <c r="D78" s="1049">
        <f t="shared" si="6"/>
        <v>11</v>
      </c>
      <c r="E78" s="1050">
        <f t="shared" si="7"/>
        <v>2029</v>
      </c>
      <c r="F78" s="1050">
        <f t="shared" si="13"/>
        <v>58510.15381</v>
      </c>
      <c r="G78" s="1050">
        <f t="shared" si="8"/>
        <v>1489.609793</v>
      </c>
      <c r="H78" s="1050">
        <f t="shared" si="9"/>
        <v>192.5959229</v>
      </c>
      <c r="I78" s="1050">
        <f t="shared" si="10"/>
        <v>40</v>
      </c>
      <c r="J78" s="1051">
        <f t="shared" si="11"/>
        <v>1722.205716</v>
      </c>
      <c r="K78" s="1043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897"/>
      <c r="W78" s="897"/>
      <c r="X78" s="897"/>
      <c r="Y78" s="897"/>
      <c r="Z78" s="897"/>
    </row>
    <row r="79" ht="15.75" customHeight="1">
      <c r="A79" s="308"/>
      <c r="B79" s="1026">
        <v>55.0</v>
      </c>
      <c r="C79" s="1048">
        <f t="shared" si="12"/>
        <v>47467</v>
      </c>
      <c r="D79" s="1049">
        <f t="shared" si="6"/>
        <v>12</v>
      </c>
      <c r="E79" s="1050">
        <f t="shared" si="7"/>
        <v>2029</v>
      </c>
      <c r="F79" s="1050">
        <f t="shared" si="13"/>
        <v>57020.54401</v>
      </c>
      <c r="G79" s="1050">
        <f t="shared" si="8"/>
        <v>1494.513092</v>
      </c>
      <c r="H79" s="1050">
        <f t="shared" si="9"/>
        <v>187.692624</v>
      </c>
      <c r="I79" s="1050">
        <f t="shared" si="10"/>
        <v>40</v>
      </c>
      <c r="J79" s="1051">
        <f t="shared" si="11"/>
        <v>1722.205716</v>
      </c>
      <c r="K79" s="1043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897"/>
      <c r="W79" s="897"/>
      <c r="X79" s="897"/>
      <c r="Y79" s="897"/>
      <c r="Z79" s="897"/>
    </row>
    <row r="80" ht="15.75" customHeight="1">
      <c r="A80" s="308"/>
      <c r="B80" s="1026">
        <v>56.0</v>
      </c>
      <c r="C80" s="1048">
        <f t="shared" si="12"/>
        <v>47498</v>
      </c>
      <c r="D80" s="1049">
        <f t="shared" si="6"/>
        <v>1</v>
      </c>
      <c r="E80" s="1050">
        <f t="shared" si="7"/>
        <v>2030</v>
      </c>
      <c r="F80" s="1050">
        <f t="shared" si="13"/>
        <v>55526.03092</v>
      </c>
      <c r="G80" s="1050">
        <f t="shared" si="8"/>
        <v>1499.432531</v>
      </c>
      <c r="H80" s="1050">
        <f t="shared" si="9"/>
        <v>182.7731851</v>
      </c>
      <c r="I80" s="1050">
        <f t="shared" si="10"/>
        <v>40</v>
      </c>
      <c r="J80" s="1051">
        <f t="shared" si="11"/>
        <v>1722.205716</v>
      </c>
      <c r="K80" s="1043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897"/>
      <c r="W80" s="897"/>
      <c r="X80" s="897"/>
      <c r="Y80" s="897"/>
      <c r="Z80" s="897"/>
    </row>
    <row r="81" ht="15.75" customHeight="1">
      <c r="A81" s="308"/>
      <c r="B81" s="1026">
        <v>57.0</v>
      </c>
      <c r="C81" s="1048">
        <f t="shared" si="12"/>
        <v>47529</v>
      </c>
      <c r="D81" s="1049">
        <f t="shared" si="6"/>
        <v>2</v>
      </c>
      <c r="E81" s="1050">
        <f t="shared" si="7"/>
        <v>2030</v>
      </c>
      <c r="F81" s="1050">
        <f t="shared" si="13"/>
        <v>54026.59839</v>
      </c>
      <c r="G81" s="1050">
        <f t="shared" si="8"/>
        <v>1504.368163</v>
      </c>
      <c r="H81" s="1050">
        <f t="shared" si="9"/>
        <v>177.837553</v>
      </c>
      <c r="I81" s="1050">
        <f t="shared" si="10"/>
        <v>40</v>
      </c>
      <c r="J81" s="1051">
        <f t="shared" si="11"/>
        <v>1722.205716</v>
      </c>
      <c r="K81" s="1043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897"/>
      <c r="W81" s="897"/>
      <c r="X81" s="897"/>
      <c r="Y81" s="897"/>
      <c r="Z81" s="897"/>
    </row>
    <row r="82" ht="15.75" customHeight="1">
      <c r="A82" s="308"/>
      <c r="B82" s="1026">
        <v>58.0</v>
      </c>
      <c r="C82" s="1048">
        <f t="shared" si="12"/>
        <v>47557</v>
      </c>
      <c r="D82" s="1049">
        <f t="shared" si="6"/>
        <v>3</v>
      </c>
      <c r="E82" s="1050">
        <f t="shared" si="7"/>
        <v>2030</v>
      </c>
      <c r="F82" s="1050">
        <f t="shared" si="13"/>
        <v>52522.23023</v>
      </c>
      <c r="G82" s="1050">
        <f t="shared" si="8"/>
        <v>1509.320041</v>
      </c>
      <c r="H82" s="1050">
        <f t="shared" si="9"/>
        <v>172.8856745</v>
      </c>
      <c r="I82" s="1050">
        <f t="shared" si="10"/>
        <v>40</v>
      </c>
      <c r="J82" s="1051">
        <f t="shared" si="11"/>
        <v>1722.205716</v>
      </c>
      <c r="K82" s="1043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897"/>
      <c r="W82" s="897"/>
      <c r="X82" s="897"/>
      <c r="Y82" s="897"/>
      <c r="Z82" s="897"/>
    </row>
    <row r="83" ht="15.75" customHeight="1">
      <c r="A83" s="308"/>
      <c r="B83" s="1026">
        <v>59.0</v>
      </c>
      <c r="C83" s="1048">
        <f t="shared" si="12"/>
        <v>47588</v>
      </c>
      <c r="D83" s="1049">
        <f t="shared" si="6"/>
        <v>4</v>
      </c>
      <c r="E83" s="1050">
        <f t="shared" si="7"/>
        <v>2030</v>
      </c>
      <c r="F83" s="1050">
        <f t="shared" si="13"/>
        <v>51012.91019</v>
      </c>
      <c r="G83" s="1050">
        <f t="shared" si="8"/>
        <v>1514.28822</v>
      </c>
      <c r="H83" s="1050">
        <f t="shared" si="9"/>
        <v>167.917496</v>
      </c>
      <c r="I83" s="1050">
        <f t="shared" si="10"/>
        <v>40</v>
      </c>
      <c r="J83" s="1051">
        <f t="shared" si="11"/>
        <v>1722.205716</v>
      </c>
      <c r="K83" s="1043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897"/>
      <c r="W83" s="897"/>
      <c r="X83" s="897"/>
      <c r="Y83" s="897"/>
      <c r="Z83" s="897"/>
    </row>
    <row r="84" ht="15.75" customHeight="1">
      <c r="A84" s="308"/>
      <c r="B84" s="1026">
        <v>60.0</v>
      </c>
      <c r="C84" s="1048">
        <f t="shared" si="12"/>
        <v>47618</v>
      </c>
      <c r="D84" s="1049">
        <f t="shared" si="6"/>
        <v>5</v>
      </c>
      <c r="E84" s="1050">
        <f t="shared" si="7"/>
        <v>2030</v>
      </c>
      <c r="F84" s="1050">
        <f t="shared" si="13"/>
        <v>49498.62197</v>
      </c>
      <c r="G84" s="1050">
        <f t="shared" si="8"/>
        <v>1519.272752</v>
      </c>
      <c r="H84" s="1050">
        <f t="shared" si="9"/>
        <v>162.932964</v>
      </c>
      <c r="I84" s="1050">
        <f t="shared" si="10"/>
        <v>40</v>
      </c>
      <c r="J84" s="1051">
        <f t="shared" si="11"/>
        <v>1722.205716</v>
      </c>
      <c r="K84" s="1043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897"/>
      <c r="W84" s="897"/>
      <c r="X84" s="897"/>
      <c r="Y84" s="897"/>
      <c r="Z84" s="897"/>
    </row>
    <row r="85" ht="15.75" customHeight="1">
      <c r="A85" s="308"/>
      <c r="B85" s="1026">
        <v>61.0</v>
      </c>
      <c r="C85" s="1048">
        <f t="shared" si="12"/>
        <v>47649</v>
      </c>
      <c r="D85" s="1049">
        <f t="shared" si="6"/>
        <v>6</v>
      </c>
      <c r="E85" s="1050">
        <f t="shared" si="7"/>
        <v>2030</v>
      </c>
      <c r="F85" s="1050">
        <f t="shared" si="13"/>
        <v>47979.34921</v>
      </c>
      <c r="G85" s="1050">
        <f t="shared" si="8"/>
        <v>1524.273691</v>
      </c>
      <c r="H85" s="1050">
        <f t="shared" si="9"/>
        <v>157.9320245</v>
      </c>
      <c r="I85" s="1050">
        <f t="shared" si="10"/>
        <v>40</v>
      </c>
      <c r="J85" s="1051">
        <f t="shared" si="11"/>
        <v>1722.205716</v>
      </c>
      <c r="K85" s="1043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897"/>
      <c r="W85" s="897"/>
      <c r="X85" s="897"/>
      <c r="Y85" s="897"/>
      <c r="Z85" s="897"/>
    </row>
    <row r="86" ht="15.75" customHeight="1">
      <c r="A86" s="308"/>
      <c r="B86" s="1026">
        <v>62.0</v>
      </c>
      <c r="C86" s="1048">
        <f t="shared" si="12"/>
        <v>47679</v>
      </c>
      <c r="D86" s="1049">
        <f t="shared" si="6"/>
        <v>7</v>
      </c>
      <c r="E86" s="1050">
        <f t="shared" si="7"/>
        <v>2030</v>
      </c>
      <c r="F86" s="1050">
        <f t="shared" si="13"/>
        <v>46455.07552</v>
      </c>
      <c r="G86" s="1050">
        <f t="shared" si="8"/>
        <v>1529.291092</v>
      </c>
      <c r="H86" s="1050">
        <f t="shared" si="9"/>
        <v>152.9146236</v>
      </c>
      <c r="I86" s="1050">
        <f t="shared" si="10"/>
        <v>40</v>
      </c>
      <c r="J86" s="1051">
        <f t="shared" si="11"/>
        <v>1722.205716</v>
      </c>
      <c r="K86" s="1043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897"/>
      <c r="W86" s="897"/>
      <c r="X86" s="897"/>
      <c r="Y86" s="897"/>
      <c r="Z86" s="897"/>
    </row>
    <row r="87" ht="15.75" customHeight="1">
      <c r="A87" s="308"/>
      <c r="B87" s="1026">
        <v>63.0</v>
      </c>
      <c r="C87" s="1048">
        <f t="shared" si="12"/>
        <v>47710</v>
      </c>
      <c r="D87" s="1049">
        <f t="shared" si="6"/>
        <v>8</v>
      </c>
      <c r="E87" s="1050">
        <f t="shared" si="7"/>
        <v>2030</v>
      </c>
      <c r="F87" s="1050">
        <f t="shared" si="13"/>
        <v>44925.78443</v>
      </c>
      <c r="G87" s="1050">
        <f t="shared" si="8"/>
        <v>1534.325009</v>
      </c>
      <c r="H87" s="1050">
        <f t="shared" si="9"/>
        <v>147.8807071</v>
      </c>
      <c r="I87" s="1050">
        <f t="shared" si="10"/>
        <v>40</v>
      </c>
      <c r="J87" s="1051">
        <f t="shared" si="11"/>
        <v>1722.205716</v>
      </c>
      <c r="K87" s="1043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897"/>
      <c r="W87" s="897"/>
      <c r="X87" s="897"/>
      <c r="Y87" s="897"/>
      <c r="Z87" s="897"/>
    </row>
    <row r="88" ht="15.75" customHeight="1">
      <c r="A88" s="308"/>
      <c r="B88" s="1026">
        <v>64.0</v>
      </c>
      <c r="C88" s="1048">
        <f t="shared" si="12"/>
        <v>47741</v>
      </c>
      <c r="D88" s="1049">
        <f t="shared" si="6"/>
        <v>9</v>
      </c>
      <c r="E88" s="1050">
        <f t="shared" si="7"/>
        <v>2030</v>
      </c>
      <c r="F88" s="1050">
        <f t="shared" si="13"/>
        <v>43391.45942</v>
      </c>
      <c r="G88" s="1050">
        <f t="shared" si="8"/>
        <v>1539.375495</v>
      </c>
      <c r="H88" s="1050">
        <f t="shared" si="9"/>
        <v>142.8302206</v>
      </c>
      <c r="I88" s="1050">
        <f t="shared" si="10"/>
        <v>40</v>
      </c>
      <c r="J88" s="1051">
        <f t="shared" si="11"/>
        <v>1722.205716</v>
      </c>
      <c r="K88" s="1043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897"/>
      <c r="W88" s="897"/>
      <c r="X88" s="897"/>
      <c r="Y88" s="897"/>
      <c r="Z88" s="897"/>
    </row>
    <row r="89" ht="15.75" customHeight="1">
      <c r="A89" s="308"/>
      <c r="B89" s="1026">
        <v>65.0</v>
      </c>
      <c r="C89" s="1048">
        <f t="shared" si="12"/>
        <v>47771</v>
      </c>
      <c r="D89" s="1049">
        <f t="shared" si="6"/>
        <v>10</v>
      </c>
      <c r="E89" s="1050">
        <f t="shared" si="7"/>
        <v>2030</v>
      </c>
      <c r="F89" s="1050">
        <f t="shared" si="13"/>
        <v>41852.08393</v>
      </c>
      <c r="G89" s="1050">
        <f t="shared" si="8"/>
        <v>1544.442606</v>
      </c>
      <c r="H89" s="1050">
        <f t="shared" si="9"/>
        <v>137.7631096</v>
      </c>
      <c r="I89" s="1050">
        <f t="shared" si="10"/>
        <v>40</v>
      </c>
      <c r="J89" s="1051">
        <f t="shared" si="11"/>
        <v>1722.205716</v>
      </c>
      <c r="K89" s="1043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897"/>
      <c r="W89" s="897"/>
      <c r="X89" s="897"/>
      <c r="Y89" s="897"/>
      <c r="Z89" s="897"/>
    </row>
    <row r="90" ht="15.75" customHeight="1">
      <c r="A90" s="308"/>
      <c r="B90" s="1026">
        <v>66.0</v>
      </c>
      <c r="C90" s="1048">
        <f t="shared" si="12"/>
        <v>47802</v>
      </c>
      <c r="D90" s="1049">
        <f t="shared" si="6"/>
        <v>11</v>
      </c>
      <c r="E90" s="1050">
        <f t="shared" si="7"/>
        <v>2030</v>
      </c>
      <c r="F90" s="1050">
        <f t="shared" si="13"/>
        <v>40307.64132</v>
      </c>
      <c r="G90" s="1050">
        <f t="shared" si="8"/>
        <v>1549.526397</v>
      </c>
      <c r="H90" s="1050">
        <f t="shared" si="9"/>
        <v>132.6793193</v>
      </c>
      <c r="I90" s="1050">
        <f t="shared" si="10"/>
        <v>40</v>
      </c>
      <c r="J90" s="1051">
        <f t="shared" si="11"/>
        <v>1722.205716</v>
      </c>
      <c r="K90" s="1043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897"/>
      <c r="W90" s="897"/>
      <c r="X90" s="897"/>
      <c r="Y90" s="897"/>
      <c r="Z90" s="897"/>
    </row>
    <row r="91" ht="15.75" customHeight="1">
      <c r="A91" s="308"/>
      <c r="B91" s="1026">
        <v>67.0</v>
      </c>
      <c r="C91" s="1048">
        <f t="shared" si="12"/>
        <v>47832</v>
      </c>
      <c r="D91" s="1049">
        <f t="shared" si="6"/>
        <v>12</v>
      </c>
      <c r="E91" s="1050">
        <f t="shared" si="7"/>
        <v>2030</v>
      </c>
      <c r="F91" s="1050">
        <f t="shared" si="13"/>
        <v>38758.11492</v>
      </c>
      <c r="G91" s="1050">
        <f t="shared" si="8"/>
        <v>1554.626921</v>
      </c>
      <c r="H91" s="1050">
        <f t="shared" si="9"/>
        <v>127.578795</v>
      </c>
      <c r="I91" s="1050">
        <f t="shared" si="10"/>
        <v>40</v>
      </c>
      <c r="J91" s="1051">
        <f t="shared" si="11"/>
        <v>1722.205716</v>
      </c>
      <c r="K91" s="1043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897"/>
      <c r="W91" s="897"/>
      <c r="X91" s="897"/>
      <c r="Y91" s="897"/>
      <c r="Z91" s="897"/>
    </row>
    <row r="92" ht="15.75" customHeight="1">
      <c r="A92" s="308"/>
      <c r="B92" s="1026">
        <v>68.0</v>
      </c>
      <c r="C92" s="1048">
        <f t="shared" si="12"/>
        <v>47863</v>
      </c>
      <c r="D92" s="1049">
        <f t="shared" si="6"/>
        <v>1</v>
      </c>
      <c r="E92" s="1050">
        <f t="shared" si="7"/>
        <v>2031</v>
      </c>
      <c r="F92" s="1050">
        <f t="shared" si="13"/>
        <v>37203.488</v>
      </c>
      <c r="G92" s="1050">
        <f t="shared" si="8"/>
        <v>1559.744235</v>
      </c>
      <c r="H92" s="1050">
        <f t="shared" si="9"/>
        <v>122.4614813</v>
      </c>
      <c r="I92" s="1050">
        <f t="shared" si="10"/>
        <v>40</v>
      </c>
      <c r="J92" s="1051">
        <f t="shared" si="11"/>
        <v>1722.205716</v>
      </c>
      <c r="K92" s="1043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897"/>
      <c r="W92" s="897"/>
      <c r="X92" s="897"/>
      <c r="Y92" s="897"/>
      <c r="Z92" s="897"/>
    </row>
    <row r="93" ht="15.75" customHeight="1">
      <c r="A93" s="308"/>
      <c r="B93" s="1026">
        <v>69.0</v>
      </c>
      <c r="C93" s="1048">
        <f t="shared" si="12"/>
        <v>47894</v>
      </c>
      <c r="D93" s="1049">
        <f t="shared" si="6"/>
        <v>2</v>
      </c>
      <c r="E93" s="1050">
        <f t="shared" si="7"/>
        <v>2031</v>
      </c>
      <c r="F93" s="1050">
        <f t="shared" si="13"/>
        <v>35643.74377</v>
      </c>
      <c r="G93" s="1050">
        <f t="shared" si="8"/>
        <v>1564.878393</v>
      </c>
      <c r="H93" s="1050">
        <f t="shared" si="9"/>
        <v>117.3273232</v>
      </c>
      <c r="I93" s="1050">
        <f t="shared" si="10"/>
        <v>40</v>
      </c>
      <c r="J93" s="1051">
        <f t="shared" si="11"/>
        <v>1722.205716</v>
      </c>
      <c r="K93" s="1043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897"/>
      <c r="W93" s="897"/>
      <c r="X93" s="897"/>
      <c r="Y93" s="897"/>
      <c r="Z93" s="897"/>
    </row>
    <row r="94" ht="15.75" customHeight="1">
      <c r="A94" s="308"/>
      <c r="B94" s="1026">
        <v>70.0</v>
      </c>
      <c r="C94" s="1048">
        <f t="shared" si="12"/>
        <v>47922</v>
      </c>
      <c r="D94" s="1049">
        <f t="shared" si="6"/>
        <v>3</v>
      </c>
      <c r="E94" s="1050">
        <f t="shared" si="7"/>
        <v>2031</v>
      </c>
      <c r="F94" s="1050">
        <f t="shared" si="13"/>
        <v>34078.86538</v>
      </c>
      <c r="G94" s="1050">
        <f t="shared" si="8"/>
        <v>1570.029451</v>
      </c>
      <c r="H94" s="1050">
        <f t="shared" si="9"/>
        <v>112.1762652</v>
      </c>
      <c r="I94" s="1050">
        <f t="shared" si="10"/>
        <v>40</v>
      </c>
      <c r="J94" s="1051">
        <f t="shared" si="11"/>
        <v>1722.205716</v>
      </c>
      <c r="K94" s="1043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897"/>
      <c r="W94" s="897"/>
      <c r="X94" s="897"/>
      <c r="Y94" s="897"/>
      <c r="Z94" s="897"/>
    </row>
    <row r="95" ht="15.75" customHeight="1">
      <c r="A95" s="308"/>
      <c r="B95" s="1026">
        <v>71.0</v>
      </c>
      <c r="C95" s="1048">
        <f t="shared" si="12"/>
        <v>47953</v>
      </c>
      <c r="D95" s="1049">
        <f t="shared" si="6"/>
        <v>4</v>
      </c>
      <c r="E95" s="1050">
        <f t="shared" si="7"/>
        <v>2031</v>
      </c>
      <c r="F95" s="1050">
        <f t="shared" si="13"/>
        <v>32508.83592</v>
      </c>
      <c r="G95" s="1050">
        <f t="shared" si="8"/>
        <v>1575.197464</v>
      </c>
      <c r="H95" s="1050">
        <f t="shared" si="9"/>
        <v>107.0082516</v>
      </c>
      <c r="I95" s="1050">
        <f t="shared" si="10"/>
        <v>40</v>
      </c>
      <c r="J95" s="1051">
        <f t="shared" si="11"/>
        <v>1722.205716</v>
      </c>
      <c r="K95" s="1043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897"/>
      <c r="W95" s="897"/>
      <c r="X95" s="897"/>
      <c r="Y95" s="897"/>
      <c r="Z95" s="897"/>
    </row>
    <row r="96" ht="15.75" customHeight="1">
      <c r="A96" s="308"/>
      <c r="B96" s="1026">
        <v>72.0</v>
      </c>
      <c r="C96" s="1048">
        <f t="shared" si="12"/>
        <v>47983</v>
      </c>
      <c r="D96" s="1049">
        <f t="shared" si="6"/>
        <v>5</v>
      </c>
      <c r="E96" s="1050">
        <f t="shared" si="7"/>
        <v>2031</v>
      </c>
      <c r="F96" s="1050">
        <f t="shared" si="13"/>
        <v>30933.63846</v>
      </c>
      <c r="G96" s="1050">
        <f t="shared" si="8"/>
        <v>1580.382489</v>
      </c>
      <c r="H96" s="1050">
        <f t="shared" si="9"/>
        <v>101.8232266</v>
      </c>
      <c r="I96" s="1050">
        <f t="shared" si="10"/>
        <v>40</v>
      </c>
      <c r="J96" s="1051">
        <f t="shared" si="11"/>
        <v>1722.205716</v>
      </c>
      <c r="K96" s="1043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897"/>
      <c r="W96" s="897"/>
      <c r="X96" s="897"/>
      <c r="Y96" s="897"/>
      <c r="Z96" s="897"/>
    </row>
    <row r="97" ht="15.75" customHeight="1">
      <c r="A97" s="308"/>
      <c r="B97" s="1026">
        <v>73.0</v>
      </c>
      <c r="C97" s="1048">
        <f t="shared" si="12"/>
        <v>48014</v>
      </c>
      <c r="D97" s="1049">
        <f t="shared" si="6"/>
        <v>6</v>
      </c>
      <c r="E97" s="1050">
        <f t="shared" si="7"/>
        <v>2031</v>
      </c>
      <c r="F97" s="1050">
        <f t="shared" si="13"/>
        <v>29353.25597</v>
      </c>
      <c r="G97" s="1050">
        <f t="shared" si="8"/>
        <v>1585.584582</v>
      </c>
      <c r="H97" s="1050">
        <f t="shared" si="9"/>
        <v>96.62113424</v>
      </c>
      <c r="I97" s="1050">
        <f t="shared" si="10"/>
        <v>40</v>
      </c>
      <c r="J97" s="1051">
        <f t="shared" si="11"/>
        <v>1722.205716</v>
      </c>
      <c r="K97" s="1043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897"/>
      <c r="W97" s="897"/>
      <c r="X97" s="897"/>
      <c r="Y97" s="897"/>
      <c r="Z97" s="897"/>
    </row>
    <row r="98" ht="15.75" customHeight="1">
      <c r="A98" s="308"/>
      <c r="B98" s="1026">
        <v>74.0</v>
      </c>
      <c r="C98" s="1048">
        <f t="shared" si="12"/>
        <v>48044</v>
      </c>
      <c r="D98" s="1049">
        <f t="shared" si="6"/>
        <v>7</v>
      </c>
      <c r="E98" s="1050">
        <f t="shared" si="7"/>
        <v>2031</v>
      </c>
      <c r="F98" s="1050">
        <f t="shared" si="13"/>
        <v>27767.67139</v>
      </c>
      <c r="G98" s="1050">
        <f t="shared" si="8"/>
        <v>1590.803798</v>
      </c>
      <c r="H98" s="1050">
        <f t="shared" si="9"/>
        <v>91.40191832</v>
      </c>
      <c r="I98" s="1050">
        <f t="shared" si="10"/>
        <v>40</v>
      </c>
      <c r="J98" s="1051">
        <f t="shared" si="11"/>
        <v>1722.205716</v>
      </c>
      <c r="K98" s="1043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897"/>
      <c r="W98" s="897"/>
      <c r="X98" s="897"/>
      <c r="Y98" s="897"/>
      <c r="Z98" s="897"/>
    </row>
    <row r="99" ht="15.75" customHeight="1">
      <c r="A99" s="308"/>
      <c r="B99" s="1026">
        <v>75.0</v>
      </c>
      <c r="C99" s="1048">
        <f t="shared" si="12"/>
        <v>48075</v>
      </c>
      <c r="D99" s="1049">
        <f t="shared" si="6"/>
        <v>8</v>
      </c>
      <c r="E99" s="1050">
        <f t="shared" si="7"/>
        <v>2031</v>
      </c>
      <c r="F99" s="1050">
        <f t="shared" si="13"/>
        <v>26176.86759</v>
      </c>
      <c r="G99" s="1050">
        <f t="shared" si="8"/>
        <v>1596.040193</v>
      </c>
      <c r="H99" s="1050">
        <f t="shared" si="9"/>
        <v>86.16552249</v>
      </c>
      <c r="I99" s="1050">
        <f t="shared" si="10"/>
        <v>40</v>
      </c>
      <c r="J99" s="1051">
        <f t="shared" si="11"/>
        <v>1722.205716</v>
      </c>
      <c r="K99" s="1043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897"/>
      <c r="W99" s="897"/>
      <c r="X99" s="897"/>
      <c r="Y99" s="897"/>
      <c r="Z99" s="897"/>
    </row>
    <row r="100" ht="15.75" customHeight="1">
      <c r="A100" s="308"/>
      <c r="B100" s="1026">
        <v>76.0</v>
      </c>
      <c r="C100" s="1048">
        <f t="shared" si="12"/>
        <v>48106</v>
      </c>
      <c r="D100" s="1049">
        <f t="shared" si="6"/>
        <v>9</v>
      </c>
      <c r="E100" s="1050">
        <f t="shared" si="7"/>
        <v>2031</v>
      </c>
      <c r="F100" s="1050">
        <f t="shared" si="13"/>
        <v>24580.8274</v>
      </c>
      <c r="G100" s="1050">
        <f t="shared" si="8"/>
        <v>1601.293826</v>
      </c>
      <c r="H100" s="1050">
        <f t="shared" si="9"/>
        <v>80.91189019</v>
      </c>
      <c r="I100" s="1050">
        <f t="shared" si="10"/>
        <v>40</v>
      </c>
      <c r="J100" s="1051">
        <f t="shared" si="11"/>
        <v>1722.205716</v>
      </c>
      <c r="K100" s="1043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897"/>
      <c r="W100" s="897"/>
      <c r="X100" s="897"/>
      <c r="Y100" s="897"/>
      <c r="Z100" s="897"/>
    </row>
    <row r="101" ht="15.75" customHeight="1">
      <c r="A101" s="308"/>
      <c r="B101" s="1026">
        <v>77.0</v>
      </c>
      <c r="C101" s="1048">
        <f t="shared" si="12"/>
        <v>48136</v>
      </c>
      <c r="D101" s="1049">
        <f t="shared" si="6"/>
        <v>10</v>
      </c>
      <c r="E101" s="1050">
        <f t="shared" si="7"/>
        <v>2031</v>
      </c>
      <c r="F101" s="1050">
        <f t="shared" si="13"/>
        <v>22979.53357</v>
      </c>
      <c r="G101" s="1050">
        <f t="shared" si="8"/>
        <v>1606.564751</v>
      </c>
      <c r="H101" s="1050">
        <f t="shared" si="9"/>
        <v>75.64096468</v>
      </c>
      <c r="I101" s="1050">
        <f t="shared" si="10"/>
        <v>40</v>
      </c>
      <c r="J101" s="1051">
        <f t="shared" si="11"/>
        <v>1722.205716</v>
      </c>
      <c r="K101" s="1043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897"/>
      <c r="W101" s="897"/>
      <c r="X101" s="897"/>
      <c r="Y101" s="897"/>
      <c r="Z101" s="897"/>
    </row>
    <row r="102" ht="15.75" customHeight="1">
      <c r="A102" s="308"/>
      <c r="B102" s="1026">
        <v>78.0</v>
      </c>
      <c r="C102" s="1048">
        <f t="shared" si="12"/>
        <v>48167</v>
      </c>
      <c r="D102" s="1049">
        <f t="shared" si="6"/>
        <v>11</v>
      </c>
      <c r="E102" s="1050">
        <f t="shared" si="7"/>
        <v>2031</v>
      </c>
      <c r="F102" s="1050">
        <f t="shared" si="13"/>
        <v>21372.96882</v>
      </c>
      <c r="G102" s="1050">
        <f t="shared" si="8"/>
        <v>1611.853027</v>
      </c>
      <c r="H102" s="1050">
        <f t="shared" si="9"/>
        <v>70.35268904</v>
      </c>
      <c r="I102" s="1050">
        <f t="shared" si="10"/>
        <v>40</v>
      </c>
      <c r="J102" s="1051">
        <f t="shared" si="11"/>
        <v>1722.205716</v>
      </c>
      <c r="K102" s="1043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897"/>
      <c r="W102" s="897"/>
      <c r="X102" s="897"/>
      <c r="Y102" s="897"/>
      <c r="Z102" s="897"/>
    </row>
    <row r="103" ht="15.75" customHeight="1">
      <c r="A103" s="308"/>
      <c r="B103" s="1026">
        <v>79.0</v>
      </c>
      <c r="C103" s="1048">
        <f t="shared" si="12"/>
        <v>48197</v>
      </c>
      <c r="D103" s="1049">
        <f t="shared" si="6"/>
        <v>12</v>
      </c>
      <c r="E103" s="1050">
        <f t="shared" si="7"/>
        <v>2031</v>
      </c>
      <c r="F103" s="1050">
        <f t="shared" si="13"/>
        <v>19761.11579</v>
      </c>
      <c r="G103" s="1050">
        <f t="shared" si="8"/>
        <v>1617.15871</v>
      </c>
      <c r="H103" s="1050">
        <f t="shared" si="9"/>
        <v>65.04700616</v>
      </c>
      <c r="I103" s="1050">
        <f t="shared" si="10"/>
        <v>40</v>
      </c>
      <c r="J103" s="1051">
        <f t="shared" si="11"/>
        <v>1722.205716</v>
      </c>
      <c r="K103" s="1043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897"/>
      <c r="W103" s="897"/>
      <c r="X103" s="897"/>
      <c r="Y103" s="897"/>
      <c r="Z103" s="897"/>
    </row>
    <row r="104" ht="15.75" customHeight="1">
      <c r="A104" s="308"/>
      <c r="B104" s="1026">
        <v>80.0</v>
      </c>
      <c r="C104" s="1048">
        <f t="shared" si="12"/>
        <v>48228</v>
      </c>
      <c r="D104" s="1049">
        <f t="shared" si="6"/>
        <v>1</v>
      </c>
      <c r="E104" s="1050">
        <f t="shared" si="7"/>
        <v>2032</v>
      </c>
      <c r="F104" s="1050">
        <f t="shared" si="13"/>
        <v>18143.95708</v>
      </c>
      <c r="G104" s="1050">
        <f t="shared" si="8"/>
        <v>1622.481857</v>
      </c>
      <c r="H104" s="1050">
        <f t="shared" si="9"/>
        <v>59.72385874</v>
      </c>
      <c r="I104" s="1050">
        <f t="shared" si="10"/>
        <v>40</v>
      </c>
      <c r="J104" s="1051">
        <f t="shared" si="11"/>
        <v>1722.205716</v>
      </c>
      <c r="K104" s="1043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897"/>
      <c r="W104" s="897"/>
      <c r="X104" s="897"/>
      <c r="Y104" s="897"/>
      <c r="Z104" s="897"/>
    </row>
    <row r="105" ht="15.75" customHeight="1">
      <c r="A105" s="308"/>
      <c r="B105" s="1026">
        <v>81.0</v>
      </c>
      <c r="C105" s="1048">
        <f t="shared" si="12"/>
        <v>48259</v>
      </c>
      <c r="D105" s="1049">
        <f t="shared" si="6"/>
        <v>2</v>
      </c>
      <c r="E105" s="1050">
        <f t="shared" si="7"/>
        <v>2032</v>
      </c>
      <c r="F105" s="1050">
        <f t="shared" si="13"/>
        <v>16521.47523</v>
      </c>
      <c r="G105" s="1050">
        <f t="shared" si="8"/>
        <v>1627.822527</v>
      </c>
      <c r="H105" s="1050">
        <f t="shared" si="9"/>
        <v>54.38318929</v>
      </c>
      <c r="I105" s="1050">
        <f t="shared" si="10"/>
        <v>40</v>
      </c>
      <c r="J105" s="1051">
        <f t="shared" si="11"/>
        <v>1722.205716</v>
      </c>
      <c r="K105" s="1043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897"/>
      <c r="W105" s="897"/>
      <c r="X105" s="897"/>
      <c r="Y105" s="897"/>
      <c r="Z105" s="897"/>
    </row>
    <row r="106" ht="15.75" customHeight="1">
      <c r="A106" s="308"/>
      <c r="B106" s="1026">
        <v>82.0</v>
      </c>
      <c r="C106" s="1048">
        <f t="shared" si="12"/>
        <v>48288</v>
      </c>
      <c r="D106" s="1049">
        <f t="shared" si="6"/>
        <v>3</v>
      </c>
      <c r="E106" s="1050">
        <f t="shared" si="7"/>
        <v>2032</v>
      </c>
      <c r="F106" s="1050">
        <f t="shared" si="13"/>
        <v>14893.6527</v>
      </c>
      <c r="G106" s="1050">
        <f t="shared" si="8"/>
        <v>1633.180776</v>
      </c>
      <c r="H106" s="1050">
        <f t="shared" si="9"/>
        <v>49.02494014</v>
      </c>
      <c r="I106" s="1050">
        <f t="shared" si="10"/>
        <v>40</v>
      </c>
      <c r="J106" s="1051">
        <f t="shared" si="11"/>
        <v>1722.205716</v>
      </c>
      <c r="K106" s="1043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897"/>
      <c r="W106" s="897"/>
      <c r="X106" s="897"/>
      <c r="Y106" s="897"/>
      <c r="Z106" s="897"/>
    </row>
    <row r="107" ht="15.75" customHeight="1">
      <c r="A107" s="308"/>
      <c r="B107" s="1026">
        <v>83.0</v>
      </c>
      <c r="C107" s="1048">
        <f t="shared" si="12"/>
        <v>48319</v>
      </c>
      <c r="D107" s="1049">
        <f t="shared" si="6"/>
        <v>4</v>
      </c>
      <c r="E107" s="1050">
        <f t="shared" si="7"/>
        <v>2032</v>
      </c>
      <c r="F107" s="1050">
        <f t="shared" si="13"/>
        <v>13260.47192</v>
      </c>
      <c r="G107" s="1050">
        <f t="shared" si="8"/>
        <v>1638.556663</v>
      </c>
      <c r="H107" s="1050">
        <f t="shared" si="9"/>
        <v>43.64905342</v>
      </c>
      <c r="I107" s="1050">
        <f t="shared" si="10"/>
        <v>40</v>
      </c>
      <c r="J107" s="1051">
        <f t="shared" si="11"/>
        <v>1722.205716</v>
      </c>
      <c r="K107" s="1043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897"/>
      <c r="W107" s="897"/>
      <c r="X107" s="897"/>
      <c r="Y107" s="897"/>
      <c r="Z107" s="897"/>
    </row>
    <row r="108" ht="15.75" customHeight="1">
      <c r="A108" s="308"/>
      <c r="B108" s="1026">
        <v>84.0</v>
      </c>
      <c r="C108" s="1048">
        <f t="shared" si="12"/>
        <v>48349</v>
      </c>
      <c r="D108" s="1049">
        <f t="shared" si="6"/>
        <v>5</v>
      </c>
      <c r="E108" s="1050">
        <f t="shared" si="7"/>
        <v>2032</v>
      </c>
      <c r="F108" s="1050">
        <f t="shared" si="13"/>
        <v>11621.91526</v>
      </c>
      <c r="G108" s="1050">
        <f t="shared" si="8"/>
        <v>1643.950245</v>
      </c>
      <c r="H108" s="1050">
        <f t="shared" si="9"/>
        <v>38.25547107</v>
      </c>
      <c r="I108" s="1050">
        <f t="shared" si="10"/>
        <v>40</v>
      </c>
      <c r="J108" s="1051">
        <f t="shared" si="11"/>
        <v>1722.205716</v>
      </c>
      <c r="K108" s="1043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897"/>
      <c r="W108" s="897"/>
      <c r="X108" s="897"/>
      <c r="Y108" s="897"/>
      <c r="Z108" s="897"/>
    </row>
    <row r="109" ht="15.75" customHeight="1">
      <c r="A109" s="308"/>
      <c r="B109" s="1026">
        <v>85.0</v>
      </c>
      <c r="C109" s="1048">
        <f t="shared" si="12"/>
        <v>48380</v>
      </c>
      <c r="D109" s="1049">
        <f t="shared" si="6"/>
        <v>6</v>
      </c>
      <c r="E109" s="1050">
        <f t="shared" si="7"/>
        <v>2032</v>
      </c>
      <c r="F109" s="1050">
        <f t="shared" si="13"/>
        <v>9977.965017</v>
      </c>
      <c r="G109" s="1050">
        <f t="shared" si="8"/>
        <v>1649.361581</v>
      </c>
      <c r="H109" s="1050">
        <f t="shared" si="9"/>
        <v>32.84413485</v>
      </c>
      <c r="I109" s="1050">
        <f t="shared" si="10"/>
        <v>40</v>
      </c>
      <c r="J109" s="1051">
        <f t="shared" si="11"/>
        <v>1722.205716</v>
      </c>
      <c r="K109" s="1043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897"/>
      <c r="W109" s="897"/>
      <c r="X109" s="897"/>
      <c r="Y109" s="897"/>
      <c r="Z109" s="897"/>
    </row>
    <row r="110" ht="15.75" customHeight="1">
      <c r="A110" s="308"/>
      <c r="B110" s="1026">
        <v>86.0</v>
      </c>
      <c r="C110" s="1048">
        <f t="shared" si="12"/>
        <v>48410</v>
      </c>
      <c r="D110" s="1049">
        <f t="shared" si="6"/>
        <v>7</v>
      </c>
      <c r="E110" s="1050">
        <f t="shared" si="7"/>
        <v>2032</v>
      </c>
      <c r="F110" s="1050">
        <f t="shared" si="13"/>
        <v>8328.603436</v>
      </c>
      <c r="G110" s="1050">
        <f t="shared" si="8"/>
        <v>1654.79073</v>
      </c>
      <c r="H110" s="1050">
        <f t="shared" si="9"/>
        <v>27.41498631</v>
      </c>
      <c r="I110" s="1050">
        <f t="shared" si="10"/>
        <v>40</v>
      </c>
      <c r="J110" s="1051">
        <f t="shared" si="11"/>
        <v>1722.205716</v>
      </c>
      <c r="K110" s="1043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897"/>
      <c r="W110" s="897"/>
      <c r="X110" s="897"/>
      <c r="Y110" s="897"/>
      <c r="Z110" s="897"/>
    </row>
    <row r="111" ht="15.75" customHeight="1">
      <c r="A111" s="308"/>
      <c r="B111" s="1026">
        <v>87.0</v>
      </c>
      <c r="C111" s="1048">
        <f t="shared" si="12"/>
        <v>48441</v>
      </c>
      <c r="D111" s="1049">
        <f t="shared" si="6"/>
        <v>8</v>
      </c>
      <c r="E111" s="1050">
        <f t="shared" si="7"/>
        <v>2032</v>
      </c>
      <c r="F111" s="1050">
        <f t="shared" si="13"/>
        <v>6673.812706</v>
      </c>
      <c r="G111" s="1050">
        <f t="shared" si="8"/>
        <v>1660.237749</v>
      </c>
      <c r="H111" s="1050">
        <f t="shared" si="9"/>
        <v>21.96796683</v>
      </c>
      <c r="I111" s="1050">
        <f t="shared" si="10"/>
        <v>40</v>
      </c>
      <c r="J111" s="1051">
        <f t="shared" si="11"/>
        <v>1722.205716</v>
      </c>
      <c r="K111" s="1043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897"/>
      <c r="W111" s="897"/>
      <c r="X111" s="897"/>
      <c r="Y111" s="897"/>
      <c r="Z111" s="897"/>
    </row>
    <row r="112" ht="15.75" customHeight="1">
      <c r="A112" s="308"/>
      <c r="B112" s="1026">
        <v>88.0</v>
      </c>
      <c r="C112" s="1048">
        <f t="shared" si="12"/>
        <v>48472</v>
      </c>
      <c r="D112" s="1049">
        <f t="shared" si="6"/>
        <v>9</v>
      </c>
      <c r="E112" s="1050">
        <f t="shared" si="7"/>
        <v>2032</v>
      </c>
      <c r="F112" s="1050">
        <f t="shared" si="13"/>
        <v>5013.574957</v>
      </c>
      <c r="G112" s="1050">
        <f t="shared" si="8"/>
        <v>1665.702698</v>
      </c>
      <c r="H112" s="1050">
        <f t="shared" si="9"/>
        <v>16.50301757</v>
      </c>
      <c r="I112" s="1050">
        <f t="shared" si="10"/>
        <v>40</v>
      </c>
      <c r="J112" s="1051">
        <f t="shared" si="11"/>
        <v>1722.205716</v>
      </c>
      <c r="K112" s="1043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897"/>
      <c r="W112" s="897"/>
      <c r="X112" s="897"/>
      <c r="Y112" s="897"/>
      <c r="Z112" s="897"/>
    </row>
    <row r="113" ht="15.75" customHeight="1">
      <c r="A113" s="308"/>
      <c r="B113" s="1026">
        <v>89.0</v>
      </c>
      <c r="C113" s="1048">
        <f t="shared" si="12"/>
        <v>48502</v>
      </c>
      <c r="D113" s="1049">
        <f t="shared" si="6"/>
        <v>10</v>
      </c>
      <c r="E113" s="1050">
        <f t="shared" si="7"/>
        <v>2032</v>
      </c>
      <c r="F113" s="1050">
        <f t="shared" si="13"/>
        <v>3347.872259</v>
      </c>
      <c r="G113" s="1050">
        <f t="shared" si="8"/>
        <v>1671.185636</v>
      </c>
      <c r="H113" s="1050">
        <f t="shared" si="9"/>
        <v>11.02007952</v>
      </c>
      <c r="I113" s="1050">
        <f t="shared" si="10"/>
        <v>40</v>
      </c>
      <c r="J113" s="1051">
        <f t="shared" si="11"/>
        <v>1722.205716</v>
      </c>
      <c r="K113" s="1043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897"/>
      <c r="W113" s="897"/>
      <c r="X113" s="897"/>
      <c r="Y113" s="897"/>
      <c r="Z113" s="897"/>
    </row>
    <row r="114" ht="15.75" customHeight="1">
      <c r="A114" s="308"/>
      <c r="B114" s="1026">
        <v>90.0</v>
      </c>
      <c r="C114" s="1048">
        <f t="shared" si="12"/>
        <v>48533</v>
      </c>
      <c r="D114" s="1049">
        <f t="shared" si="6"/>
        <v>11</v>
      </c>
      <c r="E114" s="1050">
        <f t="shared" si="7"/>
        <v>2032</v>
      </c>
      <c r="F114" s="1050">
        <f t="shared" si="13"/>
        <v>1676.686622</v>
      </c>
      <c r="G114" s="1050">
        <f t="shared" si="8"/>
        <v>1676.686622</v>
      </c>
      <c r="H114" s="1050">
        <f t="shared" si="9"/>
        <v>5.519093466</v>
      </c>
      <c r="I114" s="1050">
        <f t="shared" si="10"/>
        <v>40</v>
      </c>
      <c r="J114" s="1051">
        <f t="shared" si="11"/>
        <v>1722.205716</v>
      </c>
      <c r="K114" s="1043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897"/>
      <c r="W114" s="897"/>
      <c r="X114" s="897"/>
      <c r="Y114" s="897"/>
      <c r="Z114" s="897"/>
    </row>
    <row r="115" ht="15.75" customHeight="1">
      <c r="A115" s="308"/>
      <c r="B115" s="1026">
        <v>91.0</v>
      </c>
      <c r="C115" s="1048">
        <f t="shared" si="12"/>
        <v>48563</v>
      </c>
      <c r="D115" s="1049">
        <f t="shared" si="6"/>
        <v>12</v>
      </c>
      <c r="E115" s="1050">
        <f t="shared" si="7"/>
        <v>2032</v>
      </c>
      <c r="F115" s="1050">
        <f t="shared" si="13"/>
        <v>0.000000001084572432</v>
      </c>
      <c r="G115" s="1050">
        <f t="shared" si="8"/>
        <v>0</v>
      </c>
      <c r="H115" s="1050">
        <f t="shared" si="9"/>
        <v>0</v>
      </c>
      <c r="I115" s="1050">
        <f t="shared" si="10"/>
        <v>0</v>
      </c>
      <c r="J115" s="1051">
        <f t="shared" si="11"/>
        <v>0</v>
      </c>
      <c r="K115" s="1043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897"/>
      <c r="W115" s="897"/>
      <c r="X115" s="897"/>
      <c r="Y115" s="897"/>
      <c r="Z115" s="897"/>
    </row>
    <row r="116" ht="15.75" customHeight="1">
      <c r="A116" s="308"/>
      <c r="B116" s="1026">
        <v>92.0</v>
      </c>
      <c r="C116" s="1048">
        <f t="shared" si="12"/>
        <v>48594</v>
      </c>
      <c r="D116" s="1049">
        <f t="shared" si="6"/>
        <v>1</v>
      </c>
      <c r="E116" s="1050">
        <f t="shared" si="7"/>
        <v>2033</v>
      </c>
      <c r="F116" s="1050">
        <f t="shared" si="13"/>
        <v>0.000000001088142483</v>
      </c>
      <c r="G116" s="1050">
        <f t="shared" si="8"/>
        <v>0</v>
      </c>
      <c r="H116" s="1050">
        <f t="shared" si="9"/>
        <v>0</v>
      </c>
      <c r="I116" s="1050">
        <f t="shared" si="10"/>
        <v>0</v>
      </c>
      <c r="J116" s="1051">
        <f t="shared" si="11"/>
        <v>0</v>
      </c>
      <c r="K116" s="1043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897"/>
      <c r="W116" s="897"/>
      <c r="X116" s="897"/>
      <c r="Y116" s="897"/>
      <c r="Z116" s="897"/>
    </row>
    <row r="117" ht="15.75" customHeight="1">
      <c r="A117" s="308"/>
      <c r="B117" s="1026">
        <v>93.0</v>
      </c>
      <c r="C117" s="1048">
        <f t="shared" si="12"/>
        <v>48625</v>
      </c>
      <c r="D117" s="1049">
        <f t="shared" si="6"/>
        <v>2</v>
      </c>
      <c r="E117" s="1050">
        <f t="shared" si="7"/>
        <v>2033</v>
      </c>
      <c r="F117" s="1050">
        <f t="shared" si="13"/>
        <v>0.000000001091724285</v>
      </c>
      <c r="G117" s="1050">
        <f t="shared" si="8"/>
        <v>0</v>
      </c>
      <c r="H117" s="1050">
        <f t="shared" si="9"/>
        <v>0</v>
      </c>
      <c r="I117" s="1050">
        <f t="shared" si="10"/>
        <v>0</v>
      </c>
      <c r="J117" s="1051">
        <f t="shared" si="11"/>
        <v>0</v>
      </c>
      <c r="K117" s="1043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897"/>
      <c r="W117" s="897"/>
      <c r="X117" s="897"/>
      <c r="Y117" s="897"/>
      <c r="Z117" s="897"/>
    </row>
    <row r="118" ht="15.75" customHeight="1">
      <c r="A118" s="308"/>
      <c r="B118" s="1026">
        <v>94.0</v>
      </c>
      <c r="C118" s="1048">
        <f t="shared" si="12"/>
        <v>48653</v>
      </c>
      <c r="D118" s="1049">
        <f t="shared" si="6"/>
        <v>3</v>
      </c>
      <c r="E118" s="1050">
        <f t="shared" si="7"/>
        <v>2033</v>
      </c>
      <c r="F118" s="1050">
        <f t="shared" si="13"/>
        <v>0.000000001095317878</v>
      </c>
      <c r="G118" s="1050">
        <f t="shared" si="8"/>
        <v>0</v>
      </c>
      <c r="H118" s="1050">
        <f t="shared" si="9"/>
        <v>0</v>
      </c>
      <c r="I118" s="1050">
        <f t="shared" si="10"/>
        <v>0</v>
      </c>
      <c r="J118" s="1051">
        <f t="shared" si="11"/>
        <v>0</v>
      </c>
      <c r="K118" s="1043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897"/>
      <c r="W118" s="897"/>
      <c r="X118" s="897"/>
      <c r="Y118" s="897"/>
      <c r="Z118" s="897"/>
    </row>
    <row r="119" ht="15.75" customHeight="1">
      <c r="A119" s="308"/>
      <c r="B119" s="1026">
        <v>95.0</v>
      </c>
      <c r="C119" s="1048">
        <f t="shared" si="12"/>
        <v>48684</v>
      </c>
      <c r="D119" s="1049">
        <f t="shared" si="6"/>
        <v>4</v>
      </c>
      <c r="E119" s="1050">
        <f t="shared" si="7"/>
        <v>2033</v>
      </c>
      <c r="F119" s="1050">
        <f t="shared" si="13"/>
        <v>0.000000001098923299</v>
      </c>
      <c r="G119" s="1050">
        <f t="shared" si="8"/>
        <v>0</v>
      </c>
      <c r="H119" s="1050">
        <f t="shared" si="9"/>
        <v>0</v>
      </c>
      <c r="I119" s="1050">
        <f t="shared" si="10"/>
        <v>0</v>
      </c>
      <c r="J119" s="1051">
        <f t="shared" si="11"/>
        <v>0</v>
      </c>
      <c r="K119" s="1043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897"/>
      <c r="W119" s="897"/>
      <c r="X119" s="897"/>
      <c r="Y119" s="897"/>
      <c r="Z119" s="897"/>
    </row>
    <row r="120" ht="15.75" customHeight="1">
      <c r="A120" s="308"/>
      <c r="B120" s="1026">
        <v>96.0</v>
      </c>
      <c r="C120" s="1048">
        <f t="shared" si="12"/>
        <v>48714</v>
      </c>
      <c r="D120" s="1049">
        <f t="shared" si="6"/>
        <v>5</v>
      </c>
      <c r="E120" s="1050">
        <f t="shared" si="7"/>
        <v>2033</v>
      </c>
      <c r="F120" s="1050">
        <f t="shared" si="13"/>
        <v>0.000000001102540588</v>
      </c>
      <c r="G120" s="1050">
        <f t="shared" si="8"/>
        <v>0</v>
      </c>
      <c r="H120" s="1050">
        <f t="shared" si="9"/>
        <v>0</v>
      </c>
      <c r="I120" s="1050">
        <f t="shared" si="10"/>
        <v>0</v>
      </c>
      <c r="J120" s="1051">
        <f t="shared" si="11"/>
        <v>0</v>
      </c>
      <c r="K120" s="1043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897"/>
      <c r="W120" s="897"/>
      <c r="X120" s="897"/>
      <c r="Y120" s="897"/>
      <c r="Z120" s="897"/>
    </row>
    <row r="121" ht="15.75" customHeight="1">
      <c r="A121" s="308"/>
      <c r="B121" s="1026">
        <v>97.0</v>
      </c>
      <c r="C121" s="1048">
        <f t="shared" si="12"/>
        <v>48745</v>
      </c>
      <c r="D121" s="1049">
        <f t="shared" si="6"/>
        <v>6</v>
      </c>
      <c r="E121" s="1050">
        <f t="shared" si="7"/>
        <v>2033</v>
      </c>
      <c r="F121" s="1050">
        <f t="shared" si="13"/>
        <v>0.000000001106169784</v>
      </c>
      <c r="G121" s="1050">
        <f t="shared" si="8"/>
        <v>0</v>
      </c>
      <c r="H121" s="1050">
        <f t="shared" si="9"/>
        <v>0</v>
      </c>
      <c r="I121" s="1050">
        <f t="shared" si="10"/>
        <v>0</v>
      </c>
      <c r="J121" s="1051">
        <f t="shared" si="11"/>
        <v>0</v>
      </c>
      <c r="K121" s="1043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897"/>
      <c r="W121" s="897"/>
      <c r="X121" s="897"/>
      <c r="Y121" s="897"/>
      <c r="Z121" s="897"/>
    </row>
    <row r="122" ht="15.75" customHeight="1">
      <c r="A122" s="308"/>
      <c r="B122" s="1026">
        <v>98.0</v>
      </c>
      <c r="C122" s="1048">
        <f t="shared" si="12"/>
        <v>48775</v>
      </c>
      <c r="D122" s="1049">
        <f t="shared" si="6"/>
        <v>7</v>
      </c>
      <c r="E122" s="1050">
        <f t="shared" si="7"/>
        <v>2033</v>
      </c>
      <c r="F122" s="1050">
        <f t="shared" si="13"/>
        <v>0.000000001109810926</v>
      </c>
      <c r="G122" s="1050">
        <f t="shared" si="8"/>
        <v>0</v>
      </c>
      <c r="H122" s="1050">
        <f t="shared" si="9"/>
        <v>0</v>
      </c>
      <c r="I122" s="1050">
        <f t="shared" si="10"/>
        <v>0</v>
      </c>
      <c r="J122" s="1051">
        <f t="shared" si="11"/>
        <v>0</v>
      </c>
      <c r="K122" s="1043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897"/>
      <c r="W122" s="897"/>
      <c r="X122" s="897"/>
      <c r="Y122" s="897"/>
      <c r="Z122" s="897"/>
    </row>
    <row r="123" ht="15.75" customHeight="1">
      <c r="A123" s="308"/>
      <c r="B123" s="1026">
        <v>99.0</v>
      </c>
      <c r="C123" s="1048">
        <f t="shared" si="12"/>
        <v>48806</v>
      </c>
      <c r="D123" s="1049">
        <f t="shared" si="6"/>
        <v>8</v>
      </c>
      <c r="E123" s="1050">
        <f t="shared" si="7"/>
        <v>2033</v>
      </c>
      <c r="F123" s="1050">
        <f t="shared" si="13"/>
        <v>0.000000001113464054</v>
      </c>
      <c r="G123" s="1050">
        <f t="shared" si="8"/>
        <v>0</v>
      </c>
      <c r="H123" s="1050">
        <f t="shared" si="9"/>
        <v>0</v>
      </c>
      <c r="I123" s="1050">
        <f t="shared" si="10"/>
        <v>0</v>
      </c>
      <c r="J123" s="1051">
        <f t="shared" si="11"/>
        <v>0</v>
      </c>
      <c r="K123" s="1043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897"/>
      <c r="W123" s="897"/>
      <c r="X123" s="897"/>
      <c r="Y123" s="897"/>
      <c r="Z123" s="897"/>
    </row>
    <row r="124" ht="15.75" customHeight="1">
      <c r="A124" s="308"/>
      <c r="B124" s="1026">
        <v>100.0</v>
      </c>
      <c r="C124" s="1048">
        <f t="shared" si="12"/>
        <v>48837</v>
      </c>
      <c r="D124" s="1049">
        <f t="shared" si="6"/>
        <v>9</v>
      </c>
      <c r="E124" s="1050">
        <f t="shared" si="7"/>
        <v>2033</v>
      </c>
      <c r="F124" s="1050">
        <f t="shared" si="13"/>
        <v>0.000000001117129207</v>
      </c>
      <c r="G124" s="1050">
        <f t="shared" si="8"/>
        <v>0</v>
      </c>
      <c r="H124" s="1050">
        <f t="shared" si="9"/>
        <v>0</v>
      </c>
      <c r="I124" s="1050">
        <f t="shared" si="10"/>
        <v>0</v>
      </c>
      <c r="J124" s="1051">
        <f t="shared" si="11"/>
        <v>0</v>
      </c>
      <c r="K124" s="1043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897"/>
      <c r="W124" s="897"/>
      <c r="X124" s="897"/>
      <c r="Y124" s="897"/>
      <c r="Z124" s="897"/>
    </row>
    <row r="125" ht="15.75" customHeight="1">
      <c r="A125" s="308"/>
      <c r="B125" s="1026">
        <v>101.0</v>
      </c>
      <c r="C125" s="1048">
        <f t="shared" si="12"/>
        <v>48867</v>
      </c>
      <c r="D125" s="1049">
        <f t="shared" si="6"/>
        <v>10</v>
      </c>
      <c r="E125" s="1050">
        <f t="shared" si="7"/>
        <v>2033</v>
      </c>
      <c r="F125" s="1050">
        <f t="shared" si="13"/>
        <v>0.000000001120806424</v>
      </c>
      <c r="G125" s="1050">
        <f t="shared" si="8"/>
        <v>0</v>
      </c>
      <c r="H125" s="1050">
        <f t="shared" si="9"/>
        <v>0</v>
      </c>
      <c r="I125" s="1050">
        <f t="shared" si="10"/>
        <v>0</v>
      </c>
      <c r="J125" s="1051">
        <f t="shared" si="11"/>
        <v>0</v>
      </c>
      <c r="K125" s="1043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897"/>
      <c r="W125" s="897"/>
      <c r="X125" s="897"/>
      <c r="Y125" s="897"/>
      <c r="Z125" s="897"/>
    </row>
    <row r="126" ht="15.75" customHeight="1">
      <c r="A126" s="308"/>
      <c r="B126" s="1026">
        <v>102.0</v>
      </c>
      <c r="C126" s="1048">
        <f t="shared" si="12"/>
        <v>48898</v>
      </c>
      <c r="D126" s="1049">
        <f t="shared" si="6"/>
        <v>11</v>
      </c>
      <c r="E126" s="1050">
        <f t="shared" si="7"/>
        <v>2033</v>
      </c>
      <c r="F126" s="1050">
        <f t="shared" si="13"/>
        <v>0.000000001124495745</v>
      </c>
      <c r="G126" s="1050">
        <f t="shared" si="8"/>
        <v>0</v>
      </c>
      <c r="H126" s="1050">
        <f t="shared" si="9"/>
        <v>0</v>
      </c>
      <c r="I126" s="1050">
        <f t="shared" si="10"/>
        <v>0</v>
      </c>
      <c r="J126" s="1051">
        <f t="shared" si="11"/>
        <v>0</v>
      </c>
      <c r="K126" s="1043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897"/>
      <c r="W126" s="897"/>
      <c r="X126" s="897"/>
      <c r="Y126" s="897"/>
      <c r="Z126" s="897"/>
    </row>
    <row r="127" ht="15.75" customHeight="1">
      <c r="A127" s="308"/>
      <c r="B127" s="1026">
        <v>103.0</v>
      </c>
      <c r="C127" s="1048">
        <f t="shared" si="12"/>
        <v>48928</v>
      </c>
      <c r="D127" s="1049">
        <f t="shared" si="6"/>
        <v>12</v>
      </c>
      <c r="E127" s="1050">
        <f t="shared" si="7"/>
        <v>2033</v>
      </c>
      <c r="F127" s="1050">
        <f t="shared" si="13"/>
        <v>0.00000000112819721</v>
      </c>
      <c r="G127" s="1050">
        <f t="shared" si="8"/>
        <v>0</v>
      </c>
      <c r="H127" s="1050">
        <f t="shared" si="9"/>
        <v>0</v>
      </c>
      <c r="I127" s="1050">
        <f t="shared" si="10"/>
        <v>0</v>
      </c>
      <c r="J127" s="1051">
        <f t="shared" si="11"/>
        <v>0</v>
      </c>
      <c r="K127" s="1043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897"/>
      <c r="W127" s="897"/>
      <c r="X127" s="897"/>
      <c r="Y127" s="897"/>
      <c r="Z127" s="897"/>
    </row>
    <row r="128" ht="15.75" customHeight="1">
      <c r="A128" s="308"/>
      <c r="B128" s="1026">
        <v>104.0</v>
      </c>
      <c r="C128" s="1048">
        <f t="shared" si="12"/>
        <v>48959</v>
      </c>
      <c r="D128" s="1049">
        <f t="shared" si="6"/>
        <v>1</v>
      </c>
      <c r="E128" s="1050">
        <f t="shared" si="7"/>
        <v>2034</v>
      </c>
      <c r="F128" s="1050">
        <f t="shared" si="13"/>
        <v>0.000000001131910859</v>
      </c>
      <c r="G128" s="1050">
        <f t="shared" si="8"/>
        <v>0</v>
      </c>
      <c r="H128" s="1050">
        <f t="shared" si="9"/>
        <v>0</v>
      </c>
      <c r="I128" s="1050">
        <f t="shared" si="10"/>
        <v>0</v>
      </c>
      <c r="J128" s="1051">
        <f t="shared" si="11"/>
        <v>0</v>
      </c>
      <c r="K128" s="1043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897"/>
      <c r="W128" s="897"/>
      <c r="X128" s="897"/>
      <c r="Y128" s="897"/>
      <c r="Z128" s="897"/>
    </row>
    <row r="129" ht="15.75" customHeight="1">
      <c r="A129" s="308"/>
      <c r="B129" s="1026">
        <v>105.0</v>
      </c>
      <c r="C129" s="1048">
        <f t="shared" si="12"/>
        <v>48990</v>
      </c>
      <c r="D129" s="1049">
        <f t="shared" si="6"/>
        <v>2</v>
      </c>
      <c r="E129" s="1050">
        <f t="shared" si="7"/>
        <v>2034</v>
      </c>
      <c r="F129" s="1050">
        <f t="shared" si="13"/>
        <v>0.000000001135636732</v>
      </c>
      <c r="G129" s="1050">
        <f t="shared" si="8"/>
        <v>0</v>
      </c>
      <c r="H129" s="1050">
        <f t="shared" si="9"/>
        <v>0</v>
      </c>
      <c r="I129" s="1050">
        <f t="shared" si="10"/>
        <v>0</v>
      </c>
      <c r="J129" s="1051">
        <f t="shared" si="11"/>
        <v>0</v>
      </c>
      <c r="K129" s="1043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897"/>
      <c r="W129" s="897"/>
      <c r="X129" s="897"/>
      <c r="Y129" s="897"/>
      <c r="Z129" s="897"/>
    </row>
    <row r="130" ht="15.75" customHeight="1">
      <c r="A130" s="308"/>
      <c r="B130" s="1026">
        <v>106.0</v>
      </c>
      <c r="C130" s="1048">
        <f t="shared" si="12"/>
        <v>49018</v>
      </c>
      <c r="D130" s="1049">
        <f t="shared" si="6"/>
        <v>3</v>
      </c>
      <c r="E130" s="1050">
        <f t="shared" si="7"/>
        <v>2034</v>
      </c>
      <c r="F130" s="1050">
        <f t="shared" si="13"/>
        <v>0.00000000113937487</v>
      </c>
      <c r="G130" s="1050">
        <f t="shared" si="8"/>
        <v>0</v>
      </c>
      <c r="H130" s="1050">
        <f t="shared" si="9"/>
        <v>0</v>
      </c>
      <c r="I130" s="1050">
        <f t="shared" si="10"/>
        <v>0</v>
      </c>
      <c r="J130" s="1051">
        <f t="shared" si="11"/>
        <v>0</v>
      </c>
      <c r="K130" s="1043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897"/>
      <c r="W130" s="897"/>
      <c r="X130" s="897"/>
      <c r="Y130" s="897"/>
      <c r="Z130" s="897"/>
    </row>
    <row r="131" ht="15.75" customHeight="1">
      <c r="A131" s="308"/>
      <c r="B131" s="1026">
        <v>107.0</v>
      </c>
      <c r="C131" s="1048">
        <f t="shared" si="12"/>
        <v>49049</v>
      </c>
      <c r="D131" s="1049">
        <f t="shared" si="6"/>
        <v>4</v>
      </c>
      <c r="E131" s="1050">
        <f t="shared" si="7"/>
        <v>2034</v>
      </c>
      <c r="F131" s="1050">
        <f t="shared" si="13"/>
        <v>0.000000001143125312</v>
      </c>
      <c r="G131" s="1050">
        <f t="shared" si="8"/>
        <v>0</v>
      </c>
      <c r="H131" s="1050">
        <f t="shared" si="9"/>
        <v>0</v>
      </c>
      <c r="I131" s="1050">
        <f t="shared" si="10"/>
        <v>0</v>
      </c>
      <c r="J131" s="1051">
        <f t="shared" si="11"/>
        <v>0</v>
      </c>
      <c r="K131" s="1043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897"/>
      <c r="W131" s="897"/>
      <c r="X131" s="897"/>
      <c r="Y131" s="897"/>
      <c r="Z131" s="897"/>
    </row>
    <row r="132" ht="15.75" customHeight="1">
      <c r="A132" s="308"/>
      <c r="B132" s="1026">
        <v>108.0</v>
      </c>
      <c r="C132" s="1048">
        <f t="shared" si="12"/>
        <v>49079</v>
      </c>
      <c r="D132" s="1049">
        <f t="shared" si="6"/>
        <v>5</v>
      </c>
      <c r="E132" s="1050">
        <f t="shared" si="7"/>
        <v>2034</v>
      </c>
      <c r="F132" s="1050">
        <f t="shared" si="13"/>
        <v>0.0000000011468881</v>
      </c>
      <c r="G132" s="1050">
        <f t="shared" si="8"/>
        <v>0</v>
      </c>
      <c r="H132" s="1050">
        <f t="shared" si="9"/>
        <v>0</v>
      </c>
      <c r="I132" s="1050">
        <f t="shared" si="10"/>
        <v>0</v>
      </c>
      <c r="J132" s="1051">
        <f t="shared" si="11"/>
        <v>0</v>
      </c>
      <c r="K132" s="1043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897"/>
      <c r="W132" s="897"/>
      <c r="X132" s="897"/>
      <c r="Y132" s="897"/>
      <c r="Z132" s="897"/>
    </row>
    <row r="133" ht="15.75" customHeight="1">
      <c r="A133" s="308"/>
      <c r="B133" s="1026">
        <v>109.0</v>
      </c>
      <c r="C133" s="1048">
        <f t="shared" si="12"/>
        <v>49110</v>
      </c>
      <c r="D133" s="1049">
        <f t="shared" si="6"/>
        <v>6</v>
      </c>
      <c r="E133" s="1050">
        <f t="shared" si="7"/>
        <v>2034</v>
      </c>
      <c r="F133" s="1050">
        <f t="shared" si="13"/>
        <v>0.000000001150663273</v>
      </c>
      <c r="G133" s="1050">
        <f t="shared" si="8"/>
        <v>0</v>
      </c>
      <c r="H133" s="1050">
        <f t="shared" si="9"/>
        <v>0</v>
      </c>
      <c r="I133" s="1050">
        <f t="shared" si="10"/>
        <v>0</v>
      </c>
      <c r="J133" s="1051">
        <f t="shared" si="11"/>
        <v>0</v>
      </c>
      <c r="K133" s="1043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897"/>
      <c r="W133" s="897"/>
      <c r="X133" s="897"/>
      <c r="Y133" s="897"/>
      <c r="Z133" s="897"/>
    </row>
    <row r="134" ht="15.75" customHeight="1">
      <c r="A134" s="308"/>
      <c r="B134" s="1026">
        <v>110.0</v>
      </c>
      <c r="C134" s="1048">
        <f t="shared" si="12"/>
        <v>49140</v>
      </c>
      <c r="D134" s="1049">
        <f t="shared" si="6"/>
        <v>7</v>
      </c>
      <c r="E134" s="1050">
        <f t="shared" si="7"/>
        <v>2034</v>
      </c>
      <c r="F134" s="1050">
        <f t="shared" si="13"/>
        <v>0.000000001154450873</v>
      </c>
      <c r="G134" s="1050">
        <f t="shared" si="8"/>
        <v>0</v>
      </c>
      <c r="H134" s="1050">
        <f t="shared" si="9"/>
        <v>0</v>
      </c>
      <c r="I134" s="1050">
        <f t="shared" si="10"/>
        <v>0</v>
      </c>
      <c r="J134" s="1051">
        <f t="shared" si="11"/>
        <v>0</v>
      </c>
      <c r="K134" s="1043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897"/>
      <c r="W134" s="897"/>
      <c r="X134" s="897"/>
      <c r="Y134" s="897"/>
      <c r="Z134" s="897"/>
    </row>
    <row r="135" ht="15.75" customHeight="1">
      <c r="A135" s="308"/>
      <c r="B135" s="1026">
        <v>111.0</v>
      </c>
      <c r="C135" s="1048">
        <f t="shared" si="12"/>
        <v>49171</v>
      </c>
      <c r="D135" s="1049">
        <f t="shared" si="6"/>
        <v>8</v>
      </c>
      <c r="E135" s="1050">
        <f t="shared" si="7"/>
        <v>2034</v>
      </c>
      <c r="F135" s="1050">
        <f t="shared" si="13"/>
        <v>0.00000000115825094</v>
      </c>
      <c r="G135" s="1050">
        <f t="shared" si="8"/>
        <v>0</v>
      </c>
      <c r="H135" s="1050">
        <f t="shared" si="9"/>
        <v>0</v>
      </c>
      <c r="I135" s="1050">
        <f t="shared" si="10"/>
        <v>0</v>
      </c>
      <c r="J135" s="1051">
        <f t="shared" si="11"/>
        <v>0</v>
      </c>
      <c r="K135" s="1043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897"/>
      <c r="W135" s="897"/>
      <c r="X135" s="897"/>
      <c r="Y135" s="897"/>
      <c r="Z135" s="897"/>
    </row>
    <row r="136" ht="15.75" customHeight="1">
      <c r="A136" s="308"/>
      <c r="B136" s="1026">
        <v>112.0</v>
      </c>
      <c r="C136" s="1048">
        <f t="shared" si="12"/>
        <v>49202</v>
      </c>
      <c r="D136" s="1049">
        <f t="shared" si="6"/>
        <v>9</v>
      </c>
      <c r="E136" s="1050">
        <f t="shared" si="7"/>
        <v>2034</v>
      </c>
      <c r="F136" s="1050">
        <f t="shared" si="13"/>
        <v>0.000000001162063516</v>
      </c>
      <c r="G136" s="1050">
        <f t="shared" si="8"/>
        <v>0</v>
      </c>
      <c r="H136" s="1050">
        <f t="shared" si="9"/>
        <v>0</v>
      </c>
      <c r="I136" s="1050">
        <f t="shared" si="10"/>
        <v>0</v>
      </c>
      <c r="J136" s="1051">
        <f t="shared" si="11"/>
        <v>0</v>
      </c>
      <c r="K136" s="1043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897"/>
      <c r="W136" s="897"/>
      <c r="X136" s="897"/>
      <c r="Y136" s="897"/>
      <c r="Z136" s="897"/>
    </row>
    <row r="137" ht="15.75" customHeight="1">
      <c r="A137" s="308"/>
      <c r="B137" s="1026">
        <v>113.0</v>
      </c>
      <c r="C137" s="1048">
        <f t="shared" si="12"/>
        <v>49232</v>
      </c>
      <c r="D137" s="1049">
        <f t="shared" si="6"/>
        <v>10</v>
      </c>
      <c r="E137" s="1050">
        <f t="shared" si="7"/>
        <v>2034</v>
      </c>
      <c r="F137" s="1050">
        <f t="shared" si="13"/>
        <v>0.000000001165888642</v>
      </c>
      <c r="G137" s="1050">
        <f t="shared" si="8"/>
        <v>0</v>
      </c>
      <c r="H137" s="1050">
        <f t="shared" si="9"/>
        <v>0</v>
      </c>
      <c r="I137" s="1050">
        <f t="shared" si="10"/>
        <v>0</v>
      </c>
      <c r="J137" s="1051">
        <f t="shared" si="11"/>
        <v>0</v>
      </c>
      <c r="K137" s="1043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897"/>
      <c r="W137" s="897"/>
      <c r="X137" s="897"/>
      <c r="Y137" s="897"/>
      <c r="Z137" s="897"/>
    </row>
    <row r="138" ht="15.75" customHeight="1">
      <c r="A138" s="308"/>
      <c r="B138" s="1026">
        <v>114.0</v>
      </c>
      <c r="C138" s="1048">
        <f t="shared" si="12"/>
        <v>49263</v>
      </c>
      <c r="D138" s="1049">
        <f t="shared" si="6"/>
        <v>11</v>
      </c>
      <c r="E138" s="1050">
        <f t="shared" si="7"/>
        <v>2034</v>
      </c>
      <c r="F138" s="1050">
        <f t="shared" si="13"/>
        <v>0.000000001169726359</v>
      </c>
      <c r="G138" s="1050">
        <f t="shared" si="8"/>
        <v>0</v>
      </c>
      <c r="H138" s="1050">
        <f t="shared" si="9"/>
        <v>0</v>
      </c>
      <c r="I138" s="1050">
        <f t="shared" si="10"/>
        <v>0</v>
      </c>
      <c r="J138" s="1051">
        <f t="shared" si="11"/>
        <v>0</v>
      </c>
      <c r="K138" s="1043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897"/>
      <c r="W138" s="897"/>
      <c r="X138" s="897"/>
      <c r="Y138" s="897"/>
      <c r="Z138" s="897"/>
    </row>
    <row r="139" ht="15.75" customHeight="1">
      <c r="A139" s="308"/>
      <c r="B139" s="1026">
        <v>115.0</v>
      </c>
      <c r="C139" s="1048">
        <f t="shared" si="12"/>
        <v>49293</v>
      </c>
      <c r="D139" s="1049">
        <f t="shared" si="6"/>
        <v>12</v>
      </c>
      <c r="E139" s="1050">
        <f t="shared" si="7"/>
        <v>2034</v>
      </c>
      <c r="F139" s="1050">
        <f t="shared" si="13"/>
        <v>0.000000001173576708</v>
      </c>
      <c r="G139" s="1050">
        <f t="shared" si="8"/>
        <v>0</v>
      </c>
      <c r="H139" s="1050">
        <f t="shared" si="9"/>
        <v>0</v>
      </c>
      <c r="I139" s="1050">
        <f t="shared" si="10"/>
        <v>0</v>
      </c>
      <c r="J139" s="1051">
        <f t="shared" si="11"/>
        <v>0</v>
      </c>
      <c r="K139" s="1043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897"/>
      <c r="W139" s="897"/>
      <c r="X139" s="897"/>
      <c r="Y139" s="897"/>
      <c r="Z139" s="897"/>
    </row>
    <row r="140" ht="15.75" customHeight="1">
      <c r="A140" s="308"/>
      <c r="B140" s="1026">
        <v>116.0</v>
      </c>
      <c r="C140" s="1048">
        <f t="shared" si="12"/>
        <v>49324</v>
      </c>
      <c r="D140" s="1049">
        <f t="shared" si="6"/>
        <v>1</v>
      </c>
      <c r="E140" s="1050">
        <f t="shared" si="7"/>
        <v>2035</v>
      </c>
      <c r="F140" s="1050">
        <f t="shared" si="13"/>
        <v>0.000000001177439731</v>
      </c>
      <c r="G140" s="1050">
        <f t="shared" si="8"/>
        <v>0</v>
      </c>
      <c r="H140" s="1050">
        <f t="shared" si="9"/>
        <v>0</v>
      </c>
      <c r="I140" s="1050">
        <f t="shared" si="10"/>
        <v>0</v>
      </c>
      <c r="J140" s="1051">
        <f t="shared" si="11"/>
        <v>0</v>
      </c>
      <c r="K140" s="1043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897"/>
      <c r="W140" s="897"/>
      <c r="X140" s="897"/>
      <c r="Y140" s="897"/>
      <c r="Z140" s="897"/>
    </row>
    <row r="141" ht="15.75" customHeight="1">
      <c r="A141" s="308"/>
      <c r="B141" s="1026">
        <v>117.0</v>
      </c>
      <c r="C141" s="1048">
        <f t="shared" si="12"/>
        <v>49355</v>
      </c>
      <c r="D141" s="1049">
        <f t="shared" si="6"/>
        <v>2</v>
      </c>
      <c r="E141" s="1050">
        <f t="shared" si="7"/>
        <v>2035</v>
      </c>
      <c r="F141" s="1050">
        <f t="shared" si="13"/>
        <v>0.000000001181315471</v>
      </c>
      <c r="G141" s="1050">
        <f t="shared" si="8"/>
        <v>0</v>
      </c>
      <c r="H141" s="1050">
        <f t="shared" si="9"/>
        <v>0</v>
      </c>
      <c r="I141" s="1050">
        <f t="shared" si="10"/>
        <v>0</v>
      </c>
      <c r="J141" s="1051">
        <f t="shared" si="11"/>
        <v>0</v>
      </c>
      <c r="K141" s="1043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897"/>
      <c r="W141" s="897"/>
      <c r="X141" s="897"/>
      <c r="Y141" s="897"/>
      <c r="Z141" s="897"/>
    </row>
    <row r="142" ht="15.75" customHeight="1">
      <c r="A142" s="308"/>
      <c r="B142" s="1026">
        <v>118.0</v>
      </c>
      <c r="C142" s="1048">
        <f t="shared" si="12"/>
        <v>49383</v>
      </c>
      <c r="D142" s="1049">
        <f t="shared" si="6"/>
        <v>3</v>
      </c>
      <c r="E142" s="1050">
        <f t="shared" si="7"/>
        <v>2035</v>
      </c>
      <c r="F142" s="1050">
        <f t="shared" si="13"/>
        <v>0.000000001185203967</v>
      </c>
      <c r="G142" s="1050">
        <f t="shared" si="8"/>
        <v>0</v>
      </c>
      <c r="H142" s="1050">
        <f t="shared" si="9"/>
        <v>0</v>
      </c>
      <c r="I142" s="1050">
        <f t="shared" si="10"/>
        <v>0</v>
      </c>
      <c r="J142" s="1051">
        <f t="shared" si="11"/>
        <v>0</v>
      </c>
      <c r="K142" s="1043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897"/>
      <c r="W142" s="897"/>
      <c r="X142" s="897"/>
      <c r="Y142" s="897"/>
      <c r="Z142" s="897"/>
    </row>
    <row r="143" ht="15.75" customHeight="1">
      <c r="A143" s="308"/>
      <c r="B143" s="1026">
        <v>119.0</v>
      </c>
      <c r="C143" s="1048">
        <f t="shared" si="12"/>
        <v>49414</v>
      </c>
      <c r="D143" s="1049">
        <f t="shared" si="6"/>
        <v>4</v>
      </c>
      <c r="E143" s="1050">
        <f t="shared" si="7"/>
        <v>2035</v>
      </c>
      <c r="F143" s="1050">
        <f t="shared" si="13"/>
        <v>0.000000001189105264</v>
      </c>
      <c r="G143" s="1050">
        <f t="shared" si="8"/>
        <v>0</v>
      </c>
      <c r="H143" s="1050">
        <f t="shared" si="9"/>
        <v>0</v>
      </c>
      <c r="I143" s="1050">
        <f t="shared" si="10"/>
        <v>0</v>
      </c>
      <c r="J143" s="1051">
        <f t="shared" si="11"/>
        <v>0</v>
      </c>
      <c r="K143" s="1043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897"/>
      <c r="W143" s="897"/>
      <c r="X143" s="897"/>
      <c r="Y143" s="897"/>
      <c r="Z143" s="897"/>
    </row>
    <row r="144" ht="15.75" customHeight="1">
      <c r="A144" s="308"/>
      <c r="B144" s="1026">
        <v>120.0</v>
      </c>
      <c r="C144" s="1048">
        <f t="shared" si="12"/>
        <v>49444</v>
      </c>
      <c r="D144" s="1049">
        <f t="shared" si="6"/>
        <v>5</v>
      </c>
      <c r="E144" s="1050">
        <f t="shared" si="7"/>
        <v>2035</v>
      </c>
      <c r="F144" s="1050">
        <f t="shared" si="13"/>
        <v>0.000000001193019402</v>
      </c>
      <c r="G144" s="1050">
        <f t="shared" si="8"/>
        <v>0</v>
      </c>
      <c r="H144" s="1050">
        <f t="shared" si="9"/>
        <v>0</v>
      </c>
      <c r="I144" s="1050">
        <f t="shared" si="10"/>
        <v>0</v>
      </c>
      <c r="J144" s="1051">
        <f t="shared" si="11"/>
        <v>0</v>
      </c>
      <c r="K144" s="1043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897"/>
      <c r="W144" s="897"/>
      <c r="X144" s="897"/>
      <c r="Y144" s="897"/>
      <c r="Z144" s="897"/>
    </row>
    <row r="145" ht="15.75" customHeight="1">
      <c r="A145" s="308"/>
      <c r="B145" s="1026">
        <v>121.0</v>
      </c>
      <c r="C145" s="1048">
        <f t="shared" si="12"/>
        <v>49475</v>
      </c>
      <c r="D145" s="1049">
        <f t="shared" si="6"/>
        <v>6</v>
      </c>
      <c r="E145" s="1050">
        <f t="shared" si="7"/>
        <v>2035</v>
      </c>
      <c r="F145" s="1050">
        <f t="shared" si="13"/>
        <v>0.000000001196946424</v>
      </c>
      <c r="G145" s="1050">
        <f t="shared" si="8"/>
        <v>0</v>
      </c>
      <c r="H145" s="1050">
        <f t="shared" si="9"/>
        <v>0</v>
      </c>
      <c r="I145" s="1050">
        <f t="shared" si="10"/>
        <v>0</v>
      </c>
      <c r="J145" s="1051">
        <f t="shared" si="11"/>
        <v>0</v>
      </c>
      <c r="K145" s="1043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897"/>
      <c r="W145" s="897"/>
      <c r="X145" s="897"/>
      <c r="Y145" s="897"/>
      <c r="Z145" s="897"/>
    </row>
    <row r="146" ht="15.75" customHeight="1">
      <c r="A146" s="308"/>
      <c r="B146" s="1026">
        <v>122.0</v>
      </c>
      <c r="C146" s="1048">
        <f t="shared" si="12"/>
        <v>49505</v>
      </c>
      <c r="D146" s="1049">
        <f t="shared" si="6"/>
        <v>7</v>
      </c>
      <c r="E146" s="1050">
        <f t="shared" si="7"/>
        <v>2035</v>
      </c>
      <c r="F146" s="1050">
        <f t="shared" si="13"/>
        <v>0.000000001200886373</v>
      </c>
      <c r="G146" s="1050">
        <f t="shared" si="8"/>
        <v>0</v>
      </c>
      <c r="H146" s="1050">
        <f t="shared" si="9"/>
        <v>0</v>
      </c>
      <c r="I146" s="1050">
        <f t="shared" si="10"/>
        <v>0</v>
      </c>
      <c r="J146" s="1051">
        <f t="shared" si="11"/>
        <v>0</v>
      </c>
      <c r="K146" s="1043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897"/>
      <c r="W146" s="897"/>
      <c r="X146" s="897"/>
      <c r="Y146" s="897"/>
      <c r="Z146" s="897"/>
    </row>
    <row r="147" ht="15.75" customHeight="1">
      <c r="A147" s="308"/>
      <c r="B147" s="1026">
        <v>123.0</v>
      </c>
      <c r="C147" s="1048">
        <f t="shared" si="12"/>
        <v>49536</v>
      </c>
      <c r="D147" s="1049">
        <f t="shared" si="6"/>
        <v>8</v>
      </c>
      <c r="E147" s="1050">
        <f t="shared" si="7"/>
        <v>2035</v>
      </c>
      <c r="F147" s="1050">
        <f t="shared" si="13"/>
        <v>0.00000000120483929</v>
      </c>
      <c r="G147" s="1050">
        <f t="shared" si="8"/>
        <v>0</v>
      </c>
      <c r="H147" s="1050">
        <f t="shared" si="9"/>
        <v>0</v>
      </c>
      <c r="I147" s="1050">
        <f t="shared" si="10"/>
        <v>0</v>
      </c>
      <c r="J147" s="1051">
        <f t="shared" si="11"/>
        <v>0</v>
      </c>
      <c r="K147" s="1043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897"/>
      <c r="W147" s="897"/>
      <c r="X147" s="897"/>
      <c r="Y147" s="897"/>
      <c r="Z147" s="897"/>
    </row>
    <row r="148" ht="15.75" customHeight="1">
      <c r="A148" s="308"/>
      <c r="B148" s="1026">
        <v>124.0</v>
      </c>
      <c r="C148" s="1048">
        <f t="shared" si="12"/>
        <v>49567</v>
      </c>
      <c r="D148" s="1049">
        <f t="shared" si="6"/>
        <v>9</v>
      </c>
      <c r="E148" s="1050">
        <f t="shared" si="7"/>
        <v>2035</v>
      </c>
      <c r="F148" s="1050">
        <f t="shared" si="13"/>
        <v>0.00000000120880522</v>
      </c>
      <c r="G148" s="1050">
        <f t="shared" si="8"/>
        <v>0</v>
      </c>
      <c r="H148" s="1050">
        <f t="shared" si="9"/>
        <v>0</v>
      </c>
      <c r="I148" s="1050">
        <f t="shared" si="10"/>
        <v>0</v>
      </c>
      <c r="J148" s="1051">
        <f t="shared" si="11"/>
        <v>0</v>
      </c>
      <c r="K148" s="1043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897"/>
      <c r="W148" s="897"/>
      <c r="X148" s="897"/>
      <c r="Y148" s="897"/>
      <c r="Z148" s="897"/>
    </row>
    <row r="149" ht="15.75" customHeight="1">
      <c r="A149" s="308"/>
      <c r="B149" s="1026">
        <v>125.0</v>
      </c>
      <c r="C149" s="1048">
        <f t="shared" si="12"/>
        <v>49597</v>
      </c>
      <c r="D149" s="1049">
        <f t="shared" si="6"/>
        <v>10</v>
      </c>
      <c r="E149" s="1050">
        <f t="shared" si="7"/>
        <v>2035</v>
      </c>
      <c r="F149" s="1050">
        <f t="shared" si="13"/>
        <v>0.000000001212784204</v>
      </c>
      <c r="G149" s="1050">
        <f t="shared" si="8"/>
        <v>0</v>
      </c>
      <c r="H149" s="1050">
        <f t="shared" si="9"/>
        <v>0</v>
      </c>
      <c r="I149" s="1050">
        <f t="shared" si="10"/>
        <v>0</v>
      </c>
      <c r="J149" s="1051">
        <f t="shared" si="11"/>
        <v>0</v>
      </c>
      <c r="K149" s="1043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897"/>
      <c r="W149" s="897"/>
      <c r="X149" s="897"/>
      <c r="Y149" s="897"/>
      <c r="Z149" s="897"/>
    </row>
    <row r="150" ht="15.75" customHeight="1">
      <c r="A150" s="308"/>
      <c r="B150" s="1026">
        <v>126.0</v>
      </c>
      <c r="C150" s="1048">
        <f t="shared" si="12"/>
        <v>49628</v>
      </c>
      <c r="D150" s="1049">
        <f t="shared" si="6"/>
        <v>11</v>
      </c>
      <c r="E150" s="1050">
        <f t="shared" si="7"/>
        <v>2035</v>
      </c>
      <c r="F150" s="1050">
        <f t="shared" si="13"/>
        <v>0.000000001216776285</v>
      </c>
      <c r="G150" s="1050">
        <f t="shared" si="8"/>
        <v>0</v>
      </c>
      <c r="H150" s="1050">
        <f t="shared" si="9"/>
        <v>0</v>
      </c>
      <c r="I150" s="1050">
        <f t="shared" si="10"/>
        <v>0</v>
      </c>
      <c r="J150" s="1051">
        <f t="shared" si="11"/>
        <v>0</v>
      </c>
      <c r="K150" s="1043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897"/>
      <c r="W150" s="897"/>
      <c r="X150" s="897"/>
      <c r="Y150" s="897"/>
      <c r="Z150" s="897"/>
    </row>
    <row r="151" ht="15.75" customHeight="1">
      <c r="A151" s="308"/>
      <c r="B151" s="1026">
        <v>127.0</v>
      </c>
      <c r="C151" s="1048">
        <f t="shared" si="12"/>
        <v>49658</v>
      </c>
      <c r="D151" s="1049">
        <f t="shared" si="6"/>
        <v>12</v>
      </c>
      <c r="E151" s="1050">
        <f t="shared" si="7"/>
        <v>2035</v>
      </c>
      <c r="F151" s="1050">
        <f t="shared" si="13"/>
        <v>0.000000001220781507</v>
      </c>
      <c r="G151" s="1050">
        <f t="shared" si="8"/>
        <v>0</v>
      </c>
      <c r="H151" s="1050">
        <f t="shared" si="9"/>
        <v>0</v>
      </c>
      <c r="I151" s="1050">
        <f t="shared" si="10"/>
        <v>0</v>
      </c>
      <c r="J151" s="1051">
        <f t="shared" si="11"/>
        <v>0</v>
      </c>
      <c r="K151" s="1043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897"/>
      <c r="W151" s="897"/>
      <c r="X151" s="897"/>
      <c r="Y151" s="897"/>
      <c r="Z151" s="897"/>
    </row>
    <row r="152" ht="15.75" customHeight="1">
      <c r="A152" s="308"/>
      <c r="B152" s="1026">
        <v>128.0</v>
      </c>
      <c r="C152" s="1048">
        <f t="shared" si="12"/>
        <v>49689</v>
      </c>
      <c r="D152" s="1049">
        <f t="shared" si="6"/>
        <v>1</v>
      </c>
      <c r="E152" s="1050">
        <f t="shared" si="7"/>
        <v>2036</v>
      </c>
      <c r="F152" s="1050">
        <f t="shared" si="13"/>
        <v>0.000000001224799913</v>
      </c>
      <c r="G152" s="1050">
        <f t="shared" si="8"/>
        <v>0</v>
      </c>
      <c r="H152" s="1050">
        <f t="shared" si="9"/>
        <v>0</v>
      </c>
      <c r="I152" s="1050">
        <f t="shared" si="10"/>
        <v>0</v>
      </c>
      <c r="J152" s="1051">
        <f t="shared" si="11"/>
        <v>0</v>
      </c>
      <c r="K152" s="1043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897"/>
      <c r="W152" s="897"/>
      <c r="X152" s="897"/>
      <c r="Y152" s="897"/>
      <c r="Z152" s="897"/>
    </row>
    <row r="153" ht="15.75" customHeight="1">
      <c r="A153" s="308"/>
      <c r="B153" s="1026">
        <v>129.0</v>
      </c>
      <c r="C153" s="1048">
        <f t="shared" si="12"/>
        <v>49720</v>
      </c>
      <c r="D153" s="1049">
        <f t="shared" si="6"/>
        <v>2</v>
      </c>
      <c r="E153" s="1050">
        <f t="shared" si="7"/>
        <v>2036</v>
      </c>
      <c r="F153" s="1050">
        <f t="shared" si="13"/>
        <v>0.000000001228831546</v>
      </c>
      <c r="G153" s="1050">
        <f t="shared" si="8"/>
        <v>0</v>
      </c>
      <c r="H153" s="1050">
        <f t="shared" si="9"/>
        <v>0</v>
      </c>
      <c r="I153" s="1050">
        <f t="shared" si="10"/>
        <v>0</v>
      </c>
      <c r="J153" s="1051">
        <f t="shared" si="11"/>
        <v>0</v>
      </c>
      <c r="K153" s="1043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897"/>
      <c r="W153" s="897"/>
      <c r="X153" s="897"/>
      <c r="Y153" s="897"/>
      <c r="Z153" s="897"/>
    </row>
    <row r="154" ht="15.75" customHeight="1">
      <c r="A154" s="308"/>
      <c r="B154" s="1026">
        <v>130.0</v>
      </c>
      <c r="C154" s="1048">
        <f t="shared" si="12"/>
        <v>49749</v>
      </c>
      <c r="D154" s="1049">
        <f t="shared" si="6"/>
        <v>3</v>
      </c>
      <c r="E154" s="1050">
        <f t="shared" si="7"/>
        <v>2036</v>
      </c>
      <c r="F154" s="1050">
        <f t="shared" si="13"/>
        <v>0.000000001232876449</v>
      </c>
      <c r="G154" s="1050">
        <f t="shared" si="8"/>
        <v>0</v>
      </c>
      <c r="H154" s="1050">
        <f t="shared" si="9"/>
        <v>0</v>
      </c>
      <c r="I154" s="1050">
        <f t="shared" si="10"/>
        <v>0</v>
      </c>
      <c r="J154" s="1051">
        <f t="shared" si="11"/>
        <v>0</v>
      </c>
      <c r="K154" s="1043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897"/>
      <c r="W154" s="897"/>
      <c r="X154" s="897"/>
      <c r="Y154" s="897"/>
      <c r="Z154" s="897"/>
    </row>
    <row r="155" ht="15.75" customHeight="1">
      <c r="A155" s="308"/>
      <c r="B155" s="1026">
        <v>131.0</v>
      </c>
      <c r="C155" s="1048">
        <f t="shared" si="12"/>
        <v>49780</v>
      </c>
      <c r="D155" s="1049">
        <f t="shared" si="6"/>
        <v>4</v>
      </c>
      <c r="E155" s="1050">
        <f t="shared" si="7"/>
        <v>2036</v>
      </c>
      <c r="F155" s="1050">
        <f t="shared" si="13"/>
        <v>0.000000001236934668</v>
      </c>
      <c r="G155" s="1050">
        <f t="shared" si="8"/>
        <v>0</v>
      </c>
      <c r="H155" s="1050">
        <f t="shared" si="9"/>
        <v>0</v>
      </c>
      <c r="I155" s="1050">
        <f t="shared" si="10"/>
        <v>0</v>
      </c>
      <c r="J155" s="1051">
        <f t="shared" si="11"/>
        <v>0</v>
      </c>
      <c r="K155" s="1043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897"/>
      <c r="W155" s="897"/>
      <c r="X155" s="897"/>
      <c r="Y155" s="897"/>
      <c r="Z155" s="897"/>
    </row>
    <row r="156" ht="15.75" customHeight="1">
      <c r="A156" s="308"/>
      <c r="B156" s="1026">
        <v>132.0</v>
      </c>
      <c r="C156" s="1048">
        <f t="shared" si="12"/>
        <v>49810</v>
      </c>
      <c r="D156" s="1049">
        <f t="shared" si="6"/>
        <v>5</v>
      </c>
      <c r="E156" s="1050">
        <f t="shared" si="7"/>
        <v>2036</v>
      </c>
      <c r="F156" s="1050">
        <f t="shared" si="13"/>
        <v>0.000000001241006244</v>
      </c>
      <c r="G156" s="1050">
        <f t="shared" si="8"/>
        <v>0</v>
      </c>
      <c r="H156" s="1050">
        <f t="shared" si="9"/>
        <v>0</v>
      </c>
      <c r="I156" s="1050">
        <f t="shared" si="10"/>
        <v>0</v>
      </c>
      <c r="J156" s="1051">
        <f t="shared" si="11"/>
        <v>0</v>
      </c>
      <c r="K156" s="1043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897"/>
      <c r="W156" s="897"/>
      <c r="X156" s="897"/>
      <c r="Y156" s="897"/>
      <c r="Z156" s="897"/>
    </row>
    <row r="157" ht="15.75" customHeight="1">
      <c r="A157" s="308"/>
      <c r="B157" s="1026">
        <v>133.0</v>
      </c>
      <c r="C157" s="1048">
        <f t="shared" si="12"/>
        <v>49841</v>
      </c>
      <c r="D157" s="1049">
        <f t="shared" si="6"/>
        <v>6</v>
      </c>
      <c r="E157" s="1050">
        <f t="shared" si="7"/>
        <v>2036</v>
      </c>
      <c r="F157" s="1050">
        <f t="shared" si="13"/>
        <v>0.000000001245091223</v>
      </c>
      <c r="G157" s="1050">
        <f t="shared" si="8"/>
        <v>0</v>
      </c>
      <c r="H157" s="1050">
        <f t="shared" si="9"/>
        <v>0</v>
      </c>
      <c r="I157" s="1050">
        <f t="shared" si="10"/>
        <v>0</v>
      </c>
      <c r="J157" s="1051">
        <f t="shared" si="11"/>
        <v>0</v>
      </c>
      <c r="K157" s="1043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897"/>
      <c r="W157" s="897"/>
      <c r="X157" s="897"/>
      <c r="Y157" s="897"/>
      <c r="Z157" s="897"/>
    </row>
    <row r="158" ht="15.75" customHeight="1">
      <c r="A158" s="308"/>
      <c r="B158" s="1026">
        <v>134.0</v>
      </c>
      <c r="C158" s="1048">
        <f t="shared" si="12"/>
        <v>49871</v>
      </c>
      <c r="D158" s="1049">
        <f t="shared" si="6"/>
        <v>7</v>
      </c>
      <c r="E158" s="1050">
        <f t="shared" si="7"/>
        <v>2036</v>
      </c>
      <c r="F158" s="1050">
        <f t="shared" si="13"/>
        <v>0.000000001249189649</v>
      </c>
      <c r="G158" s="1050">
        <f t="shared" si="8"/>
        <v>0</v>
      </c>
      <c r="H158" s="1050">
        <f t="shared" si="9"/>
        <v>0</v>
      </c>
      <c r="I158" s="1050">
        <f t="shared" si="10"/>
        <v>0</v>
      </c>
      <c r="J158" s="1051">
        <f t="shared" si="11"/>
        <v>0</v>
      </c>
      <c r="K158" s="1043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897"/>
      <c r="W158" s="897"/>
      <c r="X158" s="897"/>
      <c r="Y158" s="897"/>
      <c r="Z158" s="897"/>
    </row>
    <row r="159" ht="15.75" customHeight="1">
      <c r="A159" s="308"/>
      <c r="B159" s="1026">
        <v>135.0</v>
      </c>
      <c r="C159" s="1048">
        <f t="shared" si="12"/>
        <v>49902</v>
      </c>
      <c r="D159" s="1049">
        <f t="shared" si="6"/>
        <v>8</v>
      </c>
      <c r="E159" s="1050">
        <f t="shared" si="7"/>
        <v>2036</v>
      </c>
      <c r="F159" s="1050">
        <f t="shared" si="13"/>
        <v>0.000000001253301564</v>
      </c>
      <c r="G159" s="1050">
        <f t="shared" si="8"/>
        <v>0</v>
      </c>
      <c r="H159" s="1050">
        <f t="shared" si="9"/>
        <v>0</v>
      </c>
      <c r="I159" s="1050">
        <f t="shared" si="10"/>
        <v>0</v>
      </c>
      <c r="J159" s="1051">
        <f t="shared" si="11"/>
        <v>0</v>
      </c>
      <c r="K159" s="1043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897"/>
      <c r="W159" s="897"/>
      <c r="X159" s="897"/>
      <c r="Y159" s="897"/>
      <c r="Z159" s="897"/>
    </row>
    <row r="160" ht="15.75" customHeight="1">
      <c r="A160" s="308"/>
      <c r="B160" s="1026">
        <v>136.0</v>
      </c>
      <c r="C160" s="1048">
        <f t="shared" si="12"/>
        <v>49933</v>
      </c>
      <c r="D160" s="1049">
        <f t="shared" si="6"/>
        <v>9</v>
      </c>
      <c r="E160" s="1050">
        <f t="shared" si="7"/>
        <v>2036</v>
      </c>
      <c r="F160" s="1050">
        <f t="shared" si="13"/>
        <v>0.000000001257427015</v>
      </c>
      <c r="G160" s="1050">
        <f t="shared" si="8"/>
        <v>0</v>
      </c>
      <c r="H160" s="1050">
        <f t="shared" si="9"/>
        <v>0</v>
      </c>
      <c r="I160" s="1050">
        <f t="shared" si="10"/>
        <v>0</v>
      </c>
      <c r="J160" s="1051">
        <f t="shared" si="11"/>
        <v>0</v>
      </c>
      <c r="K160" s="1043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897"/>
      <c r="W160" s="897"/>
      <c r="X160" s="897"/>
      <c r="Y160" s="897"/>
      <c r="Z160" s="897"/>
    </row>
    <row r="161" ht="15.75" customHeight="1">
      <c r="A161" s="308"/>
      <c r="B161" s="1026">
        <v>137.0</v>
      </c>
      <c r="C161" s="1048">
        <f t="shared" si="12"/>
        <v>49963</v>
      </c>
      <c r="D161" s="1049">
        <f t="shared" si="6"/>
        <v>10</v>
      </c>
      <c r="E161" s="1050">
        <f t="shared" si="7"/>
        <v>2036</v>
      </c>
      <c r="F161" s="1050">
        <f t="shared" si="13"/>
        <v>0.000000001261566046</v>
      </c>
      <c r="G161" s="1050">
        <f t="shared" si="8"/>
        <v>0</v>
      </c>
      <c r="H161" s="1050">
        <f t="shared" si="9"/>
        <v>0</v>
      </c>
      <c r="I161" s="1050">
        <f t="shared" si="10"/>
        <v>0</v>
      </c>
      <c r="J161" s="1051">
        <f t="shared" si="11"/>
        <v>0</v>
      </c>
      <c r="K161" s="1043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897"/>
      <c r="W161" s="897"/>
      <c r="X161" s="897"/>
      <c r="Y161" s="897"/>
      <c r="Z161" s="897"/>
    </row>
    <row r="162" ht="15.75" customHeight="1">
      <c r="A162" s="308"/>
      <c r="B162" s="1026">
        <v>138.0</v>
      </c>
      <c r="C162" s="1048">
        <f t="shared" si="12"/>
        <v>49994</v>
      </c>
      <c r="D162" s="1049">
        <f t="shared" si="6"/>
        <v>11</v>
      </c>
      <c r="E162" s="1050">
        <f t="shared" si="7"/>
        <v>2036</v>
      </c>
      <c r="F162" s="1050">
        <f t="shared" si="13"/>
        <v>0.000000001265718701</v>
      </c>
      <c r="G162" s="1050">
        <f t="shared" si="8"/>
        <v>0</v>
      </c>
      <c r="H162" s="1050">
        <f t="shared" si="9"/>
        <v>0</v>
      </c>
      <c r="I162" s="1050">
        <f t="shared" si="10"/>
        <v>0</v>
      </c>
      <c r="J162" s="1051">
        <f t="shared" si="11"/>
        <v>0</v>
      </c>
      <c r="K162" s="1043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897"/>
      <c r="W162" s="897"/>
      <c r="X162" s="897"/>
      <c r="Y162" s="897"/>
      <c r="Z162" s="897"/>
    </row>
    <row r="163" ht="15.75" customHeight="1">
      <c r="A163" s="308"/>
      <c r="B163" s="1026">
        <v>139.0</v>
      </c>
      <c r="C163" s="1048">
        <f t="shared" si="12"/>
        <v>50024</v>
      </c>
      <c r="D163" s="1049">
        <f t="shared" si="6"/>
        <v>12</v>
      </c>
      <c r="E163" s="1050">
        <f t="shared" si="7"/>
        <v>2036</v>
      </c>
      <c r="F163" s="1050">
        <f t="shared" si="13"/>
        <v>0.000000001269885025</v>
      </c>
      <c r="G163" s="1050">
        <f t="shared" si="8"/>
        <v>0</v>
      </c>
      <c r="H163" s="1050">
        <f t="shared" si="9"/>
        <v>0</v>
      </c>
      <c r="I163" s="1050">
        <f t="shared" si="10"/>
        <v>0</v>
      </c>
      <c r="J163" s="1051">
        <f t="shared" si="11"/>
        <v>0</v>
      </c>
      <c r="K163" s="1043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897"/>
      <c r="W163" s="897"/>
      <c r="X163" s="897"/>
      <c r="Y163" s="897"/>
      <c r="Z163" s="897"/>
    </row>
    <row r="164" ht="15.75" customHeight="1">
      <c r="A164" s="308"/>
      <c r="B164" s="1026">
        <v>140.0</v>
      </c>
      <c r="C164" s="1048">
        <f t="shared" si="12"/>
        <v>50055</v>
      </c>
      <c r="D164" s="1049">
        <f t="shared" si="6"/>
        <v>1</v>
      </c>
      <c r="E164" s="1050">
        <f t="shared" si="7"/>
        <v>2037</v>
      </c>
      <c r="F164" s="1050">
        <f t="shared" si="13"/>
        <v>0.000000001274065063</v>
      </c>
      <c r="G164" s="1050">
        <f t="shared" si="8"/>
        <v>0</v>
      </c>
      <c r="H164" s="1050">
        <f t="shared" si="9"/>
        <v>0</v>
      </c>
      <c r="I164" s="1050">
        <f t="shared" si="10"/>
        <v>0</v>
      </c>
      <c r="J164" s="1051">
        <f t="shared" si="11"/>
        <v>0</v>
      </c>
      <c r="K164" s="1043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897"/>
      <c r="W164" s="897"/>
      <c r="X164" s="897"/>
      <c r="Y164" s="897"/>
      <c r="Z164" s="897"/>
    </row>
    <row r="165" ht="15.75" customHeight="1">
      <c r="A165" s="308"/>
      <c r="B165" s="1026">
        <v>141.0</v>
      </c>
      <c r="C165" s="1048">
        <f t="shared" si="12"/>
        <v>50086</v>
      </c>
      <c r="D165" s="1049">
        <f t="shared" si="6"/>
        <v>2</v>
      </c>
      <c r="E165" s="1050">
        <f t="shared" si="7"/>
        <v>2037</v>
      </c>
      <c r="F165" s="1050">
        <f t="shared" si="13"/>
        <v>0.000000001278258861</v>
      </c>
      <c r="G165" s="1050">
        <f t="shared" si="8"/>
        <v>0</v>
      </c>
      <c r="H165" s="1050">
        <f t="shared" si="9"/>
        <v>0</v>
      </c>
      <c r="I165" s="1050">
        <f t="shared" si="10"/>
        <v>0</v>
      </c>
      <c r="J165" s="1051">
        <f t="shared" si="11"/>
        <v>0</v>
      </c>
      <c r="K165" s="1043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897"/>
      <c r="W165" s="897"/>
      <c r="X165" s="897"/>
      <c r="Y165" s="897"/>
      <c r="Z165" s="897"/>
    </row>
    <row r="166" ht="15.75" customHeight="1">
      <c r="A166" s="308"/>
      <c r="B166" s="1026">
        <v>142.0</v>
      </c>
      <c r="C166" s="1048">
        <f t="shared" si="12"/>
        <v>50114</v>
      </c>
      <c r="D166" s="1049">
        <f t="shared" si="6"/>
        <v>3</v>
      </c>
      <c r="E166" s="1050">
        <f t="shared" si="7"/>
        <v>2037</v>
      </c>
      <c r="F166" s="1050">
        <f t="shared" si="13"/>
        <v>0.000000001282466463</v>
      </c>
      <c r="G166" s="1050">
        <f t="shared" si="8"/>
        <v>0</v>
      </c>
      <c r="H166" s="1050">
        <f t="shared" si="9"/>
        <v>0</v>
      </c>
      <c r="I166" s="1050">
        <f t="shared" si="10"/>
        <v>0</v>
      </c>
      <c r="J166" s="1051">
        <f t="shared" si="11"/>
        <v>0</v>
      </c>
      <c r="K166" s="1043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897"/>
      <c r="W166" s="897"/>
      <c r="X166" s="897"/>
      <c r="Y166" s="897"/>
      <c r="Z166" s="897"/>
    </row>
    <row r="167" ht="15.75" customHeight="1">
      <c r="A167" s="308"/>
      <c r="B167" s="1026">
        <v>143.0</v>
      </c>
      <c r="C167" s="1048">
        <f t="shared" si="12"/>
        <v>50145</v>
      </c>
      <c r="D167" s="1049">
        <f t="shared" si="6"/>
        <v>4</v>
      </c>
      <c r="E167" s="1050">
        <f t="shared" si="7"/>
        <v>2037</v>
      </c>
      <c r="F167" s="1050">
        <f t="shared" si="13"/>
        <v>0.000000001286687915</v>
      </c>
      <c r="G167" s="1050">
        <f t="shared" si="8"/>
        <v>0</v>
      </c>
      <c r="H167" s="1050">
        <f t="shared" si="9"/>
        <v>0</v>
      </c>
      <c r="I167" s="1050">
        <f t="shared" si="10"/>
        <v>0</v>
      </c>
      <c r="J167" s="1051">
        <f t="shared" si="11"/>
        <v>0</v>
      </c>
      <c r="K167" s="1043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897"/>
      <c r="W167" s="897"/>
      <c r="X167" s="897"/>
      <c r="Y167" s="897"/>
      <c r="Z167" s="897"/>
    </row>
    <row r="168" ht="15.75" customHeight="1">
      <c r="A168" s="308"/>
      <c r="B168" s="1026">
        <v>144.0</v>
      </c>
      <c r="C168" s="1048">
        <f t="shared" si="12"/>
        <v>50175</v>
      </c>
      <c r="D168" s="1049">
        <f t="shared" si="6"/>
        <v>5</v>
      </c>
      <c r="E168" s="1050">
        <f t="shared" si="7"/>
        <v>2037</v>
      </c>
      <c r="F168" s="1050">
        <f t="shared" si="13"/>
        <v>0.000000001290923263</v>
      </c>
      <c r="G168" s="1050">
        <f t="shared" si="8"/>
        <v>0</v>
      </c>
      <c r="H168" s="1050">
        <f t="shared" si="9"/>
        <v>0</v>
      </c>
      <c r="I168" s="1050">
        <f t="shared" si="10"/>
        <v>0</v>
      </c>
      <c r="J168" s="1051">
        <f t="shared" si="11"/>
        <v>0</v>
      </c>
      <c r="K168" s="1043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897"/>
      <c r="W168" s="897"/>
      <c r="X168" s="897"/>
      <c r="Y168" s="897"/>
      <c r="Z168" s="897"/>
    </row>
    <row r="169" ht="15.75" customHeight="1">
      <c r="A169" s="308"/>
      <c r="B169" s="1026">
        <v>145.0</v>
      </c>
      <c r="C169" s="1048">
        <f t="shared" si="12"/>
        <v>50206</v>
      </c>
      <c r="D169" s="1049">
        <f t="shared" si="6"/>
        <v>6</v>
      </c>
      <c r="E169" s="1050">
        <f t="shared" si="7"/>
        <v>2037</v>
      </c>
      <c r="F169" s="1050">
        <f t="shared" si="13"/>
        <v>0.000000001295172552</v>
      </c>
      <c r="G169" s="1050">
        <f t="shared" si="8"/>
        <v>0</v>
      </c>
      <c r="H169" s="1050">
        <f t="shared" si="9"/>
        <v>0</v>
      </c>
      <c r="I169" s="1050">
        <f t="shared" si="10"/>
        <v>0</v>
      </c>
      <c r="J169" s="1051">
        <f t="shared" si="11"/>
        <v>0</v>
      </c>
      <c r="K169" s="1043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897"/>
      <c r="W169" s="897"/>
      <c r="X169" s="897"/>
      <c r="Y169" s="897"/>
      <c r="Z169" s="897"/>
    </row>
    <row r="170" ht="15.75" customHeight="1">
      <c r="A170" s="308"/>
      <c r="B170" s="1026">
        <v>146.0</v>
      </c>
      <c r="C170" s="1048">
        <f t="shared" si="12"/>
        <v>50236</v>
      </c>
      <c r="D170" s="1049">
        <f t="shared" si="6"/>
        <v>7</v>
      </c>
      <c r="E170" s="1050">
        <f t="shared" si="7"/>
        <v>2037</v>
      </c>
      <c r="F170" s="1050">
        <f t="shared" si="13"/>
        <v>0.000000001299435828</v>
      </c>
      <c r="G170" s="1050">
        <f t="shared" si="8"/>
        <v>0</v>
      </c>
      <c r="H170" s="1050">
        <f t="shared" si="9"/>
        <v>0</v>
      </c>
      <c r="I170" s="1050">
        <f t="shared" si="10"/>
        <v>0</v>
      </c>
      <c r="J170" s="1051">
        <f t="shared" si="11"/>
        <v>0</v>
      </c>
      <c r="K170" s="1043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897"/>
      <c r="W170" s="897"/>
      <c r="X170" s="897"/>
      <c r="Y170" s="897"/>
      <c r="Z170" s="897"/>
    </row>
    <row r="171" ht="15.75" customHeight="1">
      <c r="A171" s="308"/>
      <c r="B171" s="1026">
        <v>147.0</v>
      </c>
      <c r="C171" s="1048">
        <f t="shared" si="12"/>
        <v>50267</v>
      </c>
      <c r="D171" s="1049">
        <f t="shared" si="6"/>
        <v>8</v>
      </c>
      <c r="E171" s="1050">
        <f t="shared" si="7"/>
        <v>2037</v>
      </c>
      <c r="F171" s="1050">
        <f t="shared" si="13"/>
        <v>0.000000001303713138</v>
      </c>
      <c r="G171" s="1050">
        <f t="shared" si="8"/>
        <v>0</v>
      </c>
      <c r="H171" s="1050">
        <f t="shared" si="9"/>
        <v>0</v>
      </c>
      <c r="I171" s="1050">
        <f t="shared" si="10"/>
        <v>0</v>
      </c>
      <c r="J171" s="1051">
        <f t="shared" si="11"/>
        <v>0</v>
      </c>
      <c r="K171" s="1043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897"/>
      <c r="W171" s="897"/>
      <c r="X171" s="897"/>
      <c r="Y171" s="897"/>
      <c r="Z171" s="897"/>
    </row>
    <row r="172" ht="15.75" customHeight="1">
      <c r="A172" s="308"/>
      <c r="B172" s="1026">
        <v>148.0</v>
      </c>
      <c r="C172" s="1048">
        <f t="shared" si="12"/>
        <v>50298</v>
      </c>
      <c r="D172" s="1049">
        <f t="shared" si="6"/>
        <v>9</v>
      </c>
      <c r="E172" s="1050">
        <f t="shared" si="7"/>
        <v>2037</v>
      </c>
      <c r="F172" s="1050">
        <f t="shared" si="13"/>
        <v>0.000000001308004527</v>
      </c>
      <c r="G172" s="1050">
        <f t="shared" si="8"/>
        <v>0</v>
      </c>
      <c r="H172" s="1050">
        <f t="shared" si="9"/>
        <v>0</v>
      </c>
      <c r="I172" s="1050">
        <f t="shared" si="10"/>
        <v>0</v>
      </c>
      <c r="J172" s="1051">
        <f t="shared" si="11"/>
        <v>0</v>
      </c>
      <c r="K172" s="1043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897"/>
      <c r="W172" s="897"/>
      <c r="X172" s="897"/>
      <c r="Y172" s="897"/>
      <c r="Z172" s="897"/>
    </row>
    <row r="173" ht="15.75" customHeight="1">
      <c r="A173" s="308"/>
      <c r="B173" s="1026">
        <v>149.0</v>
      </c>
      <c r="C173" s="1048">
        <f t="shared" si="12"/>
        <v>50328</v>
      </c>
      <c r="D173" s="1049">
        <f t="shared" si="6"/>
        <v>10</v>
      </c>
      <c r="E173" s="1050">
        <f t="shared" si="7"/>
        <v>2037</v>
      </c>
      <c r="F173" s="1050">
        <f t="shared" si="13"/>
        <v>0.000000001312310042</v>
      </c>
      <c r="G173" s="1050">
        <f t="shared" si="8"/>
        <v>0</v>
      </c>
      <c r="H173" s="1050">
        <f t="shared" si="9"/>
        <v>0</v>
      </c>
      <c r="I173" s="1050">
        <f t="shared" si="10"/>
        <v>0</v>
      </c>
      <c r="J173" s="1051">
        <f t="shared" si="11"/>
        <v>0</v>
      </c>
      <c r="K173" s="1043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897"/>
      <c r="W173" s="897"/>
      <c r="X173" s="897"/>
      <c r="Y173" s="897"/>
      <c r="Z173" s="897"/>
    </row>
    <row r="174" ht="15.75" customHeight="1">
      <c r="A174" s="308"/>
      <c r="B174" s="1026">
        <v>150.0</v>
      </c>
      <c r="C174" s="1048">
        <f t="shared" si="12"/>
        <v>50359</v>
      </c>
      <c r="D174" s="1049">
        <f t="shared" si="6"/>
        <v>11</v>
      </c>
      <c r="E174" s="1050">
        <f t="shared" si="7"/>
        <v>2037</v>
      </c>
      <c r="F174" s="1050">
        <f t="shared" si="13"/>
        <v>0.000000001316629729</v>
      </c>
      <c r="G174" s="1050">
        <f t="shared" si="8"/>
        <v>0</v>
      </c>
      <c r="H174" s="1050">
        <f t="shared" si="9"/>
        <v>0</v>
      </c>
      <c r="I174" s="1050">
        <f t="shared" si="10"/>
        <v>0</v>
      </c>
      <c r="J174" s="1051">
        <f t="shared" si="11"/>
        <v>0</v>
      </c>
      <c r="K174" s="1043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897"/>
      <c r="W174" s="897"/>
      <c r="X174" s="897"/>
      <c r="Y174" s="897"/>
      <c r="Z174" s="897"/>
    </row>
    <row r="175" ht="15.75" customHeight="1">
      <c r="A175" s="308"/>
      <c r="B175" s="1026">
        <v>151.0</v>
      </c>
      <c r="C175" s="1048">
        <f t="shared" si="12"/>
        <v>50389</v>
      </c>
      <c r="D175" s="1049">
        <f t="shared" si="6"/>
        <v>12</v>
      </c>
      <c r="E175" s="1050">
        <f t="shared" si="7"/>
        <v>2037</v>
      </c>
      <c r="F175" s="1050">
        <f t="shared" si="13"/>
        <v>0.000000001320963635</v>
      </c>
      <c r="G175" s="1050">
        <f t="shared" si="8"/>
        <v>0</v>
      </c>
      <c r="H175" s="1050">
        <f t="shared" si="9"/>
        <v>0</v>
      </c>
      <c r="I175" s="1050">
        <f t="shared" si="10"/>
        <v>0</v>
      </c>
      <c r="J175" s="1051">
        <f t="shared" si="11"/>
        <v>0</v>
      </c>
      <c r="K175" s="1043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897"/>
      <c r="W175" s="897"/>
      <c r="X175" s="897"/>
      <c r="Y175" s="897"/>
      <c r="Z175" s="897"/>
    </row>
    <row r="176" ht="15.75" customHeight="1">
      <c r="A176" s="308"/>
      <c r="B176" s="1026">
        <v>152.0</v>
      </c>
      <c r="C176" s="1048">
        <f t="shared" si="12"/>
        <v>50420</v>
      </c>
      <c r="D176" s="1049">
        <f t="shared" si="6"/>
        <v>1</v>
      </c>
      <c r="E176" s="1050">
        <f t="shared" si="7"/>
        <v>2038</v>
      </c>
      <c r="F176" s="1050">
        <f t="shared" si="13"/>
        <v>0.000000001325311807</v>
      </c>
      <c r="G176" s="1050">
        <f t="shared" si="8"/>
        <v>0</v>
      </c>
      <c r="H176" s="1050">
        <f t="shared" si="9"/>
        <v>0</v>
      </c>
      <c r="I176" s="1050">
        <f t="shared" si="10"/>
        <v>0</v>
      </c>
      <c r="J176" s="1051">
        <f t="shared" si="11"/>
        <v>0</v>
      </c>
      <c r="K176" s="1043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897"/>
      <c r="W176" s="897"/>
      <c r="X176" s="897"/>
      <c r="Y176" s="897"/>
      <c r="Z176" s="897"/>
    </row>
    <row r="177" ht="15.75" customHeight="1">
      <c r="A177" s="308"/>
      <c r="B177" s="1026">
        <v>153.0</v>
      </c>
      <c r="C177" s="1048">
        <f t="shared" si="12"/>
        <v>50451</v>
      </c>
      <c r="D177" s="1049">
        <f t="shared" si="6"/>
        <v>2</v>
      </c>
      <c r="E177" s="1050">
        <f t="shared" si="7"/>
        <v>2038</v>
      </c>
      <c r="F177" s="1050">
        <f t="shared" si="13"/>
        <v>0.000000001329674292</v>
      </c>
      <c r="G177" s="1050">
        <f t="shared" si="8"/>
        <v>0</v>
      </c>
      <c r="H177" s="1050">
        <f t="shared" si="9"/>
        <v>0</v>
      </c>
      <c r="I177" s="1050">
        <f t="shared" si="10"/>
        <v>0</v>
      </c>
      <c r="J177" s="1051">
        <f t="shared" si="11"/>
        <v>0</v>
      </c>
      <c r="K177" s="1043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897"/>
      <c r="W177" s="897"/>
      <c r="X177" s="897"/>
      <c r="Y177" s="897"/>
      <c r="Z177" s="897"/>
    </row>
    <row r="178" ht="15.75" customHeight="1">
      <c r="A178" s="308"/>
      <c r="B178" s="1026">
        <v>154.0</v>
      </c>
      <c r="C178" s="1048">
        <f t="shared" si="12"/>
        <v>50479</v>
      </c>
      <c r="D178" s="1049">
        <f t="shared" si="6"/>
        <v>3</v>
      </c>
      <c r="E178" s="1050">
        <f t="shared" si="7"/>
        <v>2038</v>
      </c>
      <c r="F178" s="1050">
        <f t="shared" si="13"/>
        <v>0.000000001334051136</v>
      </c>
      <c r="G178" s="1050">
        <f t="shared" si="8"/>
        <v>0</v>
      </c>
      <c r="H178" s="1050">
        <f t="shared" si="9"/>
        <v>0</v>
      </c>
      <c r="I178" s="1050">
        <f t="shared" si="10"/>
        <v>0</v>
      </c>
      <c r="J178" s="1051">
        <f t="shared" si="11"/>
        <v>0</v>
      </c>
      <c r="K178" s="1043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897"/>
      <c r="W178" s="897"/>
      <c r="X178" s="897"/>
      <c r="Y178" s="897"/>
      <c r="Z178" s="897"/>
    </row>
    <row r="179" ht="15.75" customHeight="1">
      <c r="A179" s="308"/>
      <c r="B179" s="1026">
        <v>155.0</v>
      </c>
      <c r="C179" s="1048">
        <f t="shared" si="12"/>
        <v>50510</v>
      </c>
      <c r="D179" s="1049">
        <f t="shared" si="6"/>
        <v>4</v>
      </c>
      <c r="E179" s="1050">
        <f t="shared" si="7"/>
        <v>2038</v>
      </c>
      <c r="F179" s="1050">
        <f t="shared" si="13"/>
        <v>0.000000001338442388</v>
      </c>
      <c r="G179" s="1050">
        <f t="shared" si="8"/>
        <v>0</v>
      </c>
      <c r="H179" s="1050">
        <f t="shared" si="9"/>
        <v>0</v>
      </c>
      <c r="I179" s="1050">
        <f t="shared" si="10"/>
        <v>0</v>
      </c>
      <c r="J179" s="1051">
        <f t="shared" si="11"/>
        <v>0</v>
      </c>
      <c r="K179" s="1043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897"/>
      <c r="W179" s="897"/>
      <c r="X179" s="897"/>
      <c r="Y179" s="897"/>
      <c r="Z179" s="897"/>
    </row>
    <row r="180" ht="15.75" customHeight="1">
      <c r="A180" s="308"/>
      <c r="B180" s="1026">
        <v>156.0</v>
      </c>
      <c r="C180" s="1048">
        <f t="shared" si="12"/>
        <v>50540</v>
      </c>
      <c r="D180" s="1049">
        <f t="shared" si="6"/>
        <v>5</v>
      </c>
      <c r="E180" s="1050">
        <f t="shared" si="7"/>
        <v>2038</v>
      </c>
      <c r="F180" s="1050">
        <f t="shared" si="13"/>
        <v>0.000000001342848094</v>
      </c>
      <c r="G180" s="1050">
        <f t="shared" si="8"/>
        <v>0</v>
      </c>
      <c r="H180" s="1050">
        <f t="shared" si="9"/>
        <v>0</v>
      </c>
      <c r="I180" s="1050">
        <f t="shared" si="10"/>
        <v>0</v>
      </c>
      <c r="J180" s="1051">
        <f t="shared" si="11"/>
        <v>0</v>
      </c>
      <c r="K180" s="1043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897"/>
      <c r="W180" s="897"/>
      <c r="X180" s="897"/>
      <c r="Y180" s="897"/>
      <c r="Z180" s="897"/>
    </row>
    <row r="181" ht="15.75" customHeight="1">
      <c r="A181" s="308"/>
      <c r="B181" s="1026">
        <v>157.0</v>
      </c>
      <c r="C181" s="1048">
        <f t="shared" si="12"/>
        <v>50571</v>
      </c>
      <c r="D181" s="1049">
        <f t="shared" si="6"/>
        <v>6</v>
      </c>
      <c r="E181" s="1050">
        <f t="shared" si="7"/>
        <v>2038</v>
      </c>
      <c r="F181" s="1050">
        <f t="shared" si="13"/>
        <v>0.000000001347268302</v>
      </c>
      <c r="G181" s="1050">
        <f t="shared" si="8"/>
        <v>0</v>
      </c>
      <c r="H181" s="1050">
        <f t="shared" si="9"/>
        <v>0</v>
      </c>
      <c r="I181" s="1050">
        <f t="shared" si="10"/>
        <v>0</v>
      </c>
      <c r="J181" s="1051">
        <f t="shared" si="11"/>
        <v>0</v>
      </c>
      <c r="K181" s="1043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897"/>
      <c r="W181" s="897"/>
      <c r="X181" s="897"/>
      <c r="Y181" s="897"/>
      <c r="Z181" s="897"/>
    </row>
    <row r="182" ht="15.75" customHeight="1">
      <c r="A182" s="308"/>
      <c r="B182" s="1026">
        <v>158.0</v>
      </c>
      <c r="C182" s="1048">
        <f t="shared" si="12"/>
        <v>50601</v>
      </c>
      <c r="D182" s="1049">
        <f t="shared" si="6"/>
        <v>7</v>
      </c>
      <c r="E182" s="1050">
        <f t="shared" si="7"/>
        <v>2038</v>
      </c>
      <c r="F182" s="1050">
        <f t="shared" si="13"/>
        <v>0.000000001351703061</v>
      </c>
      <c r="G182" s="1050">
        <f t="shared" si="8"/>
        <v>0</v>
      </c>
      <c r="H182" s="1050">
        <f t="shared" si="9"/>
        <v>0</v>
      </c>
      <c r="I182" s="1050">
        <f t="shared" si="10"/>
        <v>0</v>
      </c>
      <c r="J182" s="1051">
        <f t="shared" si="11"/>
        <v>0</v>
      </c>
      <c r="K182" s="1043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897"/>
      <c r="W182" s="897"/>
      <c r="X182" s="897"/>
      <c r="Y182" s="897"/>
      <c r="Z182" s="897"/>
    </row>
    <row r="183" ht="15.75" customHeight="1">
      <c r="A183" s="308"/>
      <c r="B183" s="1026">
        <v>159.0</v>
      </c>
      <c r="C183" s="1048">
        <f t="shared" si="12"/>
        <v>50632</v>
      </c>
      <c r="D183" s="1049">
        <f t="shared" si="6"/>
        <v>8</v>
      </c>
      <c r="E183" s="1050">
        <f t="shared" si="7"/>
        <v>2038</v>
      </c>
      <c r="F183" s="1050">
        <f t="shared" si="13"/>
        <v>0.000000001356152416</v>
      </c>
      <c r="G183" s="1050">
        <f t="shared" si="8"/>
        <v>0</v>
      </c>
      <c r="H183" s="1050">
        <f t="shared" si="9"/>
        <v>0</v>
      </c>
      <c r="I183" s="1050">
        <f t="shared" si="10"/>
        <v>0</v>
      </c>
      <c r="J183" s="1051">
        <f t="shared" si="11"/>
        <v>0</v>
      </c>
      <c r="K183" s="1043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897"/>
      <c r="W183" s="897"/>
      <c r="X183" s="897"/>
      <c r="Y183" s="897"/>
      <c r="Z183" s="897"/>
    </row>
    <row r="184" ht="15.75" customHeight="1">
      <c r="A184" s="308"/>
      <c r="B184" s="1026">
        <v>160.0</v>
      </c>
      <c r="C184" s="1048">
        <f t="shared" si="12"/>
        <v>50663</v>
      </c>
      <c r="D184" s="1049">
        <f t="shared" si="6"/>
        <v>9</v>
      </c>
      <c r="E184" s="1050">
        <f t="shared" si="7"/>
        <v>2038</v>
      </c>
      <c r="F184" s="1050">
        <f t="shared" si="13"/>
        <v>0.000000001360616418</v>
      </c>
      <c r="G184" s="1050">
        <f t="shared" si="8"/>
        <v>0</v>
      </c>
      <c r="H184" s="1050">
        <f t="shared" si="9"/>
        <v>0</v>
      </c>
      <c r="I184" s="1050">
        <f t="shared" si="10"/>
        <v>0</v>
      </c>
      <c r="J184" s="1051">
        <f t="shared" si="11"/>
        <v>0</v>
      </c>
      <c r="K184" s="1043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897"/>
      <c r="W184" s="897"/>
      <c r="X184" s="897"/>
      <c r="Y184" s="897"/>
      <c r="Z184" s="897"/>
    </row>
    <row r="185" ht="15.75" customHeight="1">
      <c r="A185" s="308"/>
      <c r="B185" s="1026">
        <v>161.0</v>
      </c>
      <c r="C185" s="1048">
        <f t="shared" si="12"/>
        <v>50693</v>
      </c>
      <c r="D185" s="1049">
        <f t="shared" si="6"/>
        <v>10</v>
      </c>
      <c r="E185" s="1050">
        <f t="shared" si="7"/>
        <v>2038</v>
      </c>
      <c r="F185" s="1050">
        <f t="shared" si="13"/>
        <v>0.000000001365095114</v>
      </c>
      <c r="G185" s="1050">
        <f t="shared" si="8"/>
        <v>0</v>
      </c>
      <c r="H185" s="1050">
        <f t="shared" si="9"/>
        <v>0</v>
      </c>
      <c r="I185" s="1050">
        <f t="shared" si="10"/>
        <v>0</v>
      </c>
      <c r="J185" s="1051">
        <f t="shared" si="11"/>
        <v>0</v>
      </c>
      <c r="K185" s="1043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897"/>
      <c r="W185" s="897"/>
      <c r="X185" s="897"/>
      <c r="Y185" s="897"/>
      <c r="Z185" s="897"/>
    </row>
    <row r="186" ht="15.75" customHeight="1">
      <c r="A186" s="308"/>
      <c r="B186" s="1026">
        <v>162.0</v>
      </c>
      <c r="C186" s="1048">
        <f t="shared" si="12"/>
        <v>50724</v>
      </c>
      <c r="D186" s="1049">
        <f t="shared" si="6"/>
        <v>11</v>
      </c>
      <c r="E186" s="1050">
        <f t="shared" si="7"/>
        <v>2038</v>
      </c>
      <c r="F186" s="1050">
        <f t="shared" si="13"/>
        <v>0.000000001369588552</v>
      </c>
      <c r="G186" s="1050">
        <f t="shared" si="8"/>
        <v>0</v>
      </c>
      <c r="H186" s="1050">
        <f t="shared" si="9"/>
        <v>0</v>
      </c>
      <c r="I186" s="1050">
        <f t="shared" si="10"/>
        <v>0</v>
      </c>
      <c r="J186" s="1051">
        <f t="shared" si="11"/>
        <v>0</v>
      </c>
      <c r="K186" s="1043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897"/>
      <c r="W186" s="897"/>
      <c r="X186" s="897"/>
      <c r="Y186" s="897"/>
      <c r="Z186" s="897"/>
    </row>
    <row r="187" ht="15.75" customHeight="1">
      <c r="A187" s="308"/>
      <c r="B187" s="1026">
        <v>163.0</v>
      </c>
      <c r="C187" s="1048">
        <f t="shared" si="12"/>
        <v>50754</v>
      </c>
      <c r="D187" s="1049">
        <f t="shared" si="6"/>
        <v>12</v>
      </c>
      <c r="E187" s="1050">
        <f t="shared" si="7"/>
        <v>2038</v>
      </c>
      <c r="F187" s="1050">
        <f t="shared" si="13"/>
        <v>0.000000001374096781</v>
      </c>
      <c r="G187" s="1050">
        <f t="shared" si="8"/>
        <v>0</v>
      </c>
      <c r="H187" s="1050">
        <f t="shared" si="9"/>
        <v>0</v>
      </c>
      <c r="I187" s="1050">
        <f t="shared" si="10"/>
        <v>0</v>
      </c>
      <c r="J187" s="1051">
        <f t="shared" si="11"/>
        <v>0</v>
      </c>
      <c r="K187" s="1043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897"/>
      <c r="W187" s="897"/>
      <c r="X187" s="897"/>
      <c r="Y187" s="897"/>
      <c r="Z187" s="897"/>
    </row>
    <row r="188" ht="15.75" customHeight="1">
      <c r="A188" s="308"/>
      <c r="B188" s="1026">
        <v>164.0</v>
      </c>
      <c r="C188" s="1048">
        <f t="shared" si="12"/>
        <v>50785</v>
      </c>
      <c r="D188" s="1049">
        <f t="shared" si="6"/>
        <v>1</v>
      </c>
      <c r="E188" s="1050">
        <f t="shared" si="7"/>
        <v>2039</v>
      </c>
      <c r="F188" s="1050">
        <f t="shared" si="13"/>
        <v>0.000000001378619849</v>
      </c>
      <c r="G188" s="1050">
        <f t="shared" si="8"/>
        <v>0</v>
      </c>
      <c r="H188" s="1050">
        <f t="shared" si="9"/>
        <v>0</v>
      </c>
      <c r="I188" s="1050">
        <f t="shared" si="10"/>
        <v>0</v>
      </c>
      <c r="J188" s="1051">
        <f t="shared" si="11"/>
        <v>0</v>
      </c>
      <c r="K188" s="1043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897"/>
      <c r="W188" s="897"/>
      <c r="X188" s="897"/>
      <c r="Y188" s="897"/>
      <c r="Z188" s="897"/>
    </row>
    <row r="189" ht="15.75" customHeight="1">
      <c r="A189" s="308"/>
      <c r="B189" s="1026">
        <v>165.0</v>
      </c>
      <c r="C189" s="1048">
        <f t="shared" si="12"/>
        <v>50816</v>
      </c>
      <c r="D189" s="1049">
        <f t="shared" si="6"/>
        <v>2</v>
      </c>
      <c r="E189" s="1050">
        <f t="shared" si="7"/>
        <v>2039</v>
      </c>
      <c r="F189" s="1050">
        <f t="shared" si="13"/>
        <v>0.000000001383157807</v>
      </c>
      <c r="G189" s="1050">
        <f t="shared" si="8"/>
        <v>0</v>
      </c>
      <c r="H189" s="1050">
        <f t="shared" si="9"/>
        <v>0</v>
      </c>
      <c r="I189" s="1050">
        <f t="shared" si="10"/>
        <v>0</v>
      </c>
      <c r="J189" s="1051">
        <f t="shared" si="11"/>
        <v>0</v>
      </c>
      <c r="K189" s="1043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897"/>
      <c r="W189" s="897"/>
      <c r="X189" s="897"/>
      <c r="Y189" s="897"/>
      <c r="Z189" s="897"/>
    </row>
    <row r="190" ht="15.75" customHeight="1">
      <c r="A190" s="308"/>
      <c r="B190" s="1026">
        <v>166.0</v>
      </c>
      <c r="C190" s="1048">
        <f t="shared" si="12"/>
        <v>50844</v>
      </c>
      <c r="D190" s="1049">
        <f t="shared" si="6"/>
        <v>3</v>
      </c>
      <c r="E190" s="1050">
        <f t="shared" si="7"/>
        <v>2039</v>
      </c>
      <c r="F190" s="1050">
        <f t="shared" si="13"/>
        <v>0.000000001387710701</v>
      </c>
      <c r="G190" s="1050">
        <f t="shared" si="8"/>
        <v>0</v>
      </c>
      <c r="H190" s="1050">
        <f t="shared" si="9"/>
        <v>0</v>
      </c>
      <c r="I190" s="1050">
        <f t="shared" si="10"/>
        <v>0</v>
      </c>
      <c r="J190" s="1051">
        <f t="shared" si="11"/>
        <v>0</v>
      </c>
      <c r="K190" s="1043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897"/>
      <c r="W190" s="897"/>
      <c r="X190" s="897"/>
      <c r="Y190" s="897"/>
      <c r="Z190" s="897"/>
    </row>
    <row r="191" ht="15.75" customHeight="1">
      <c r="A191" s="308"/>
      <c r="B191" s="1026">
        <v>167.0</v>
      </c>
      <c r="C191" s="1048">
        <f t="shared" si="12"/>
        <v>50875</v>
      </c>
      <c r="D191" s="1049">
        <f t="shared" si="6"/>
        <v>4</v>
      </c>
      <c r="E191" s="1050">
        <f t="shared" si="7"/>
        <v>2039</v>
      </c>
      <c r="F191" s="1050">
        <f t="shared" si="13"/>
        <v>0.000000001392278582</v>
      </c>
      <c r="G191" s="1050">
        <f t="shared" si="8"/>
        <v>0</v>
      </c>
      <c r="H191" s="1050">
        <f t="shared" si="9"/>
        <v>0</v>
      </c>
      <c r="I191" s="1050">
        <f t="shared" si="10"/>
        <v>0</v>
      </c>
      <c r="J191" s="1051">
        <f t="shared" si="11"/>
        <v>0</v>
      </c>
      <c r="K191" s="1043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897"/>
      <c r="W191" s="897"/>
      <c r="X191" s="897"/>
      <c r="Y191" s="897"/>
      <c r="Z191" s="897"/>
    </row>
    <row r="192" ht="15.75" customHeight="1">
      <c r="A192" s="308"/>
      <c r="B192" s="1026">
        <v>168.0</v>
      </c>
      <c r="C192" s="1048">
        <f t="shared" si="12"/>
        <v>50905</v>
      </c>
      <c r="D192" s="1049">
        <f t="shared" si="6"/>
        <v>5</v>
      </c>
      <c r="E192" s="1050">
        <f t="shared" si="7"/>
        <v>2039</v>
      </c>
      <c r="F192" s="1050">
        <f t="shared" si="13"/>
        <v>0.000000001396861499</v>
      </c>
      <c r="G192" s="1050">
        <f t="shared" si="8"/>
        <v>0</v>
      </c>
      <c r="H192" s="1050">
        <f t="shared" si="9"/>
        <v>0</v>
      </c>
      <c r="I192" s="1050">
        <f t="shared" si="10"/>
        <v>0</v>
      </c>
      <c r="J192" s="1051">
        <f t="shared" si="11"/>
        <v>0</v>
      </c>
      <c r="K192" s="1043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897"/>
      <c r="W192" s="897"/>
      <c r="X192" s="897"/>
      <c r="Y192" s="897"/>
      <c r="Z192" s="897"/>
    </row>
    <row r="193" ht="15.75" customHeight="1">
      <c r="A193" s="308"/>
      <c r="B193" s="1026">
        <v>169.0</v>
      </c>
      <c r="C193" s="1048">
        <f t="shared" si="12"/>
        <v>50936</v>
      </c>
      <c r="D193" s="1049">
        <f t="shared" si="6"/>
        <v>6</v>
      </c>
      <c r="E193" s="1050">
        <f t="shared" si="7"/>
        <v>2039</v>
      </c>
      <c r="F193" s="1050">
        <f t="shared" si="13"/>
        <v>0.000000001401459501</v>
      </c>
      <c r="G193" s="1050">
        <f t="shared" si="8"/>
        <v>0</v>
      </c>
      <c r="H193" s="1050">
        <f t="shared" si="9"/>
        <v>0</v>
      </c>
      <c r="I193" s="1050">
        <f t="shared" si="10"/>
        <v>0</v>
      </c>
      <c r="J193" s="1051">
        <f t="shared" si="11"/>
        <v>0</v>
      </c>
      <c r="K193" s="1043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897"/>
      <c r="W193" s="897"/>
      <c r="X193" s="897"/>
      <c r="Y193" s="897"/>
      <c r="Z193" s="897"/>
    </row>
    <row r="194" ht="15.75" customHeight="1">
      <c r="A194" s="308"/>
      <c r="B194" s="1026">
        <v>170.0</v>
      </c>
      <c r="C194" s="1048">
        <f t="shared" si="12"/>
        <v>50966</v>
      </c>
      <c r="D194" s="1049">
        <f t="shared" si="6"/>
        <v>7</v>
      </c>
      <c r="E194" s="1050">
        <f t="shared" si="7"/>
        <v>2039</v>
      </c>
      <c r="F194" s="1050">
        <f t="shared" si="13"/>
        <v>0.000000001406072639</v>
      </c>
      <c r="G194" s="1050">
        <f t="shared" si="8"/>
        <v>0</v>
      </c>
      <c r="H194" s="1050">
        <f t="shared" si="9"/>
        <v>0</v>
      </c>
      <c r="I194" s="1050">
        <f t="shared" si="10"/>
        <v>0</v>
      </c>
      <c r="J194" s="1051">
        <f t="shared" si="11"/>
        <v>0</v>
      </c>
      <c r="K194" s="1043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897"/>
      <c r="W194" s="897"/>
      <c r="X194" s="897"/>
      <c r="Y194" s="897"/>
      <c r="Z194" s="897"/>
    </row>
    <row r="195" ht="15.75" customHeight="1">
      <c r="A195" s="308"/>
      <c r="B195" s="1026">
        <v>171.0</v>
      </c>
      <c r="C195" s="1048">
        <f t="shared" si="12"/>
        <v>50997</v>
      </c>
      <c r="D195" s="1049">
        <f t="shared" si="6"/>
        <v>8</v>
      </c>
      <c r="E195" s="1050">
        <f t="shared" si="7"/>
        <v>2039</v>
      </c>
      <c r="F195" s="1050">
        <f t="shared" si="13"/>
        <v>0.000000001410700961</v>
      </c>
      <c r="G195" s="1050">
        <f t="shared" si="8"/>
        <v>0</v>
      </c>
      <c r="H195" s="1050">
        <f t="shared" si="9"/>
        <v>0</v>
      </c>
      <c r="I195" s="1050">
        <f t="shared" si="10"/>
        <v>0</v>
      </c>
      <c r="J195" s="1051">
        <f t="shared" si="11"/>
        <v>0</v>
      </c>
      <c r="K195" s="1043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897"/>
      <c r="W195" s="897"/>
      <c r="X195" s="897"/>
      <c r="Y195" s="897"/>
      <c r="Z195" s="897"/>
    </row>
    <row r="196" ht="15.75" customHeight="1">
      <c r="A196" s="308"/>
      <c r="B196" s="1026">
        <v>172.0</v>
      </c>
      <c r="C196" s="1048">
        <f t="shared" si="12"/>
        <v>51028</v>
      </c>
      <c r="D196" s="1049">
        <f t="shared" si="6"/>
        <v>9</v>
      </c>
      <c r="E196" s="1050">
        <f t="shared" si="7"/>
        <v>2039</v>
      </c>
      <c r="F196" s="1050">
        <f t="shared" si="13"/>
        <v>0.000000001415344519</v>
      </c>
      <c r="G196" s="1050">
        <f t="shared" si="8"/>
        <v>0</v>
      </c>
      <c r="H196" s="1050">
        <f t="shared" si="9"/>
        <v>0</v>
      </c>
      <c r="I196" s="1050">
        <f t="shared" si="10"/>
        <v>0</v>
      </c>
      <c r="J196" s="1051">
        <f t="shared" si="11"/>
        <v>0</v>
      </c>
      <c r="K196" s="1043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897"/>
      <c r="W196" s="897"/>
      <c r="X196" s="897"/>
      <c r="Y196" s="897"/>
      <c r="Z196" s="897"/>
    </row>
    <row r="197" ht="15.75" customHeight="1">
      <c r="A197" s="308"/>
      <c r="B197" s="1026">
        <v>173.0</v>
      </c>
      <c r="C197" s="1048">
        <f t="shared" si="12"/>
        <v>51058</v>
      </c>
      <c r="D197" s="1049">
        <f t="shared" si="6"/>
        <v>10</v>
      </c>
      <c r="E197" s="1050">
        <f t="shared" si="7"/>
        <v>2039</v>
      </c>
      <c r="F197" s="1050">
        <f t="shared" si="13"/>
        <v>0.000000001420003361</v>
      </c>
      <c r="G197" s="1050">
        <f t="shared" si="8"/>
        <v>0</v>
      </c>
      <c r="H197" s="1050">
        <f t="shared" si="9"/>
        <v>0</v>
      </c>
      <c r="I197" s="1050">
        <f t="shared" si="10"/>
        <v>0</v>
      </c>
      <c r="J197" s="1051">
        <f t="shared" si="11"/>
        <v>0</v>
      </c>
      <c r="K197" s="1043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897"/>
      <c r="W197" s="897"/>
      <c r="X197" s="897"/>
      <c r="Y197" s="897"/>
      <c r="Z197" s="897"/>
    </row>
    <row r="198" ht="15.75" customHeight="1">
      <c r="A198" s="308"/>
      <c r="B198" s="1026">
        <v>174.0</v>
      </c>
      <c r="C198" s="1048">
        <f t="shared" si="12"/>
        <v>51089</v>
      </c>
      <c r="D198" s="1049">
        <f t="shared" si="6"/>
        <v>11</v>
      </c>
      <c r="E198" s="1050">
        <f t="shared" si="7"/>
        <v>2039</v>
      </c>
      <c r="F198" s="1050">
        <f t="shared" si="13"/>
        <v>0.000000001424677539</v>
      </c>
      <c r="G198" s="1050">
        <f t="shared" si="8"/>
        <v>0</v>
      </c>
      <c r="H198" s="1050">
        <f t="shared" si="9"/>
        <v>0</v>
      </c>
      <c r="I198" s="1050">
        <f t="shared" si="10"/>
        <v>0</v>
      </c>
      <c r="J198" s="1051">
        <f t="shared" si="11"/>
        <v>0</v>
      </c>
      <c r="K198" s="1043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897"/>
      <c r="W198" s="897"/>
      <c r="X198" s="897"/>
      <c r="Y198" s="897"/>
      <c r="Z198" s="897"/>
    </row>
    <row r="199" ht="15.75" customHeight="1">
      <c r="A199" s="308"/>
      <c r="B199" s="1026">
        <v>175.0</v>
      </c>
      <c r="C199" s="1048">
        <f t="shared" si="12"/>
        <v>51119</v>
      </c>
      <c r="D199" s="1049">
        <f t="shared" si="6"/>
        <v>12</v>
      </c>
      <c r="E199" s="1050">
        <f t="shared" si="7"/>
        <v>2039</v>
      </c>
      <c r="F199" s="1050">
        <f t="shared" si="13"/>
        <v>0.000000001429367102</v>
      </c>
      <c r="G199" s="1050">
        <f t="shared" si="8"/>
        <v>0</v>
      </c>
      <c r="H199" s="1050">
        <f t="shared" si="9"/>
        <v>0</v>
      </c>
      <c r="I199" s="1050">
        <f t="shared" si="10"/>
        <v>0</v>
      </c>
      <c r="J199" s="1051">
        <f t="shared" si="11"/>
        <v>0</v>
      </c>
      <c r="K199" s="1043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897"/>
      <c r="W199" s="897"/>
      <c r="X199" s="897"/>
      <c r="Y199" s="897"/>
      <c r="Z199" s="897"/>
    </row>
    <row r="200" ht="15.75" customHeight="1">
      <c r="A200" s="308"/>
      <c r="B200" s="1026">
        <v>176.0</v>
      </c>
      <c r="C200" s="1048">
        <f t="shared" si="12"/>
        <v>51150</v>
      </c>
      <c r="D200" s="1049">
        <f t="shared" si="6"/>
        <v>1</v>
      </c>
      <c r="E200" s="1050">
        <f t="shared" si="7"/>
        <v>2040</v>
      </c>
      <c r="F200" s="1050">
        <f t="shared" si="13"/>
        <v>0.000000001434072102</v>
      </c>
      <c r="G200" s="1050">
        <f t="shared" si="8"/>
        <v>0</v>
      </c>
      <c r="H200" s="1050">
        <f t="shared" si="9"/>
        <v>0</v>
      </c>
      <c r="I200" s="1050">
        <f t="shared" si="10"/>
        <v>0</v>
      </c>
      <c r="J200" s="1051">
        <f t="shared" si="11"/>
        <v>0</v>
      </c>
      <c r="K200" s="1043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897"/>
      <c r="W200" s="897"/>
      <c r="X200" s="897"/>
      <c r="Y200" s="897"/>
      <c r="Z200" s="897"/>
    </row>
    <row r="201" ht="15.75" customHeight="1">
      <c r="A201" s="308"/>
      <c r="B201" s="1026">
        <v>177.0</v>
      </c>
      <c r="C201" s="1048">
        <f t="shared" si="12"/>
        <v>51181</v>
      </c>
      <c r="D201" s="1049">
        <f t="shared" si="6"/>
        <v>2</v>
      </c>
      <c r="E201" s="1050">
        <f t="shared" si="7"/>
        <v>2040</v>
      </c>
      <c r="F201" s="1050">
        <f t="shared" si="13"/>
        <v>0.00000000143879259</v>
      </c>
      <c r="G201" s="1050">
        <f t="shared" si="8"/>
        <v>0</v>
      </c>
      <c r="H201" s="1050">
        <f t="shared" si="9"/>
        <v>0</v>
      </c>
      <c r="I201" s="1050">
        <f t="shared" si="10"/>
        <v>0</v>
      </c>
      <c r="J201" s="1051">
        <f t="shared" si="11"/>
        <v>0</v>
      </c>
      <c r="K201" s="1043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897"/>
      <c r="W201" s="897"/>
      <c r="X201" s="897"/>
      <c r="Y201" s="897"/>
      <c r="Z201" s="897"/>
    </row>
    <row r="202" ht="15.75" customHeight="1">
      <c r="A202" s="308"/>
      <c r="B202" s="1026">
        <v>178.0</v>
      </c>
      <c r="C202" s="1048">
        <f t="shared" si="12"/>
        <v>51210</v>
      </c>
      <c r="D202" s="1049">
        <f t="shared" si="6"/>
        <v>3</v>
      </c>
      <c r="E202" s="1050">
        <f t="shared" si="7"/>
        <v>2040</v>
      </c>
      <c r="F202" s="1050">
        <f t="shared" si="13"/>
        <v>0.000000001443528615</v>
      </c>
      <c r="G202" s="1050">
        <f t="shared" si="8"/>
        <v>0</v>
      </c>
      <c r="H202" s="1050">
        <f t="shared" si="9"/>
        <v>0</v>
      </c>
      <c r="I202" s="1050">
        <f t="shared" si="10"/>
        <v>0</v>
      </c>
      <c r="J202" s="1051">
        <f t="shared" si="11"/>
        <v>0</v>
      </c>
      <c r="K202" s="1043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897"/>
      <c r="W202" s="897"/>
      <c r="X202" s="897"/>
      <c r="Y202" s="897"/>
      <c r="Z202" s="897"/>
    </row>
    <row r="203" ht="15.75" customHeight="1">
      <c r="A203" s="308"/>
      <c r="B203" s="1026">
        <v>179.0</v>
      </c>
      <c r="C203" s="1048">
        <f t="shared" si="12"/>
        <v>51241</v>
      </c>
      <c r="D203" s="1049">
        <f t="shared" si="6"/>
        <v>4</v>
      </c>
      <c r="E203" s="1050">
        <f t="shared" si="7"/>
        <v>2040</v>
      </c>
      <c r="F203" s="1050">
        <f t="shared" si="13"/>
        <v>0.00000000144828023</v>
      </c>
      <c r="G203" s="1050">
        <f t="shared" si="8"/>
        <v>0</v>
      </c>
      <c r="H203" s="1050">
        <f t="shared" si="9"/>
        <v>0</v>
      </c>
      <c r="I203" s="1050">
        <f t="shared" si="10"/>
        <v>0</v>
      </c>
      <c r="J203" s="1051">
        <f t="shared" si="11"/>
        <v>0</v>
      </c>
      <c r="K203" s="1043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897"/>
      <c r="W203" s="897"/>
      <c r="X203" s="897"/>
      <c r="Y203" s="897"/>
      <c r="Z203" s="897"/>
    </row>
    <row r="204" ht="15.75" customHeight="1">
      <c r="A204" s="308"/>
      <c r="B204" s="1026">
        <v>180.0</v>
      </c>
      <c r="C204" s="1048">
        <f t="shared" si="12"/>
        <v>51271</v>
      </c>
      <c r="D204" s="1049">
        <f t="shared" si="6"/>
        <v>5</v>
      </c>
      <c r="E204" s="1050">
        <f t="shared" si="7"/>
        <v>2040</v>
      </c>
      <c r="F204" s="1050">
        <f t="shared" si="13"/>
        <v>0.000000001453047486</v>
      </c>
      <c r="G204" s="1050">
        <f t="shared" si="8"/>
        <v>0</v>
      </c>
      <c r="H204" s="1050">
        <f t="shared" si="9"/>
        <v>0</v>
      </c>
      <c r="I204" s="1050">
        <f t="shared" si="10"/>
        <v>0</v>
      </c>
      <c r="J204" s="1051">
        <f t="shared" si="11"/>
        <v>0</v>
      </c>
      <c r="K204" s="1043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897"/>
      <c r="W204" s="897"/>
      <c r="X204" s="897"/>
      <c r="Y204" s="897"/>
      <c r="Z204" s="897"/>
    </row>
    <row r="205" ht="15.75" customHeight="1">
      <c r="A205" s="308"/>
      <c r="B205" s="1026">
        <v>181.0</v>
      </c>
      <c r="C205" s="1048">
        <f t="shared" si="12"/>
        <v>51302</v>
      </c>
      <c r="D205" s="1049">
        <f t="shared" si="6"/>
        <v>6</v>
      </c>
      <c r="E205" s="1050">
        <f t="shared" si="7"/>
        <v>2040</v>
      </c>
      <c r="F205" s="1050">
        <f t="shared" si="13"/>
        <v>0.000000001457830434</v>
      </c>
      <c r="G205" s="1050">
        <f t="shared" si="8"/>
        <v>0</v>
      </c>
      <c r="H205" s="1050">
        <f t="shared" si="9"/>
        <v>0</v>
      </c>
      <c r="I205" s="1050">
        <f t="shared" si="10"/>
        <v>0</v>
      </c>
      <c r="J205" s="1051">
        <f t="shared" si="11"/>
        <v>0</v>
      </c>
      <c r="K205" s="1043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897"/>
      <c r="W205" s="897"/>
      <c r="X205" s="897"/>
      <c r="Y205" s="897"/>
      <c r="Z205" s="897"/>
    </row>
    <row r="206" ht="15.75" customHeight="1">
      <c r="A206" s="308"/>
      <c r="B206" s="1026">
        <v>182.0</v>
      </c>
      <c r="C206" s="1048">
        <f t="shared" si="12"/>
        <v>51332</v>
      </c>
      <c r="D206" s="1049">
        <f t="shared" si="6"/>
        <v>7</v>
      </c>
      <c r="E206" s="1050">
        <f t="shared" si="7"/>
        <v>2040</v>
      </c>
      <c r="F206" s="1050">
        <f t="shared" si="13"/>
        <v>0.000000001462629126</v>
      </c>
      <c r="G206" s="1050">
        <f t="shared" si="8"/>
        <v>0</v>
      </c>
      <c r="H206" s="1050">
        <f t="shared" si="9"/>
        <v>0</v>
      </c>
      <c r="I206" s="1050">
        <f t="shared" si="10"/>
        <v>0</v>
      </c>
      <c r="J206" s="1051">
        <f t="shared" si="11"/>
        <v>0</v>
      </c>
      <c r="K206" s="1043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897"/>
      <c r="W206" s="897"/>
      <c r="X206" s="897"/>
      <c r="Y206" s="897"/>
      <c r="Z206" s="897"/>
    </row>
    <row r="207" ht="15.75" customHeight="1">
      <c r="A207" s="308"/>
      <c r="B207" s="1026">
        <v>183.0</v>
      </c>
      <c r="C207" s="1048">
        <f t="shared" si="12"/>
        <v>51363</v>
      </c>
      <c r="D207" s="1049">
        <f t="shared" si="6"/>
        <v>8</v>
      </c>
      <c r="E207" s="1050">
        <f t="shared" si="7"/>
        <v>2040</v>
      </c>
      <c r="F207" s="1050">
        <f t="shared" si="13"/>
        <v>0.000000001467443614</v>
      </c>
      <c r="G207" s="1050">
        <f t="shared" si="8"/>
        <v>0</v>
      </c>
      <c r="H207" s="1050">
        <f t="shared" si="9"/>
        <v>0</v>
      </c>
      <c r="I207" s="1050">
        <f t="shared" si="10"/>
        <v>0</v>
      </c>
      <c r="J207" s="1051">
        <f t="shared" si="11"/>
        <v>0</v>
      </c>
      <c r="K207" s="1043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897"/>
      <c r="W207" s="897"/>
      <c r="X207" s="897"/>
      <c r="Y207" s="897"/>
      <c r="Z207" s="897"/>
    </row>
    <row r="208" ht="15.75" customHeight="1">
      <c r="A208" s="308"/>
      <c r="B208" s="1026">
        <v>184.0</v>
      </c>
      <c r="C208" s="1048">
        <f t="shared" si="12"/>
        <v>51394</v>
      </c>
      <c r="D208" s="1049">
        <f t="shared" si="6"/>
        <v>9</v>
      </c>
      <c r="E208" s="1050">
        <f t="shared" si="7"/>
        <v>2040</v>
      </c>
      <c r="F208" s="1050">
        <f t="shared" si="13"/>
        <v>0.000000001472273949</v>
      </c>
      <c r="G208" s="1050">
        <f t="shared" si="8"/>
        <v>0</v>
      </c>
      <c r="H208" s="1050">
        <f t="shared" si="9"/>
        <v>0</v>
      </c>
      <c r="I208" s="1050">
        <f t="shared" si="10"/>
        <v>0</v>
      </c>
      <c r="J208" s="1051">
        <f t="shared" si="11"/>
        <v>0</v>
      </c>
      <c r="K208" s="1043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897"/>
      <c r="W208" s="897"/>
      <c r="X208" s="897"/>
      <c r="Y208" s="897"/>
      <c r="Z208" s="897"/>
    </row>
    <row r="209" ht="15.75" customHeight="1">
      <c r="A209" s="308"/>
      <c r="B209" s="1026">
        <v>185.0</v>
      </c>
      <c r="C209" s="1048">
        <f t="shared" si="12"/>
        <v>51424</v>
      </c>
      <c r="D209" s="1049">
        <f t="shared" si="6"/>
        <v>10</v>
      </c>
      <c r="E209" s="1050">
        <f t="shared" si="7"/>
        <v>2040</v>
      </c>
      <c r="F209" s="1050">
        <f t="shared" si="13"/>
        <v>0.000000001477120184</v>
      </c>
      <c r="G209" s="1050">
        <f t="shared" si="8"/>
        <v>0</v>
      </c>
      <c r="H209" s="1050">
        <f t="shared" si="9"/>
        <v>0</v>
      </c>
      <c r="I209" s="1050">
        <f t="shared" si="10"/>
        <v>0</v>
      </c>
      <c r="J209" s="1051">
        <f t="shared" si="11"/>
        <v>0</v>
      </c>
      <c r="K209" s="1043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897"/>
      <c r="W209" s="897"/>
      <c r="X209" s="897"/>
      <c r="Y209" s="897"/>
      <c r="Z209" s="897"/>
    </row>
    <row r="210" ht="15.75" customHeight="1">
      <c r="A210" s="308"/>
      <c r="B210" s="1026">
        <v>186.0</v>
      </c>
      <c r="C210" s="1048">
        <f t="shared" si="12"/>
        <v>51455</v>
      </c>
      <c r="D210" s="1049">
        <f t="shared" si="6"/>
        <v>11</v>
      </c>
      <c r="E210" s="1050">
        <f t="shared" si="7"/>
        <v>2040</v>
      </c>
      <c r="F210" s="1050">
        <f t="shared" si="13"/>
        <v>0.000000001481982371</v>
      </c>
      <c r="G210" s="1050">
        <f t="shared" si="8"/>
        <v>0</v>
      </c>
      <c r="H210" s="1050">
        <f t="shared" si="9"/>
        <v>0</v>
      </c>
      <c r="I210" s="1050">
        <f t="shared" si="10"/>
        <v>0</v>
      </c>
      <c r="J210" s="1051">
        <f t="shared" si="11"/>
        <v>0</v>
      </c>
      <c r="K210" s="1043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897"/>
      <c r="W210" s="897"/>
      <c r="X210" s="897"/>
      <c r="Y210" s="897"/>
      <c r="Z210" s="897"/>
    </row>
    <row r="211" ht="15.75" customHeight="1">
      <c r="A211" s="308"/>
      <c r="B211" s="1026">
        <v>187.0</v>
      </c>
      <c r="C211" s="1048">
        <f t="shared" si="12"/>
        <v>51485</v>
      </c>
      <c r="D211" s="1049">
        <f t="shared" si="6"/>
        <v>12</v>
      </c>
      <c r="E211" s="1050">
        <f t="shared" si="7"/>
        <v>2040</v>
      </c>
      <c r="F211" s="1050">
        <f t="shared" si="13"/>
        <v>0.000000001486860563</v>
      </c>
      <c r="G211" s="1050">
        <f t="shared" si="8"/>
        <v>0</v>
      </c>
      <c r="H211" s="1050">
        <f t="shared" si="9"/>
        <v>0</v>
      </c>
      <c r="I211" s="1050">
        <f t="shared" si="10"/>
        <v>0</v>
      </c>
      <c r="J211" s="1051">
        <f t="shared" si="11"/>
        <v>0</v>
      </c>
      <c r="K211" s="1043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897"/>
      <c r="W211" s="897"/>
      <c r="X211" s="897"/>
      <c r="Y211" s="897"/>
      <c r="Z211" s="897"/>
    </row>
    <row r="212" ht="15.75" customHeight="1">
      <c r="A212" s="308"/>
      <c r="B212" s="1026">
        <v>188.0</v>
      </c>
      <c r="C212" s="1048">
        <f t="shared" si="12"/>
        <v>51516</v>
      </c>
      <c r="D212" s="1049">
        <f t="shared" si="6"/>
        <v>1</v>
      </c>
      <c r="E212" s="1050">
        <f t="shared" si="7"/>
        <v>2041</v>
      </c>
      <c r="F212" s="1050">
        <f t="shared" si="13"/>
        <v>0.000000001491754812</v>
      </c>
      <c r="G212" s="1050">
        <f t="shared" si="8"/>
        <v>0</v>
      </c>
      <c r="H212" s="1050">
        <f t="shared" si="9"/>
        <v>0</v>
      </c>
      <c r="I212" s="1050">
        <f t="shared" si="10"/>
        <v>0</v>
      </c>
      <c r="J212" s="1051">
        <f t="shared" si="11"/>
        <v>0</v>
      </c>
      <c r="K212" s="1043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897"/>
      <c r="W212" s="897"/>
      <c r="X212" s="897"/>
      <c r="Y212" s="897"/>
      <c r="Z212" s="897"/>
    </row>
    <row r="213" ht="15.75" customHeight="1">
      <c r="A213" s="308"/>
      <c r="B213" s="1026">
        <v>189.0</v>
      </c>
      <c r="C213" s="1048">
        <f t="shared" si="12"/>
        <v>51547</v>
      </c>
      <c r="D213" s="1049">
        <f t="shared" si="6"/>
        <v>2</v>
      </c>
      <c r="E213" s="1050">
        <f t="shared" si="7"/>
        <v>2041</v>
      </c>
      <c r="F213" s="1050">
        <f t="shared" si="13"/>
        <v>0.000000001496665172</v>
      </c>
      <c r="G213" s="1050">
        <f t="shared" si="8"/>
        <v>0</v>
      </c>
      <c r="H213" s="1050">
        <f t="shared" si="9"/>
        <v>0</v>
      </c>
      <c r="I213" s="1050">
        <f t="shared" si="10"/>
        <v>0</v>
      </c>
      <c r="J213" s="1051">
        <f t="shared" si="11"/>
        <v>0</v>
      </c>
      <c r="K213" s="1043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897"/>
      <c r="W213" s="897"/>
      <c r="X213" s="897"/>
      <c r="Y213" s="897"/>
      <c r="Z213" s="897"/>
    </row>
    <row r="214" ht="15.75" customHeight="1">
      <c r="A214" s="308"/>
      <c r="B214" s="1026">
        <v>190.0</v>
      </c>
      <c r="C214" s="1048">
        <f t="shared" si="12"/>
        <v>51575</v>
      </c>
      <c r="D214" s="1049">
        <f t="shared" si="6"/>
        <v>3</v>
      </c>
      <c r="E214" s="1050">
        <f t="shared" si="7"/>
        <v>2041</v>
      </c>
      <c r="F214" s="1050">
        <f t="shared" si="13"/>
        <v>0.000000001501591695</v>
      </c>
      <c r="G214" s="1050">
        <f t="shared" si="8"/>
        <v>0</v>
      </c>
      <c r="H214" s="1050">
        <f t="shared" si="9"/>
        <v>0</v>
      </c>
      <c r="I214" s="1050">
        <f t="shared" si="10"/>
        <v>0</v>
      </c>
      <c r="J214" s="1051">
        <f t="shared" si="11"/>
        <v>0</v>
      </c>
      <c r="K214" s="1043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897"/>
      <c r="W214" s="897"/>
      <c r="X214" s="897"/>
      <c r="Y214" s="897"/>
      <c r="Z214" s="897"/>
    </row>
    <row r="215" ht="15.75" customHeight="1">
      <c r="A215" s="308"/>
      <c r="B215" s="1026">
        <v>191.0</v>
      </c>
      <c r="C215" s="1048">
        <f t="shared" si="12"/>
        <v>51606</v>
      </c>
      <c r="D215" s="1049">
        <f t="shared" si="6"/>
        <v>4</v>
      </c>
      <c r="E215" s="1050">
        <f t="shared" si="7"/>
        <v>2041</v>
      </c>
      <c r="F215" s="1050">
        <f t="shared" si="13"/>
        <v>0.000000001506534434</v>
      </c>
      <c r="G215" s="1050">
        <f t="shared" si="8"/>
        <v>0</v>
      </c>
      <c r="H215" s="1050">
        <f t="shared" si="9"/>
        <v>0</v>
      </c>
      <c r="I215" s="1050">
        <f t="shared" si="10"/>
        <v>0</v>
      </c>
      <c r="J215" s="1051">
        <f t="shared" si="11"/>
        <v>0</v>
      </c>
      <c r="K215" s="1043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897"/>
      <c r="W215" s="897"/>
      <c r="X215" s="897"/>
      <c r="Y215" s="897"/>
      <c r="Z215" s="897"/>
    </row>
    <row r="216" ht="15.75" customHeight="1">
      <c r="A216" s="308"/>
      <c r="B216" s="1026">
        <v>192.0</v>
      </c>
      <c r="C216" s="1048">
        <f t="shared" si="12"/>
        <v>51636</v>
      </c>
      <c r="D216" s="1049">
        <f t="shared" si="6"/>
        <v>5</v>
      </c>
      <c r="E216" s="1050">
        <f t="shared" si="7"/>
        <v>2041</v>
      </c>
      <c r="F216" s="1050">
        <f t="shared" si="13"/>
        <v>0.000000001511493443</v>
      </c>
      <c r="G216" s="1050">
        <f t="shared" si="8"/>
        <v>0</v>
      </c>
      <c r="H216" s="1050">
        <f t="shared" si="9"/>
        <v>0</v>
      </c>
      <c r="I216" s="1050">
        <f t="shared" si="10"/>
        <v>0</v>
      </c>
      <c r="J216" s="1051">
        <f t="shared" si="11"/>
        <v>0</v>
      </c>
      <c r="K216" s="1043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897"/>
      <c r="W216" s="897"/>
      <c r="X216" s="897"/>
      <c r="Y216" s="897"/>
      <c r="Z216" s="897"/>
    </row>
    <row r="217" ht="15.75" customHeight="1">
      <c r="A217" s="308"/>
      <c r="B217" s="1026">
        <v>193.0</v>
      </c>
      <c r="C217" s="1048">
        <f t="shared" si="12"/>
        <v>51667</v>
      </c>
      <c r="D217" s="1049">
        <f t="shared" si="6"/>
        <v>6</v>
      </c>
      <c r="E217" s="1050">
        <f t="shared" si="7"/>
        <v>2041</v>
      </c>
      <c r="F217" s="1050">
        <f t="shared" si="13"/>
        <v>0.000000001516468776</v>
      </c>
      <c r="G217" s="1050">
        <f t="shared" si="8"/>
        <v>0</v>
      </c>
      <c r="H217" s="1050">
        <f t="shared" si="9"/>
        <v>0</v>
      </c>
      <c r="I217" s="1050">
        <f t="shared" si="10"/>
        <v>0</v>
      </c>
      <c r="J217" s="1051">
        <f t="shared" si="11"/>
        <v>0</v>
      </c>
      <c r="K217" s="1043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897"/>
      <c r="W217" s="897"/>
      <c r="X217" s="897"/>
      <c r="Y217" s="897"/>
      <c r="Z217" s="897"/>
    </row>
    <row r="218" ht="15.75" customHeight="1">
      <c r="A218" s="308"/>
      <c r="B218" s="1026">
        <v>194.0</v>
      </c>
      <c r="C218" s="1048">
        <f t="shared" si="12"/>
        <v>51697</v>
      </c>
      <c r="D218" s="1049">
        <f t="shared" si="6"/>
        <v>7</v>
      </c>
      <c r="E218" s="1050">
        <f t="shared" si="7"/>
        <v>2041</v>
      </c>
      <c r="F218" s="1050">
        <f t="shared" si="13"/>
        <v>0.000000001521460486</v>
      </c>
      <c r="G218" s="1050">
        <f t="shared" si="8"/>
        <v>0</v>
      </c>
      <c r="H218" s="1050">
        <f t="shared" si="9"/>
        <v>0</v>
      </c>
      <c r="I218" s="1050">
        <f t="shared" si="10"/>
        <v>0</v>
      </c>
      <c r="J218" s="1051">
        <f t="shared" si="11"/>
        <v>0</v>
      </c>
      <c r="K218" s="1043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897"/>
      <c r="W218" s="897"/>
      <c r="X218" s="897"/>
      <c r="Y218" s="897"/>
      <c r="Z218" s="897"/>
    </row>
    <row r="219" ht="15.75" customHeight="1">
      <c r="A219" s="308"/>
      <c r="B219" s="1026">
        <v>195.0</v>
      </c>
      <c r="C219" s="1048">
        <f t="shared" si="12"/>
        <v>51728</v>
      </c>
      <c r="D219" s="1049">
        <f t="shared" si="6"/>
        <v>8</v>
      </c>
      <c r="E219" s="1050">
        <f t="shared" si="7"/>
        <v>2041</v>
      </c>
      <c r="F219" s="1050">
        <f t="shared" si="13"/>
        <v>0.000000001526468626</v>
      </c>
      <c r="G219" s="1050">
        <f t="shared" si="8"/>
        <v>0</v>
      </c>
      <c r="H219" s="1050">
        <f t="shared" si="9"/>
        <v>0</v>
      </c>
      <c r="I219" s="1050">
        <f t="shared" si="10"/>
        <v>0</v>
      </c>
      <c r="J219" s="1051">
        <f t="shared" si="11"/>
        <v>0</v>
      </c>
      <c r="K219" s="1043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897"/>
      <c r="W219" s="897"/>
      <c r="X219" s="897"/>
      <c r="Y219" s="897"/>
      <c r="Z219" s="897"/>
    </row>
    <row r="220" ht="15.75" customHeight="1">
      <c r="A220" s="308"/>
      <c r="B220" s="1026">
        <v>196.0</v>
      </c>
      <c r="C220" s="1048">
        <f t="shared" si="12"/>
        <v>51759</v>
      </c>
      <c r="D220" s="1049">
        <f t="shared" si="6"/>
        <v>9</v>
      </c>
      <c r="E220" s="1050">
        <f t="shared" si="7"/>
        <v>2041</v>
      </c>
      <c r="F220" s="1050">
        <f t="shared" si="13"/>
        <v>0.000000001531493252</v>
      </c>
      <c r="G220" s="1050">
        <f t="shared" si="8"/>
        <v>0</v>
      </c>
      <c r="H220" s="1050">
        <f t="shared" si="9"/>
        <v>0</v>
      </c>
      <c r="I220" s="1050">
        <f t="shared" si="10"/>
        <v>0</v>
      </c>
      <c r="J220" s="1051">
        <f t="shared" si="11"/>
        <v>0</v>
      </c>
      <c r="K220" s="1043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897"/>
      <c r="W220" s="897"/>
      <c r="X220" s="897"/>
      <c r="Y220" s="897"/>
      <c r="Z220" s="897"/>
    </row>
    <row r="221" ht="15.75" customHeight="1">
      <c r="A221" s="308"/>
      <c r="B221" s="1026">
        <v>197.0</v>
      </c>
      <c r="C221" s="1048">
        <f t="shared" si="12"/>
        <v>51789</v>
      </c>
      <c r="D221" s="1049">
        <f t="shared" si="6"/>
        <v>10</v>
      </c>
      <c r="E221" s="1050">
        <f t="shared" si="7"/>
        <v>2041</v>
      </c>
      <c r="F221" s="1050">
        <f t="shared" si="13"/>
        <v>0.000000001536534418</v>
      </c>
      <c r="G221" s="1050">
        <f t="shared" si="8"/>
        <v>0</v>
      </c>
      <c r="H221" s="1050">
        <f t="shared" si="9"/>
        <v>0</v>
      </c>
      <c r="I221" s="1050">
        <f t="shared" si="10"/>
        <v>0</v>
      </c>
      <c r="J221" s="1051">
        <f t="shared" si="11"/>
        <v>0</v>
      </c>
      <c r="K221" s="1043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897"/>
      <c r="W221" s="897"/>
      <c r="X221" s="897"/>
      <c r="Y221" s="897"/>
      <c r="Z221" s="897"/>
    </row>
    <row r="222" ht="15.75" customHeight="1">
      <c r="A222" s="308"/>
      <c r="B222" s="1026">
        <v>198.0</v>
      </c>
      <c r="C222" s="1048">
        <f t="shared" si="12"/>
        <v>51820</v>
      </c>
      <c r="D222" s="1049">
        <f t="shared" si="6"/>
        <v>11</v>
      </c>
      <c r="E222" s="1050">
        <f t="shared" si="7"/>
        <v>2041</v>
      </c>
      <c r="F222" s="1050">
        <f t="shared" si="13"/>
        <v>0.000000001541592177</v>
      </c>
      <c r="G222" s="1050">
        <f t="shared" si="8"/>
        <v>0</v>
      </c>
      <c r="H222" s="1050">
        <f t="shared" si="9"/>
        <v>0</v>
      </c>
      <c r="I222" s="1050">
        <f t="shared" si="10"/>
        <v>0</v>
      </c>
      <c r="J222" s="1051">
        <f t="shared" si="11"/>
        <v>0</v>
      </c>
      <c r="K222" s="1043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897"/>
      <c r="W222" s="897"/>
      <c r="X222" s="897"/>
      <c r="Y222" s="897"/>
      <c r="Z222" s="897"/>
    </row>
    <row r="223" ht="15.75" customHeight="1">
      <c r="A223" s="308"/>
      <c r="B223" s="1026">
        <v>199.0</v>
      </c>
      <c r="C223" s="1048">
        <f t="shared" si="12"/>
        <v>51850</v>
      </c>
      <c r="D223" s="1049">
        <f t="shared" si="6"/>
        <v>12</v>
      </c>
      <c r="E223" s="1050">
        <f t="shared" si="7"/>
        <v>2041</v>
      </c>
      <c r="F223" s="1050">
        <f t="shared" si="13"/>
        <v>0.000000001546666584</v>
      </c>
      <c r="G223" s="1050">
        <f t="shared" si="8"/>
        <v>0</v>
      </c>
      <c r="H223" s="1050">
        <f t="shared" si="9"/>
        <v>0</v>
      </c>
      <c r="I223" s="1050">
        <f t="shared" si="10"/>
        <v>0</v>
      </c>
      <c r="J223" s="1051">
        <f t="shared" si="11"/>
        <v>0</v>
      </c>
      <c r="K223" s="1043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897"/>
      <c r="W223" s="897"/>
      <c r="X223" s="897"/>
      <c r="Y223" s="897"/>
      <c r="Z223" s="897"/>
    </row>
    <row r="224" ht="15.75" customHeight="1">
      <c r="A224" s="308"/>
      <c r="B224" s="1026">
        <v>200.0</v>
      </c>
      <c r="C224" s="1048">
        <f t="shared" si="12"/>
        <v>51881</v>
      </c>
      <c r="D224" s="1049">
        <f t="shared" si="6"/>
        <v>1</v>
      </c>
      <c r="E224" s="1050">
        <f t="shared" si="7"/>
        <v>2042</v>
      </c>
      <c r="F224" s="1050">
        <f t="shared" si="13"/>
        <v>0.000000001551757695</v>
      </c>
      <c r="G224" s="1050">
        <f t="shared" si="8"/>
        <v>0</v>
      </c>
      <c r="H224" s="1050">
        <f t="shared" si="9"/>
        <v>0</v>
      </c>
      <c r="I224" s="1050">
        <f t="shared" si="10"/>
        <v>0</v>
      </c>
      <c r="J224" s="1051">
        <f t="shared" si="11"/>
        <v>0</v>
      </c>
      <c r="K224" s="1043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897"/>
      <c r="W224" s="897"/>
      <c r="X224" s="897"/>
      <c r="Y224" s="897"/>
      <c r="Z224" s="897"/>
    </row>
    <row r="225" ht="15.75" customHeight="1">
      <c r="A225" s="308"/>
      <c r="B225" s="1026">
        <v>201.0</v>
      </c>
      <c r="C225" s="1048">
        <f t="shared" si="12"/>
        <v>51912</v>
      </c>
      <c r="D225" s="1049">
        <f t="shared" si="6"/>
        <v>2</v>
      </c>
      <c r="E225" s="1050">
        <f t="shared" si="7"/>
        <v>2042</v>
      </c>
      <c r="F225" s="1050">
        <f t="shared" si="13"/>
        <v>0.000000001556865564</v>
      </c>
      <c r="G225" s="1050">
        <f t="shared" si="8"/>
        <v>0</v>
      </c>
      <c r="H225" s="1050">
        <f t="shared" si="9"/>
        <v>0</v>
      </c>
      <c r="I225" s="1050">
        <f t="shared" si="10"/>
        <v>0</v>
      </c>
      <c r="J225" s="1051">
        <f t="shared" si="11"/>
        <v>0</v>
      </c>
      <c r="K225" s="1043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897"/>
      <c r="W225" s="897"/>
      <c r="X225" s="897"/>
      <c r="Y225" s="897"/>
      <c r="Z225" s="897"/>
    </row>
    <row r="226" ht="15.75" customHeight="1">
      <c r="A226" s="308"/>
      <c r="B226" s="1026">
        <v>202.0</v>
      </c>
      <c r="C226" s="1048">
        <f t="shared" si="12"/>
        <v>51940</v>
      </c>
      <c r="D226" s="1049">
        <f t="shared" si="6"/>
        <v>3</v>
      </c>
      <c r="E226" s="1050">
        <f t="shared" si="7"/>
        <v>2042</v>
      </c>
      <c r="F226" s="1050">
        <f t="shared" si="13"/>
        <v>0.000000001561990247</v>
      </c>
      <c r="G226" s="1050">
        <f t="shared" si="8"/>
        <v>0</v>
      </c>
      <c r="H226" s="1050">
        <f t="shared" si="9"/>
        <v>0</v>
      </c>
      <c r="I226" s="1050">
        <f t="shared" si="10"/>
        <v>0</v>
      </c>
      <c r="J226" s="1051">
        <f t="shared" si="11"/>
        <v>0</v>
      </c>
      <c r="K226" s="1043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897"/>
      <c r="W226" s="897"/>
      <c r="X226" s="897"/>
      <c r="Y226" s="897"/>
      <c r="Z226" s="897"/>
    </row>
    <row r="227" ht="15.75" customHeight="1">
      <c r="A227" s="308"/>
      <c r="B227" s="1026">
        <v>203.0</v>
      </c>
      <c r="C227" s="1048">
        <f t="shared" si="12"/>
        <v>51971</v>
      </c>
      <c r="D227" s="1049">
        <f t="shared" si="6"/>
        <v>4</v>
      </c>
      <c r="E227" s="1050">
        <f t="shared" si="7"/>
        <v>2042</v>
      </c>
      <c r="F227" s="1050">
        <f t="shared" si="13"/>
        <v>0.000000001567131798</v>
      </c>
      <c r="G227" s="1050">
        <f t="shared" si="8"/>
        <v>0</v>
      </c>
      <c r="H227" s="1050">
        <f t="shared" si="9"/>
        <v>0</v>
      </c>
      <c r="I227" s="1050">
        <f t="shared" si="10"/>
        <v>0</v>
      </c>
      <c r="J227" s="1051">
        <f t="shared" si="11"/>
        <v>0</v>
      </c>
      <c r="K227" s="1043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897"/>
      <c r="W227" s="897"/>
      <c r="X227" s="897"/>
      <c r="Y227" s="897"/>
      <c r="Z227" s="897"/>
    </row>
    <row r="228" ht="15.75" customHeight="1">
      <c r="A228" s="308"/>
      <c r="B228" s="1026">
        <v>204.0</v>
      </c>
      <c r="C228" s="1048">
        <f t="shared" si="12"/>
        <v>52001</v>
      </c>
      <c r="D228" s="1049">
        <f t="shared" si="6"/>
        <v>5</v>
      </c>
      <c r="E228" s="1050">
        <f t="shared" si="7"/>
        <v>2042</v>
      </c>
      <c r="F228" s="1050">
        <f t="shared" si="13"/>
        <v>0.000000001572290273</v>
      </c>
      <c r="G228" s="1050">
        <f t="shared" si="8"/>
        <v>0</v>
      </c>
      <c r="H228" s="1050">
        <f t="shared" si="9"/>
        <v>0</v>
      </c>
      <c r="I228" s="1050">
        <f t="shared" si="10"/>
        <v>0</v>
      </c>
      <c r="J228" s="1051">
        <f t="shared" si="11"/>
        <v>0</v>
      </c>
      <c r="K228" s="1043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897"/>
      <c r="W228" s="897"/>
      <c r="X228" s="897"/>
      <c r="Y228" s="897"/>
      <c r="Z228" s="897"/>
    </row>
    <row r="229" ht="15.75" customHeight="1">
      <c r="A229" s="308"/>
      <c r="B229" s="1026">
        <v>205.0</v>
      </c>
      <c r="C229" s="1048">
        <f t="shared" si="12"/>
        <v>52032</v>
      </c>
      <c r="D229" s="1049">
        <f t="shared" si="6"/>
        <v>6</v>
      </c>
      <c r="E229" s="1050">
        <f t="shared" si="7"/>
        <v>2042</v>
      </c>
      <c r="F229" s="1050">
        <f t="shared" si="13"/>
        <v>0.000000001577465729</v>
      </c>
      <c r="G229" s="1050">
        <f t="shared" si="8"/>
        <v>0</v>
      </c>
      <c r="H229" s="1050">
        <f t="shared" si="9"/>
        <v>0</v>
      </c>
      <c r="I229" s="1050">
        <f t="shared" si="10"/>
        <v>0</v>
      </c>
      <c r="J229" s="1051">
        <f t="shared" si="11"/>
        <v>0</v>
      </c>
      <c r="K229" s="1043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897"/>
      <c r="W229" s="897"/>
      <c r="X229" s="897"/>
      <c r="Y229" s="897"/>
      <c r="Z229" s="897"/>
    </row>
    <row r="230" ht="15.75" customHeight="1">
      <c r="A230" s="308"/>
      <c r="B230" s="1026">
        <v>206.0</v>
      </c>
      <c r="C230" s="1048">
        <f t="shared" si="12"/>
        <v>52062</v>
      </c>
      <c r="D230" s="1049">
        <f t="shared" si="6"/>
        <v>7</v>
      </c>
      <c r="E230" s="1050">
        <f t="shared" si="7"/>
        <v>2042</v>
      </c>
      <c r="F230" s="1050">
        <f t="shared" si="13"/>
        <v>0.00000000158265822</v>
      </c>
      <c r="G230" s="1050">
        <f t="shared" si="8"/>
        <v>0</v>
      </c>
      <c r="H230" s="1050">
        <f t="shared" si="9"/>
        <v>0</v>
      </c>
      <c r="I230" s="1050">
        <f t="shared" si="10"/>
        <v>0</v>
      </c>
      <c r="J230" s="1051">
        <f t="shared" si="11"/>
        <v>0</v>
      </c>
      <c r="K230" s="1043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897"/>
      <c r="W230" s="897"/>
      <c r="X230" s="897"/>
      <c r="Y230" s="897"/>
      <c r="Z230" s="897"/>
    </row>
    <row r="231" ht="15.75" customHeight="1">
      <c r="A231" s="308"/>
      <c r="B231" s="1026">
        <v>207.0</v>
      </c>
      <c r="C231" s="1048">
        <f t="shared" si="12"/>
        <v>52093</v>
      </c>
      <c r="D231" s="1049">
        <f t="shared" si="6"/>
        <v>8</v>
      </c>
      <c r="E231" s="1050">
        <f t="shared" si="7"/>
        <v>2042</v>
      </c>
      <c r="F231" s="1050">
        <f t="shared" si="13"/>
        <v>0.000000001587867804</v>
      </c>
      <c r="G231" s="1050">
        <f t="shared" si="8"/>
        <v>0</v>
      </c>
      <c r="H231" s="1050">
        <f t="shared" si="9"/>
        <v>0</v>
      </c>
      <c r="I231" s="1050">
        <f t="shared" si="10"/>
        <v>0</v>
      </c>
      <c r="J231" s="1051">
        <f t="shared" si="11"/>
        <v>0</v>
      </c>
      <c r="K231" s="1043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897"/>
      <c r="W231" s="897"/>
      <c r="X231" s="897"/>
      <c r="Y231" s="897"/>
      <c r="Z231" s="897"/>
    </row>
    <row r="232" ht="15.75" customHeight="1">
      <c r="A232" s="308"/>
      <c r="B232" s="1026">
        <v>208.0</v>
      </c>
      <c r="C232" s="1048">
        <f t="shared" si="12"/>
        <v>52124</v>
      </c>
      <c r="D232" s="1049">
        <f t="shared" si="6"/>
        <v>9</v>
      </c>
      <c r="E232" s="1050">
        <f t="shared" si="7"/>
        <v>2042</v>
      </c>
      <c r="F232" s="1050">
        <f t="shared" si="13"/>
        <v>0.000000001593094535</v>
      </c>
      <c r="G232" s="1050">
        <f t="shared" si="8"/>
        <v>0</v>
      </c>
      <c r="H232" s="1050">
        <f t="shared" si="9"/>
        <v>0</v>
      </c>
      <c r="I232" s="1050">
        <f t="shared" si="10"/>
        <v>0</v>
      </c>
      <c r="J232" s="1051">
        <f t="shared" si="11"/>
        <v>0</v>
      </c>
      <c r="K232" s="1043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897"/>
      <c r="W232" s="897"/>
      <c r="X232" s="897"/>
      <c r="Y232" s="897"/>
      <c r="Z232" s="897"/>
    </row>
    <row r="233" ht="15.75" customHeight="1">
      <c r="A233" s="308"/>
      <c r="B233" s="1026">
        <v>209.0</v>
      </c>
      <c r="C233" s="1048">
        <f t="shared" si="12"/>
        <v>52154</v>
      </c>
      <c r="D233" s="1049">
        <f t="shared" si="6"/>
        <v>10</v>
      </c>
      <c r="E233" s="1050">
        <f t="shared" si="7"/>
        <v>2042</v>
      </c>
      <c r="F233" s="1050">
        <f t="shared" si="13"/>
        <v>0.000000001598338471</v>
      </c>
      <c r="G233" s="1050">
        <f t="shared" si="8"/>
        <v>0</v>
      </c>
      <c r="H233" s="1050">
        <f t="shared" si="9"/>
        <v>0</v>
      </c>
      <c r="I233" s="1050">
        <f t="shared" si="10"/>
        <v>0</v>
      </c>
      <c r="J233" s="1051">
        <f t="shared" si="11"/>
        <v>0</v>
      </c>
      <c r="K233" s="1043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897"/>
      <c r="W233" s="897"/>
      <c r="X233" s="897"/>
      <c r="Y233" s="897"/>
      <c r="Z233" s="897"/>
    </row>
    <row r="234" ht="15.75" customHeight="1">
      <c r="A234" s="308"/>
      <c r="B234" s="1026">
        <v>210.0</v>
      </c>
      <c r="C234" s="1048">
        <f t="shared" si="12"/>
        <v>52185</v>
      </c>
      <c r="D234" s="1049">
        <f t="shared" si="6"/>
        <v>11</v>
      </c>
      <c r="E234" s="1050">
        <f t="shared" si="7"/>
        <v>2042</v>
      </c>
      <c r="F234" s="1050">
        <f t="shared" si="13"/>
        <v>0.000000001603599669</v>
      </c>
      <c r="G234" s="1050">
        <f t="shared" si="8"/>
        <v>0</v>
      </c>
      <c r="H234" s="1050">
        <f t="shared" si="9"/>
        <v>0</v>
      </c>
      <c r="I234" s="1050">
        <f t="shared" si="10"/>
        <v>0</v>
      </c>
      <c r="J234" s="1051">
        <f t="shared" si="11"/>
        <v>0</v>
      </c>
      <c r="K234" s="1043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897"/>
      <c r="W234" s="897"/>
      <c r="X234" s="897"/>
      <c r="Y234" s="897"/>
      <c r="Z234" s="897"/>
    </row>
    <row r="235" ht="15.75" customHeight="1">
      <c r="A235" s="308"/>
      <c r="B235" s="1026">
        <v>211.0</v>
      </c>
      <c r="C235" s="1048">
        <f t="shared" si="12"/>
        <v>52215</v>
      </c>
      <c r="D235" s="1049">
        <f t="shared" si="6"/>
        <v>12</v>
      </c>
      <c r="E235" s="1050">
        <f t="shared" si="7"/>
        <v>2042</v>
      </c>
      <c r="F235" s="1050">
        <f t="shared" si="13"/>
        <v>0.000000001608878184</v>
      </c>
      <c r="G235" s="1050">
        <f t="shared" si="8"/>
        <v>0</v>
      </c>
      <c r="H235" s="1050">
        <f t="shared" si="9"/>
        <v>0</v>
      </c>
      <c r="I235" s="1050">
        <f t="shared" si="10"/>
        <v>0</v>
      </c>
      <c r="J235" s="1051">
        <f t="shared" si="11"/>
        <v>0</v>
      </c>
      <c r="K235" s="1043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897"/>
      <c r="W235" s="897"/>
      <c r="X235" s="897"/>
      <c r="Y235" s="897"/>
      <c r="Z235" s="897"/>
    </row>
    <row r="236" ht="15.75" customHeight="1">
      <c r="A236" s="308"/>
      <c r="B236" s="1026">
        <v>212.0</v>
      </c>
      <c r="C236" s="1048">
        <f t="shared" si="12"/>
        <v>52246</v>
      </c>
      <c r="D236" s="1049">
        <f t="shared" si="6"/>
        <v>1</v>
      </c>
      <c r="E236" s="1050">
        <f t="shared" si="7"/>
        <v>2043</v>
      </c>
      <c r="F236" s="1050">
        <f t="shared" si="13"/>
        <v>0.000000001614174075</v>
      </c>
      <c r="G236" s="1050">
        <f t="shared" si="8"/>
        <v>0</v>
      </c>
      <c r="H236" s="1050">
        <f t="shared" si="9"/>
        <v>0</v>
      </c>
      <c r="I236" s="1050">
        <f t="shared" si="10"/>
        <v>0</v>
      </c>
      <c r="J236" s="1051">
        <f t="shared" si="11"/>
        <v>0</v>
      </c>
      <c r="K236" s="1043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897"/>
      <c r="W236" s="897"/>
      <c r="X236" s="897"/>
      <c r="Y236" s="897"/>
      <c r="Z236" s="897"/>
    </row>
    <row r="237" ht="15.75" customHeight="1">
      <c r="A237" s="308"/>
      <c r="B237" s="1026">
        <v>213.0</v>
      </c>
      <c r="C237" s="1048">
        <f t="shared" si="12"/>
        <v>52277</v>
      </c>
      <c r="D237" s="1049">
        <f t="shared" si="6"/>
        <v>2</v>
      </c>
      <c r="E237" s="1050">
        <f t="shared" si="7"/>
        <v>2043</v>
      </c>
      <c r="F237" s="1050">
        <f t="shared" si="13"/>
        <v>0.000000001619487398</v>
      </c>
      <c r="G237" s="1050">
        <f t="shared" si="8"/>
        <v>0</v>
      </c>
      <c r="H237" s="1050">
        <f t="shared" si="9"/>
        <v>0</v>
      </c>
      <c r="I237" s="1050">
        <f t="shared" si="10"/>
        <v>0</v>
      </c>
      <c r="J237" s="1051">
        <f t="shared" si="11"/>
        <v>0</v>
      </c>
      <c r="K237" s="1043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897"/>
      <c r="W237" s="897"/>
      <c r="X237" s="897"/>
      <c r="Y237" s="897"/>
      <c r="Z237" s="897"/>
    </row>
    <row r="238" ht="15.75" customHeight="1">
      <c r="A238" s="308"/>
      <c r="B238" s="1026">
        <v>214.0</v>
      </c>
      <c r="C238" s="1048">
        <f t="shared" si="12"/>
        <v>52305</v>
      </c>
      <c r="D238" s="1049">
        <f t="shared" si="6"/>
        <v>3</v>
      </c>
      <c r="E238" s="1050">
        <f t="shared" si="7"/>
        <v>2043</v>
      </c>
      <c r="F238" s="1050">
        <f t="shared" si="13"/>
        <v>0.000000001624818211</v>
      </c>
      <c r="G238" s="1050">
        <f t="shared" si="8"/>
        <v>0</v>
      </c>
      <c r="H238" s="1050">
        <f t="shared" si="9"/>
        <v>0</v>
      </c>
      <c r="I238" s="1050">
        <f t="shared" si="10"/>
        <v>0</v>
      </c>
      <c r="J238" s="1051">
        <f t="shared" si="11"/>
        <v>0</v>
      </c>
      <c r="K238" s="1043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897"/>
      <c r="W238" s="897"/>
      <c r="X238" s="897"/>
      <c r="Y238" s="897"/>
      <c r="Z238" s="897"/>
    </row>
    <row r="239" ht="15.75" customHeight="1">
      <c r="A239" s="308"/>
      <c r="B239" s="1026">
        <v>215.0</v>
      </c>
      <c r="C239" s="1048">
        <f t="shared" si="12"/>
        <v>52336</v>
      </c>
      <c r="D239" s="1049">
        <f t="shared" si="6"/>
        <v>4</v>
      </c>
      <c r="E239" s="1050">
        <f t="shared" si="7"/>
        <v>2043</v>
      </c>
      <c r="F239" s="1050">
        <f t="shared" si="13"/>
        <v>0.000000001630166571</v>
      </c>
      <c r="G239" s="1050">
        <f t="shared" si="8"/>
        <v>0</v>
      </c>
      <c r="H239" s="1050">
        <f t="shared" si="9"/>
        <v>0</v>
      </c>
      <c r="I239" s="1050">
        <f t="shared" si="10"/>
        <v>0</v>
      </c>
      <c r="J239" s="1051">
        <f t="shared" si="11"/>
        <v>0</v>
      </c>
      <c r="K239" s="1043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897"/>
      <c r="W239" s="897"/>
      <c r="X239" s="897"/>
      <c r="Y239" s="897"/>
      <c r="Z239" s="897"/>
    </row>
    <row r="240" ht="15.75" customHeight="1">
      <c r="A240" s="308"/>
      <c r="B240" s="1026">
        <v>216.0</v>
      </c>
      <c r="C240" s="1048">
        <f t="shared" si="12"/>
        <v>52366</v>
      </c>
      <c r="D240" s="1049">
        <f t="shared" si="6"/>
        <v>5</v>
      </c>
      <c r="E240" s="1050">
        <f t="shared" si="7"/>
        <v>2043</v>
      </c>
      <c r="F240" s="1050">
        <f t="shared" si="13"/>
        <v>0.000000001635532536</v>
      </c>
      <c r="G240" s="1050">
        <f t="shared" si="8"/>
        <v>0</v>
      </c>
      <c r="H240" s="1050">
        <f t="shared" si="9"/>
        <v>0</v>
      </c>
      <c r="I240" s="1050">
        <f t="shared" si="10"/>
        <v>0</v>
      </c>
      <c r="J240" s="1051">
        <f t="shared" si="11"/>
        <v>0</v>
      </c>
      <c r="K240" s="1043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897"/>
      <c r="W240" s="897"/>
      <c r="X240" s="897"/>
      <c r="Y240" s="897"/>
      <c r="Z240" s="897"/>
    </row>
    <row r="241" ht="15.75" customHeight="1">
      <c r="A241" s="308"/>
      <c r="B241" s="1026">
        <v>217.0</v>
      </c>
      <c r="C241" s="1048">
        <f t="shared" si="12"/>
        <v>52397</v>
      </c>
      <c r="D241" s="1049">
        <f t="shared" si="6"/>
        <v>6</v>
      </c>
      <c r="E241" s="1050">
        <f t="shared" si="7"/>
        <v>2043</v>
      </c>
      <c r="F241" s="1050">
        <f t="shared" si="13"/>
        <v>0.000000001640916164</v>
      </c>
      <c r="G241" s="1050">
        <f t="shared" si="8"/>
        <v>0</v>
      </c>
      <c r="H241" s="1050">
        <f t="shared" si="9"/>
        <v>0</v>
      </c>
      <c r="I241" s="1050">
        <f t="shared" si="10"/>
        <v>0</v>
      </c>
      <c r="J241" s="1051">
        <f t="shared" si="11"/>
        <v>0</v>
      </c>
      <c r="K241" s="1043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897"/>
      <c r="W241" s="897"/>
      <c r="X241" s="897"/>
      <c r="Y241" s="897"/>
      <c r="Z241" s="897"/>
    </row>
    <row r="242" ht="15.75" customHeight="1">
      <c r="A242" s="308"/>
      <c r="B242" s="1026">
        <v>218.0</v>
      </c>
      <c r="C242" s="1048">
        <f t="shared" si="12"/>
        <v>52427</v>
      </c>
      <c r="D242" s="1049">
        <f t="shared" si="6"/>
        <v>7</v>
      </c>
      <c r="E242" s="1050">
        <f t="shared" si="7"/>
        <v>2043</v>
      </c>
      <c r="F242" s="1050">
        <f t="shared" si="13"/>
        <v>0.000000001646317513</v>
      </c>
      <c r="G242" s="1050">
        <f t="shared" si="8"/>
        <v>0</v>
      </c>
      <c r="H242" s="1050">
        <f t="shared" si="9"/>
        <v>0</v>
      </c>
      <c r="I242" s="1050">
        <f t="shared" si="10"/>
        <v>0</v>
      </c>
      <c r="J242" s="1051">
        <f t="shared" si="11"/>
        <v>0</v>
      </c>
      <c r="K242" s="1043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897"/>
      <c r="W242" s="897"/>
      <c r="X242" s="897"/>
      <c r="Y242" s="897"/>
      <c r="Z242" s="897"/>
    </row>
    <row r="243" ht="15.75" customHeight="1">
      <c r="A243" s="308"/>
      <c r="B243" s="1026">
        <v>219.0</v>
      </c>
      <c r="C243" s="1048">
        <f t="shared" si="12"/>
        <v>52458</v>
      </c>
      <c r="D243" s="1049">
        <f t="shared" si="6"/>
        <v>8</v>
      </c>
      <c r="E243" s="1050">
        <f t="shared" si="7"/>
        <v>2043</v>
      </c>
      <c r="F243" s="1050">
        <f t="shared" si="13"/>
        <v>0.000000001651736641</v>
      </c>
      <c r="G243" s="1050">
        <f t="shared" si="8"/>
        <v>0</v>
      </c>
      <c r="H243" s="1050">
        <f t="shared" si="9"/>
        <v>0</v>
      </c>
      <c r="I243" s="1050">
        <f t="shared" si="10"/>
        <v>0</v>
      </c>
      <c r="J243" s="1051">
        <f t="shared" si="11"/>
        <v>0</v>
      </c>
      <c r="K243" s="1043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897"/>
      <c r="W243" s="897"/>
      <c r="X243" s="897"/>
      <c r="Y243" s="897"/>
      <c r="Z243" s="897"/>
    </row>
    <row r="244" ht="15.75" customHeight="1">
      <c r="A244" s="308"/>
      <c r="B244" s="1026">
        <v>220.0</v>
      </c>
      <c r="C244" s="1048">
        <f t="shared" si="12"/>
        <v>52489</v>
      </c>
      <c r="D244" s="1049">
        <f t="shared" si="6"/>
        <v>9</v>
      </c>
      <c r="E244" s="1050">
        <f t="shared" si="7"/>
        <v>2043</v>
      </c>
      <c r="F244" s="1050">
        <f t="shared" si="13"/>
        <v>0.000000001657173608</v>
      </c>
      <c r="G244" s="1050">
        <f t="shared" si="8"/>
        <v>0</v>
      </c>
      <c r="H244" s="1050">
        <f t="shared" si="9"/>
        <v>0</v>
      </c>
      <c r="I244" s="1050">
        <f t="shared" si="10"/>
        <v>0</v>
      </c>
      <c r="J244" s="1051">
        <f t="shared" si="11"/>
        <v>0</v>
      </c>
      <c r="K244" s="1043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897"/>
      <c r="W244" s="897"/>
      <c r="X244" s="897"/>
      <c r="Y244" s="897"/>
      <c r="Z244" s="897"/>
    </row>
    <row r="245" ht="15.75" customHeight="1">
      <c r="A245" s="308"/>
      <c r="B245" s="1026">
        <v>221.0</v>
      </c>
      <c r="C245" s="1048">
        <f t="shared" si="12"/>
        <v>52519</v>
      </c>
      <c r="D245" s="1049">
        <f t="shared" si="6"/>
        <v>10</v>
      </c>
      <c r="E245" s="1050">
        <f t="shared" si="7"/>
        <v>2043</v>
      </c>
      <c r="F245" s="1050">
        <f t="shared" si="13"/>
        <v>0.000000001662628471</v>
      </c>
      <c r="G245" s="1050">
        <f t="shared" si="8"/>
        <v>0</v>
      </c>
      <c r="H245" s="1050">
        <f t="shared" si="9"/>
        <v>0</v>
      </c>
      <c r="I245" s="1050">
        <f t="shared" si="10"/>
        <v>0</v>
      </c>
      <c r="J245" s="1051">
        <f t="shared" si="11"/>
        <v>0</v>
      </c>
      <c r="K245" s="1043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897"/>
      <c r="W245" s="897"/>
      <c r="X245" s="897"/>
      <c r="Y245" s="897"/>
      <c r="Z245" s="897"/>
    </row>
    <row r="246" ht="15.75" customHeight="1">
      <c r="A246" s="308"/>
      <c r="B246" s="1026">
        <v>222.0</v>
      </c>
      <c r="C246" s="1048">
        <f t="shared" si="12"/>
        <v>52550</v>
      </c>
      <c r="D246" s="1049">
        <f t="shared" si="6"/>
        <v>11</v>
      </c>
      <c r="E246" s="1050">
        <f t="shared" si="7"/>
        <v>2043</v>
      </c>
      <c r="F246" s="1050">
        <f t="shared" si="13"/>
        <v>0.000000001668101289</v>
      </c>
      <c r="G246" s="1050">
        <f t="shared" si="8"/>
        <v>0</v>
      </c>
      <c r="H246" s="1050">
        <f t="shared" si="9"/>
        <v>0</v>
      </c>
      <c r="I246" s="1050">
        <f t="shared" si="10"/>
        <v>0</v>
      </c>
      <c r="J246" s="1051">
        <f t="shared" si="11"/>
        <v>0</v>
      </c>
      <c r="K246" s="1043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897"/>
      <c r="W246" s="897"/>
      <c r="X246" s="897"/>
      <c r="Y246" s="897"/>
      <c r="Z246" s="897"/>
    </row>
    <row r="247" ht="15.75" customHeight="1">
      <c r="A247" s="308"/>
      <c r="B247" s="1026">
        <v>223.0</v>
      </c>
      <c r="C247" s="1048">
        <f t="shared" si="12"/>
        <v>52580</v>
      </c>
      <c r="D247" s="1049">
        <f t="shared" si="6"/>
        <v>12</v>
      </c>
      <c r="E247" s="1050">
        <f t="shared" si="7"/>
        <v>2043</v>
      </c>
      <c r="F247" s="1050">
        <f t="shared" si="13"/>
        <v>0.000000001673592123</v>
      </c>
      <c r="G247" s="1050">
        <f t="shared" si="8"/>
        <v>0</v>
      </c>
      <c r="H247" s="1050">
        <f t="shared" si="9"/>
        <v>0</v>
      </c>
      <c r="I247" s="1050">
        <f t="shared" si="10"/>
        <v>0</v>
      </c>
      <c r="J247" s="1051">
        <f t="shared" si="11"/>
        <v>0</v>
      </c>
      <c r="K247" s="1043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897"/>
      <c r="W247" s="897"/>
      <c r="X247" s="897"/>
      <c r="Y247" s="897"/>
      <c r="Z247" s="897"/>
    </row>
    <row r="248" ht="15.75" customHeight="1">
      <c r="A248" s="308"/>
      <c r="B248" s="1026">
        <v>224.0</v>
      </c>
      <c r="C248" s="1048">
        <f t="shared" si="12"/>
        <v>52611</v>
      </c>
      <c r="D248" s="1049">
        <f t="shared" si="6"/>
        <v>1</v>
      </c>
      <c r="E248" s="1050">
        <f t="shared" si="7"/>
        <v>2044</v>
      </c>
      <c r="F248" s="1050">
        <f t="shared" si="13"/>
        <v>0.00000000167910103</v>
      </c>
      <c r="G248" s="1050">
        <f t="shared" si="8"/>
        <v>0</v>
      </c>
      <c r="H248" s="1050">
        <f t="shared" si="9"/>
        <v>0</v>
      </c>
      <c r="I248" s="1050">
        <f t="shared" si="10"/>
        <v>0</v>
      </c>
      <c r="J248" s="1051">
        <f t="shared" si="11"/>
        <v>0</v>
      </c>
      <c r="K248" s="1043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897"/>
      <c r="W248" s="897"/>
      <c r="X248" s="897"/>
      <c r="Y248" s="897"/>
      <c r="Z248" s="897"/>
    </row>
    <row r="249" ht="15.75" customHeight="1">
      <c r="A249" s="308"/>
      <c r="B249" s="1026">
        <v>225.0</v>
      </c>
      <c r="C249" s="1048">
        <f t="shared" si="12"/>
        <v>52642</v>
      </c>
      <c r="D249" s="1049">
        <f t="shared" si="6"/>
        <v>2</v>
      </c>
      <c r="E249" s="1050">
        <f t="shared" si="7"/>
        <v>2044</v>
      </c>
      <c r="F249" s="1050">
        <f t="shared" si="13"/>
        <v>0.000000001684628071</v>
      </c>
      <c r="G249" s="1050">
        <f t="shared" si="8"/>
        <v>0</v>
      </c>
      <c r="H249" s="1050">
        <f t="shared" si="9"/>
        <v>0</v>
      </c>
      <c r="I249" s="1050">
        <f t="shared" si="10"/>
        <v>0</v>
      </c>
      <c r="J249" s="1051">
        <f t="shared" si="11"/>
        <v>0</v>
      </c>
      <c r="K249" s="1043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897"/>
      <c r="W249" s="897"/>
      <c r="X249" s="897"/>
      <c r="Y249" s="897"/>
      <c r="Z249" s="897"/>
    </row>
    <row r="250" ht="15.75" customHeight="1">
      <c r="A250" s="308"/>
      <c r="B250" s="1026">
        <v>226.0</v>
      </c>
      <c r="C250" s="1048">
        <f t="shared" si="12"/>
        <v>52671</v>
      </c>
      <c r="D250" s="1049">
        <f t="shared" si="6"/>
        <v>3</v>
      </c>
      <c r="E250" s="1050">
        <f t="shared" si="7"/>
        <v>2044</v>
      </c>
      <c r="F250" s="1050">
        <f t="shared" si="13"/>
        <v>0.000000001690173305</v>
      </c>
      <c r="G250" s="1050">
        <f t="shared" si="8"/>
        <v>0</v>
      </c>
      <c r="H250" s="1050">
        <f t="shared" si="9"/>
        <v>0</v>
      </c>
      <c r="I250" s="1050">
        <f t="shared" si="10"/>
        <v>0</v>
      </c>
      <c r="J250" s="1051">
        <f t="shared" si="11"/>
        <v>0</v>
      </c>
      <c r="K250" s="1043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897"/>
      <c r="W250" s="897"/>
      <c r="X250" s="897"/>
      <c r="Y250" s="897"/>
      <c r="Z250" s="897"/>
    </row>
    <row r="251" ht="15.75" customHeight="1">
      <c r="A251" s="308"/>
      <c r="B251" s="1026">
        <v>227.0</v>
      </c>
      <c r="C251" s="1048">
        <f t="shared" si="12"/>
        <v>52702</v>
      </c>
      <c r="D251" s="1049">
        <f t="shared" si="6"/>
        <v>4</v>
      </c>
      <c r="E251" s="1050">
        <f t="shared" si="7"/>
        <v>2044</v>
      </c>
      <c r="F251" s="1050">
        <f t="shared" si="13"/>
        <v>0.000000001695736792</v>
      </c>
      <c r="G251" s="1050">
        <f t="shared" si="8"/>
        <v>0</v>
      </c>
      <c r="H251" s="1050">
        <f t="shared" si="9"/>
        <v>0</v>
      </c>
      <c r="I251" s="1050">
        <f t="shared" si="10"/>
        <v>0</v>
      </c>
      <c r="J251" s="1051">
        <f t="shared" si="11"/>
        <v>0</v>
      </c>
      <c r="K251" s="1043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897"/>
      <c r="W251" s="897"/>
      <c r="X251" s="897"/>
      <c r="Y251" s="897"/>
      <c r="Z251" s="897"/>
    </row>
    <row r="252" ht="15.75" customHeight="1">
      <c r="A252" s="308"/>
      <c r="B252" s="1026">
        <v>228.0</v>
      </c>
      <c r="C252" s="1048">
        <f t="shared" si="12"/>
        <v>52732</v>
      </c>
      <c r="D252" s="1049">
        <f t="shared" si="6"/>
        <v>5</v>
      </c>
      <c r="E252" s="1050">
        <f t="shared" si="7"/>
        <v>2044</v>
      </c>
      <c r="F252" s="1050">
        <f t="shared" si="13"/>
        <v>0.000000001701318593</v>
      </c>
      <c r="G252" s="1050">
        <f t="shared" si="8"/>
        <v>0</v>
      </c>
      <c r="H252" s="1050">
        <f t="shared" si="9"/>
        <v>0</v>
      </c>
      <c r="I252" s="1050">
        <f t="shared" si="10"/>
        <v>0</v>
      </c>
      <c r="J252" s="1051">
        <f t="shared" si="11"/>
        <v>0</v>
      </c>
      <c r="K252" s="1043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897"/>
      <c r="W252" s="897"/>
      <c r="X252" s="897"/>
      <c r="Y252" s="897"/>
      <c r="Z252" s="897"/>
    </row>
    <row r="253" ht="15.75" customHeight="1">
      <c r="A253" s="308"/>
      <c r="B253" s="1026">
        <v>229.0</v>
      </c>
      <c r="C253" s="1048">
        <f t="shared" si="12"/>
        <v>52763</v>
      </c>
      <c r="D253" s="1049">
        <f t="shared" si="6"/>
        <v>6</v>
      </c>
      <c r="E253" s="1050">
        <f t="shared" si="7"/>
        <v>2044</v>
      </c>
      <c r="F253" s="1050">
        <f t="shared" si="13"/>
        <v>0.000000001706918766</v>
      </c>
      <c r="G253" s="1050">
        <f t="shared" si="8"/>
        <v>0</v>
      </c>
      <c r="H253" s="1050">
        <f t="shared" si="9"/>
        <v>0</v>
      </c>
      <c r="I253" s="1050">
        <f t="shared" si="10"/>
        <v>0</v>
      </c>
      <c r="J253" s="1051">
        <f t="shared" si="11"/>
        <v>0</v>
      </c>
      <c r="K253" s="1043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897"/>
      <c r="W253" s="897"/>
      <c r="X253" s="897"/>
      <c r="Y253" s="897"/>
      <c r="Z253" s="897"/>
    </row>
    <row r="254" ht="15.75" customHeight="1">
      <c r="A254" s="308"/>
      <c r="B254" s="1026">
        <v>230.0</v>
      </c>
      <c r="C254" s="1048">
        <f t="shared" si="12"/>
        <v>52793</v>
      </c>
      <c r="D254" s="1049">
        <f t="shared" si="6"/>
        <v>7</v>
      </c>
      <c r="E254" s="1050">
        <f t="shared" si="7"/>
        <v>2044</v>
      </c>
      <c r="F254" s="1050">
        <f t="shared" si="13"/>
        <v>0.000000001712537374</v>
      </c>
      <c r="G254" s="1050">
        <f t="shared" si="8"/>
        <v>0</v>
      </c>
      <c r="H254" s="1050">
        <f t="shared" si="9"/>
        <v>0</v>
      </c>
      <c r="I254" s="1050">
        <f t="shared" si="10"/>
        <v>0</v>
      </c>
      <c r="J254" s="1051">
        <f t="shared" si="11"/>
        <v>0</v>
      </c>
      <c r="K254" s="1043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897"/>
      <c r="W254" s="897"/>
      <c r="X254" s="897"/>
      <c r="Y254" s="897"/>
      <c r="Z254" s="897"/>
    </row>
    <row r="255" ht="15.75" customHeight="1">
      <c r="A255" s="308"/>
      <c r="B255" s="1026">
        <v>231.0</v>
      </c>
      <c r="C255" s="1048">
        <f t="shared" si="12"/>
        <v>52824</v>
      </c>
      <c r="D255" s="1049">
        <f t="shared" si="6"/>
        <v>8</v>
      </c>
      <c r="E255" s="1050">
        <f t="shared" si="7"/>
        <v>2044</v>
      </c>
      <c r="F255" s="1050">
        <f t="shared" si="13"/>
        <v>0.000000001718174476</v>
      </c>
      <c r="G255" s="1050">
        <f t="shared" si="8"/>
        <v>0</v>
      </c>
      <c r="H255" s="1050">
        <f t="shared" si="9"/>
        <v>0</v>
      </c>
      <c r="I255" s="1050">
        <f t="shared" si="10"/>
        <v>0</v>
      </c>
      <c r="J255" s="1051">
        <f t="shared" si="11"/>
        <v>0</v>
      </c>
      <c r="K255" s="1043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897"/>
      <c r="W255" s="897"/>
      <c r="X255" s="897"/>
      <c r="Y255" s="897"/>
      <c r="Z255" s="897"/>
    </row>
    <row r="256" ht="15.75" customHeight="1">
      <c r="A256" s="308"/>
      <c r="B256" s="1026">
        <v>232.0</v>
      </c>
      <c r="C256" s="1048">
        <f t="shared" si="12"/>
        <v>52855</v>
      </c>
      <c r="D256" s="1049">
        <f t="shared" si="6"/>
        <v>9</v>
      </c>
      <c r="E256" s="1050">
        <f t="shared" si="7"/>
        <v>2044</v>
      </c>
      <c r="F256" s="1050">
        <f t="shared" si="13"/>
        <v>0.000000001723830134</v>
      </c>
      <c r="G256" s="1050">
        <f t="shared" si="8"/>
        <v>0</v>
      </c>
      <c r="H256" s="1050">
        <f t="shared" si="9"/>
        <v>0</v>
      </c>
      <c r="I256" s="1050">
        <f t="shared" si="10"/>
        <v>0</v>
      </c>
      <c r="J256" s="1051">
        <f t="shared" si="11"/>
        <v>0</v>
      </c>
      <c r="K256" s="1043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897"/>
      <c r="W256" s="897"/>
      <c r="X256" s="897"/>
      <c r="Y256" s="897"/>
      <c r="Z256" s="897"/>
    </row>
    <row r="257" ht="15.75" customHeight="1">
      <c r="A257" s="308"/>
      <c r="B257" s="1026">
        <v>233.0</v>
      </c>
      <c r="C257" s="1048">
        <f t="shared" si="12"/>
        <v>52885</v>
      </c>
      <c r="D257" s="1049">
        <f t="shared" si="6"/>
        <v>10</v>
      </c>
      <c r="E257" s="1050">
        <f t="shared" si="7"/>
        <v>2044</v>
      </c>
      <c r="F257" s="1050">
        <f t="shared" si="13"/>
        <v>0.000000001729504408</v>
      </c>
      <c r="G257" s="1050">
        <f t="shared" si="8"/>
        <v>0</v>
      </c>
      <c r="H257" s="1050">
        <f t="shared" si="9"/>
        <v>0</v>
      </c>
      <c r="I257" s="1050">
        <f t="shared" si="10"/>
        <v>0</v>
      </c>
      <c r="J257" s="1051">
        <f t="shared" si="11"/>
        <v>0</v>
      </c>
      <c r="K257" s="1043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897"/>
      <c r="W257" s="897"/>
      <c r="X257" s="897"/>
      <c r="Y257" s="897"/>
      <c r="Z257" s="897"/>
    </row>
    <row r="258" ht="15.75" customHeight="1">
      <c r="A258" s="308"/>
      <c r="B258" s="1026">
        <v>234.0</v>
      </c>
      <c r="C258" s="1048">
        <f t="shared" si="12"/>
        <v>52916</v>
      </c>
      <c r="D258" s="1049">
        <f t="shared" si="6"/>
        <v>11</v>
      </c>
      <c r="E258" s="1050">
        <f t="shared" si="7"/>
        <v>2044</v>
      </c>
      <c r="F258" s="1050">
        <f t="shared" si="13"/>
        <v>0.00000000173519736</v>
      </c>
      <c r="G258" s="1050">
        <f t="shared" si="8"/>
        <v>0</v>
      </c>
      <c r="H258" s="1050">
        <f t="shared" si="9"/>
        <v>0</v>
      </c>
      <c r="I258" s="1050">
        <f t="shared" si="10"/>
        <v>0</v>
      </c>
      <c r="J258" s="1051">
        <f t="shared" si="11"/>
        <v>0</v>
      </c>
      <c r="K258" s="1043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897"/>
      <c r="W258" s="897"/>
      <c r="X258" s="897"/>
      <c r="Y258" s="897"/>
      <c r="Z258" s="897"/>
    </row>
    <row r="259" ht="15.75" customHeight="1">
      <c r="A259" s="308"/>
      <c r="B259" s="1026">
        <v>235.0</v>
      </c>
      <c r="C259" s="1048">
        <f t="shared" si="12"/>
        <v>52946</v>
      </c>
      <c r="D259" s="1049">
        <f t="shared" si="6"/>
        <v>12</v>
      </c>
      <c r="E259" s="1050">
        <f t="shared" si="7"/>
        <v>2044</v>
      </c>
      <c r="F259" s="1050">
        <f t="shared" si="13"/>
        <v>0.000000001740909051</v>
      </c>
      <c r="G259" s="1050">
        <f t="shared" si="8"/>
        <v>0</v>
      </c>
      <c r="H259" s="1050">
        <f t="shared" si="9"/>
        <v>0</v>
      </c>
      <c r="I259" s="1050">
        <f t="shared" si="10"/>
        <v>0</v>
      </c>
      <c r="J259" s="1051">
        <f t="shared" si="11"/>
        <v>0</v>
      </c>
      <c r="K259" s="1043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897"/>
      <c r="W259" s="897"/>
      <c r="X259" s="897"/>
      <c r="Y259" s="897"/>
      <c r="Z259" s="897"/>
    </row>
    <row r="260" ht="15.75" customHeight="1">
      <c r="A260" s="308"/>
      <c r="B260" s="1026">
        <v>236.0</v>
      </c>
      <c r="C260" s="1048">
        <f t="shared" si="12"/>
        <v>52977</v>
      </c>
      <c r="D260" s="1049">
        <f t="shared" si="6"/>
        <v>1</v>
      </c>
      <c r="E260" s="1050">
        <f t="shared" si="7"/>
        <v>2045</v>
      </c>
      <c r="F260" s="1050">
        <f t="shared" si="13"/>
        <v>0.000000001746639544</v>
      </c>
      <c r="G260" s="1050">
        <f t="shared" si="8"/>
        <v>0</v>
      </c>
      <c r="H260" s="1050">
        <f t="shared" si="9"/>
        <v>0</v>
      </c>
      <c r="I260" s="1050">
        <f t="shared" si="10"/>
        <v>0</v>
      </c>
      <c r="J260" s="1051">
        <f t="shared" si="11"/>
        <v>0</v>
      </c>
      <c r="K260" s="1043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897"/>
      <c r="W260" s="897"/>
      <c r="X260" s="897"/>
      <c r="Y260" s="897"/>
      <c r="Z260" s="897"/>
    </row>
    <row r="261" ht="15.75" customHeight="1">
      <c r="A261" s="308"/>
      <c r="B261" s="1026">
        <v>237.0</v>
      </c>
      <c r="C261" s="1048">
        <f t="shared" si="12"/>
        <v>53008</v>
      </c>
      <c r="D261" s="1049">
        <f t="shared" si="6"/>
        <v>2</v>
      </c>
      <c r="E261" s="1050">
        <f t="shared" si="7"/>
        <v>2045</v>
      </c>
      <c r="F261" s="1050">
        <f t="shared" si="13"/>
        <v>0.000000001752388899</v>
      </c>
      <c r="G261" s="1050">
        <f t="shared" si="8"/>
        <v>0</v>
      </c>
      <c r="H261" s="1050">
        <f t="shared" si="9"/>
        <v>0</v>
      </c>
      <c r="I261" s="1050">
        <f t="shared" si="10"/>
        <v>0</v>
      </c>
      <c r="J261" s="1051">
        <f t="shared" si="11"/>
        <v>0</v>
      </c>
      <c r="K261" s="1043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897"/>
      <c r="W261" s="897"/>
      <c r="X261" s="897"/>
      <c r="Y261" s="897"/>
      <c r="Z261" s="897"/>
    </row>
    <row r="262" ht="15.75" customHeight="1">
      <c r="A262" s="308"/>
      <c r="B262" s="1026">
        <v>238.0</v>
      </c>
      <c r="C262" s="1048">
        <f t="shared" si="12"/>
        <v>53036</v>
      </c>
      <c r="D262" s="1049">
        <f t="shared" si="6"/>
        <v>3</v>
      </c>
      <c r="E262" s="1050">
        <f t="shared" si="7"/>
        <v>2045</v>
      </c>
      <c r="F262" s="1050">
        <f t="shared" si="13"/>
        <v>0.000000001758157179</v>
      </c>
      <c r="G262" s="1050">
        <f t="shared" si="8"/>
        <v>0</v>
      </c>
      <c r="H262" s="1050">
        <f t="shared" si="9"/>
        <v>0</v>
      </c>
      <c r="I262" s="1050">
        <f t="shared" si="10"/>
        <v>0</v>
      </c>
      <c r="J262" s="1051">
        <f t="shared" si="11"/>
        <v>0</v>
      </c>
      <c r="K262" s="1043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897"/>
      <c r="W262" s="897"/>
      <c r="X262" s="897"/>
      <c r="Y262" s="897"/>
      <c r="Z262" s="897"/>
    </row>
    <row r="263" ht="15.75" customHeight="1">
      <c r="A263" s="308"/>
      <c r="B263" s="1026">
        <v>239.0</v>
      </c>
      <c r="C263" s="1048">
        <f t="shared" si="12"/>
        <v>53067</v>
      </c>
      <c r="D263" s="1049">
        <f t="shared" si="6"/>
        <v>4</v>
      </c>
      <c r="E263" s="1050">
        <f t="shared" si="7"/>
        <v>2045</v>
      </c>
      <c r="F263" s="1050">
        <f t="shared" si="13"/>
        <v>0.000000001763944446</v>
      </c>
      <c r="G263" s="1050">
        <f t="shared" si="8"/>
        <v>0</v>
      </c>
      <c r="H263" s="1050">
        <f t="shared" si="9"/>
        <v>0</v>
      </c>
      <c r="I263" s="1050">
        <f t="shared" si="10"/>
        <v>0</v>
      </c>
      <c r="J263" s="1051">
        <f t="shared" si="11"/>
        <v>0</v>
      </c>
      <c r="K263" s="1043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897"/>
      <c r="W263" s="897"/>
      <c r="X263" s="897"/>
      <c r="Y263" s="897"/>
      <c r="Z263" s="897"/>
    </row>
    <row r="264" ht="15.75" customHeight="1">
      <c r="A264" s="308"/>
      <c r="B264" s="1026">
        <v>240.0</v>
      </c>
      <c r="C264" s="1048">
        <f t="shared" si="12"/>
        <v>53097</v>
      </c>
      <c r="D264" s="1049">
        <f t="shared" si="6"/>
        <v>5</v>
      </c>
      <c r="E264" s="1050">
        <f t="shared" si="7"/>
        <v>2045</v>
      </c>
      <c r="F264" s="1050">
        <f t="shared" si="13"/>
        <v>0.000000001769750763</v>
      </c>
      <c r="G264" s="1050">
        <f t="shared" si="8"/>
        <v>0</v>
      </c>
      <c r="H264" s="1050">
        <f t="shared" si="9"/>
        <v>0</v>
      </c>
      <c r="I264" s="1050">
        <f t="shared" si="10"/>
        <v>0</v>
      </c>
      <c r="J264" s="1051">
        <f t="shared" si="11"/>
        <v>0</v>
      </c>
      <c r="K264" s="1043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897"/>
      <c r="W264" s="897"/>
      <c r="X264" s="897"/>
      <c r="Y264" s="897"/>
      <c r="Z264" s="897"/>
    </row>
    <row r="265" ht="15.75" customHeight="1">
      <c r="A265" s="308"/>
      <c r="B265" s="1026">
        <v>241.0</v>
      </c>
      <c r="C265" s="1048">
        <f t="shared" si="12"/>
        <v>53128</v>
      </c>
      <c r="D265" s="1049">
        <f t="shared" si="6"/>
        <v>6</v>
      </c>
      <c r="E265" s="1050">
        <f t="shared" si="7"/>
        <v>2045</v>
      </c>
      <c r="F265" s="1050">
        <f t="shared" si="13"/>
        <v>0.000000001775576193</v>
      </c>
      <c r="G265" s="1050">
        <f t="shared" si="8"/>
        <v>0</v>
      </c>
      <c r="H265" s="1050">
        <f t="shared" si="9"/>
        <v>0</v>
      </c>
      <c r="I265" s="1050">
        <f t="shared" si="10"/>
        <v>0</v>
      </c>
      <c r="J265" s="1051">
        <f t="shared" si="11"/>
        <v>0</v>
      </c>
      <c r="K265" s="1043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897"/>
      <c r="W265" s="897"/>
      <c r="X265" s="897"/>
      <c r="Y265" s="897"/>
      <c r="Z265" s="897"/>
    </row>
    <row r="266" ht="15.75" customHeight="1">
      <c r="A266" s="308"/>
      <c r="B266" s="1026">
        <v>242.0</v>
      </c>
      <c r="C266" s="1048">
        <f t="shared" si="12"/>
        <v>53158</v>
      </c>
      <c r="D266" s="1049">
        <f t="shared" si="6"/>
        <v>7</v>
      </c>
      <c r="E266" s="1050">
        <f t="shared" si="7"/>
        <v>2045</v>
      </c>
      <c r="F266" s="1050">
        <f t="shared" si="13"/>
        <v>0.000000001781420798</v>
      </c>
      <c r="G266" s="1050">
        <f t="shared" si="8"/>
        <v>0</v>
      </c>
      <c r="H266" s="1050">
        <f t="shared" si="9"/>
        <v>0</v>
      </c>
      <c r="I266" s="1050">
        <f t="shared" si="10"/>
        <v>0</v>
      </c>
      <c r="J266" s="1051">
        <f t="shared" si="11"/>
        <v>0</v>
      </c>
      <c r="K266" s="1043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897"/>
      <c r="W266" s="897"/>
      <c r="X266" s="897"/>
      <c r="Y266" s="897"/>
      <c r="Z266" s="897"/>
    </row>
    <row r="267" ht="15.75" customHeight="1">
      <c r="A267" s="308"/>
      <c r="B267" s="1026">
        <v>243.0</v>
      </c>
      <c r="C267" s="1048">
        <f t="shared" si="12"/>
        <v>53189</v>
      </c>
      <c r="D267" s="1049">
        <f t="shared" si="6"/>
        <v>8</v>
      </c>
      <c r="E267" s="1050">
        <f t="shared" si="7"/>
        <v>2045</v>
      </c>
      <c r="F267" s="1050">
        <f t="shared" si="13"/>
        <v>0.000000001787284641</v>
      </c>
      <c r="G267" s="1050">
        <f t="shared" si="8"/>
        <v>0</v>
      </c>
      <c r="H267" s="1050">
        <f t="shared" si="9"/>
        <v>0</v>
      </c>
      <c r="I267" s="1050">
        <f t="shared" si="10"/>
        <v>0</v>
      </c>
      <c r="J267" s="1051">
        <f t="shared" si="11"/>
        <v>0</v>
      </c>
      <c r="K267" s="1043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897"/>
      <c r="W267" s="897"/>
      <c r="X267" s="897"/>
      <c r="Y267" s="897"/>
      <c r="Z267" s="897"/>
    </row>
    <row r="268" ht="15.75" customHeight="1">
      <c r="A268" s="308"/>
      <c r="B268" s="1026">
        <v>244.0</v>
      </c>
      <c r="C268" s="1048">
        <f t="shared" si="12"/>
        <v>53220</v>
      </c>
      <c r="D268" s="1049">
        <f t="shared" si="6"/>
        <v>9</v>
      </c>
      <c r="E268" s="1050">
        <f t="shared" si="7"/>
        <v>2045</v>
      </c>
      <c r="F268" s="1050">
        <f t="shared" si="13"/>
        <v>0.000000001793167787</v>
      </c>
      <c r="G268" s="1050">
        <f t="shared" si="8"/>
        <v>0</v>
      </c>
      <c r="H268" s="1050">
        <f t="shared" si="9"/>
        <v>0</v>
      </c>
      <c r="I268" s="1050">
        <f t="shared" si="10"/>
        <v>0</v>
      </c>
      <c r="J268" s="1051">
        <f t="shared" si="11"/>
        <v>0</v>
      </c>
      <c r="K268" s="1043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897"/>
      <c r="W268" s="897"/>
      <c r="X268" s="897"/>
      <c r="Y268" s="897"/>
      <c r="Z268" s="897"/>
    </row>
    <row r="269" ht="15.75" customHeight="1">
      <c r="A269" s="308"/>
      <c r="B269" s="1026">
        <v>245.0</v>
      </c>
      <c r="C269" s="1048">
        <f t="shared" si="12"/>
        <v>53250</v>
      </c>
      <c r="D269" s="1049">
        <f t="shared" si="6"/>
        <v>10</v>
      </c>
      <c r="E269" s="1050">
        <f t="shared" si="7"/>
        <v>2045</v>
      </c>
      <c r="F269" s="1050">
        <f t="shared" si="13"/>
        <v>0.000000001799070297</v>
      </c>
      <c r="G269" s="1050">
        <f t="shared" si="8"/>
        <v>0</v>
      </c>
      <c r="H269" s="1050">
        <f t="shared" si="9"/>
        <v>0</v>
      </c>
      <c r="I269" s="1050">
        <f t="shared" si="10"/>
        <v>0</v>
      </c>
      <c r="J269" s="1051">
        <f t="shared" si="11"/>
        <v>0</v>
      </c>
      <c r="K269" s="1043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897"/>
      <c r="W269" s="897"/>
      <c r="X269" s="897"/>
      <c r="Y269" s="897"/>
      <c r="Z269" s="897"/>
    </row>
    <row r="270" ht="15.75" customHeight="1">
      <c r="A270" s="308"/>
      <c r="B270" s="1026">
        <v>246.0</v>
      </c>
      <c r="C270" s="1048">
        <f t="shared" si="12"/>
        <v>53281</v>
      </c>
      <c r="D270" s="1049">
        <f t="shared" si="6"/>
        <v>11</v>
      </c>
      <c r="E270" s="1050">
        <f t="shared" si="7"/>
        <v>2045</v>
      </c>
      <c r="F270" s="1050">
        <f t="shared" si="13"/>
        <v>0.000000001804992237</v>
      </c>
      <c r="G270" s="1050">
        <f t="shared" si="8"/>
        <v>0</v>
      </c>
      <c r="H270" s="1050">
        <f t="shared" si="9"/>
        <v>0</v>
      </c>
      <c r="I270" s="1050">
        <f t="shared" si="10"/>
        <v>0</v>
      </c>
      <c r="J270" s="1051">
        <f t="shared" si="11"/>
        <v>0</v>
      </c>
      <c r="K270" s="1043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897"/>
      <c r="W270" s="897"/>
      <c r="X270" s="897"/>
      <c r="Y270" s="897"/>
      <c r="Z270" s="897"/>
    </row>
    <row r="271" ht="15.75" customHeight="1">
      <c r="A271" s="308"/>
      <c r="B271" s="1026">
        <v>247.0</v>
      </c>
      <c r="C271" s="1048">
        <f t="shared" si="12"/>
        <v>53311</v>
      </c>
      <c r="D271" s="1049">
        <f t="shared" si="6"/>
        <v>12</v>
      </c>
      <c r="E271" s="1050">
        <f t="shared" si="7"/>
        <v>2045</v>
      </c>
      <c r="F271" s="1050">
        <f t="shared" si="13"/>
        <v>0.00000000181093367</v>
      </c>
      <c r="G271" s="1050">
        <f t="shared" si="8"/>
        <v>0</v>
      </c>
      <c r="H271" s="1050">
        <f t="shared" si="9"/>
        <v>0</v>
      </c>
      <c r="I271" s="1050">
        <f t="shared" si="10"/>
        <v>0</v>
      </c>
      <c r="J271" s="1051">
        <f t="shared" si="11"/>
        <v>0</v>
      </c>
      <c r="K271" s="1043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897"/>
      <c r="W271" s="897"/>
      <c r="X271" s="897"/>
      <c r="Y271" s="897"/>
      <c r="Z271" s="897"/>
    </row>
    <row r="272" ht="15.75" customHeight="1">
      <c r="A272" s="308"/>
      <c r="B272" s="1026">
        <v>248.0</v>
      </c>
      <c r="C272" s="1048">
        <f t="shared" si="12"/>
        <v>53342</v>
      </c>
      <c r="D272" s="1049">
        <f t="shared" si="6"/>
        <v>1</v>
      </c>
      <c r="E272" s="1050">
        <f t="shared" si="7"/>
        <v>2046</v>
      </c>
      <c r="F272" s="1050">
        <f t="shared" si="13"/>
        <v>0.00000000181689466</v>
      </c>
      <c r="G272" s="1050">
        <f t="shared" si="8"/>
        <v>0</v>
      </c>
      <c r="H272" s="1050">
        <f t="shared" si="9"/>
        <v>0</v>
      </c>
      <c r="I272" s="1050">
        <f t="shared" si="10"/>
        <v>0</v>
      </c>
      <c r="J272" s="1051">
        <f t="shared" si="11"/>
        <v>0</v>
      </c>
      <c r="K272" s="1043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897"/>
      <c r="W272" s="897"/>
      <c r="X272" s="897"/>
      <c r="Y272" s="897"/>
      <c r="Z272" s="897"/>
    </row>
    <row r="273" ht="15.75" customHeight="1">
      <c r="A273" s="308"/>
      <c r="B273" s="1026">
        <v>249.0</v>
      </c>
      <c r="C273" s="1048">
        <f t="shared" si="12"/>
        <v>53373</v>
      </c>
      <c r="D273" s="1049">
        <f t="shared" si="6"/>
        <v>2</v>
      </c>
      <c r="E273" s="1050">
        <f t="shared" si="7"/>
        <v>2046</v>
      </c>
      <c r="F273" s="1050">
        <f t="shared" si="13"/>
        <v>0.000000001822875271</v>
      </c>
      <c r="G273" s="1050">
        <f t="shared" si="8"/>
        <v>0</v>
      </c>
      <c r="H273" s="1050">
        <f t="shared" si="9"/>
        <v>0</v>
      </c>
      <c r="I273" s="1050">
        <f t="shared" si="10"/>
        <v>0</v>
      </c>
      <c r="J273" s="1051">
        <f t="shared" si="11"/>
        <v>0</v>
      </c>
      <c r="K273" s="1043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897"/>
      <c r="W273" s="897"/>
      <c r="X273" s="897"/>
      <c r="Y273" s="897"/>
      <c r="Z273" s="897"/>
    </row>
    <row r="274" ht="15.75" customHeight="1">
      <c r="A274" s="308"/>
      <c r="B274" s="1026">
        <v>250.0</v>
      </c>
      <c r="C274" s="1048">
        <f t="shared" si="12"/>
        <v>53401</v>
      </c>
      <c r="D274" s="1049">
        <f t="shared" si="6"/>
        <v>3</v>
      </c>
      <c r="E274" s="1050">
        <f t="shared" si="7"/>
        <v>2046</v>
      </c>
      <c r="F274" s="1050">
        <f t="shared" si="13"/>
        <v>0.000000001828875569</v>
      </c>
      <c r="G274" s="1050">
        <f t="shared" si="8"/>
        <v>0</v>
      </c>
      <c r="H274" s="1050">
        <f t="shared" si="9"/>
        <v>0</v>
      </c>
      <c r="I274" s="1050">
        <f t="shared" si="10"/>
        <v>0</v>
      </c>
      <c r="J274" s="1051">
        <f t="shared" si="11"/>
        <v>0</v>
      </c>
      <c r="K274" s="1043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897"/>
      <c r="W274" s="897"/>
      <c r="X274" s="897"/>
      <c r="Y274" s="897"/>
      <c r="Z274" s="897"/>
    </row>
    <row r="275" ht="15.75" customHeight="1">
      <c r="A275" s="308"/>
      <c r="B275" s="1026">
        <v>251.0</v>
      </c>
      <c r="C275" s="1048">
        <f t="shared" si="12"/>
        <v>53432</v>
      </c>
      <c r="D275" s="1049">
        <f t="shared" si="6"/>
        <v>4</v>
      </c>
      <c r="E275" s="1050">
        <f t="shared" si="7"/>
        <v>2046</v>
      </c>
      <c r="F275" s="1050">
        <f t="shared" si="13"/>
        <v>0.000000001834895618</v>
      </c>
      <c r="G275" s="1050">
        <f t="shared" si="8"/>
        <v>0</v>
      </c>
      <c r="H275" s="1050">
        <f t="shared" si="9"/>
        <v>0</v>
      </c>
      <c r="I275" s="1050">
        <f t="shared" si="10"/>
        <v>0</v>
      </c>
      <c r="J275" s="1051">
        <f t="shared" si="11"/>
        <v>0</v>
      </c>
      <c r="K275" s="1043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897"/>
      <c r="W275" s="897"/>
      <c r="X275" s="897"/>
      <c r="Y275" s="897"/>
      <c r="Z275" s="897"/>
    </row>
    <row r="276" ht="15.75" customHeight="1">
      <c r="A276" s="308"/>
      <c r="B276" s="1026">
        <v>252.0</v>
      </c>
      <c r="C276" s="1048">
        <f t="shared" si="12"/>
        <v>53462</v>
      </c>
      <c r="D276" s="1049">
        <f t="shared" si="6"/>
        <v>5</v>
      </c>
      <c r="E276" s="1050">
        <f t="shared" si="7"/>
        <v>2046</v>
      </c>
      <c r="F276" s="1050">
        <f t="shared" si="13"/>
        <v>0.000000001840935483</v>
      </c>
      <c r="G276" s="1050">
        <f t="shared" si="8"/>
        <v>0</v>
      </c>
      <c r="H276" s="1050">
        <f t="shared" si="9"/>
        <v>0</v>
      </c>
      <c r="I276" s="1050">
        <f t="shared" si="10"/>
        <v>0</v>
      </c>
      <c r="J276" s="1051">
        <f t="shared" si="11"/>
        <v>0</v>
      </c>
      <c r="K276" s="1043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897"/>
      <c r="W276" s="897"/>
      <c r="X276" s="897"/>
      <c r="Y276" s="897"/>
      <c r="Z276" s="897"/>
    </row>
    <row r="277" ht="15.75" customHeight="1">
      <c r="A277" s="308"/>
      <c r="B277" s="1026">
        <v>253.0</v>
      </c>
      <c r="C277" s="1048">
        <f t="shared" si="12"/>
        <v>53493</v>
      </c>
      <c r="D277" s="1049">
        <f t="shared" si="6"/>
        <v>6</v>
      </c>
      <c r="E277" s="1050">
        <f t="shared" si="7"/>
        <v>2046</v>
      </c>
      <c r="F277" s="1050">
        <f t="shared" si="13"/>
        <v>0.000000001846995229</v>
      </c>
      <c r="G277" s="1050">
        <f t="shared" si="8"/>
        <v>0</v>
      </c>
      <c r="H277" s="1050">
        <f t="shared" si="9"/>
        <v>0</v>
      </c>
      <c r="I277" s="1050">
        <f t="shared" si="10"/>
        <v>0</v>
      </c>
      <c r="J277" s="1051">
        <f t="shared" si="11"/>
        <v>0</v>
      </c>
      <c r="K277" s="1043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897"/>
      <c r="W277" s="897"/>
      <c r="X277" s="897"/>
      <c r="Y277" s="897"/>
      <c r="Z277" s="897"/>
    </row>
    <row r="278" ht="15.75" customHeight="1">
      <c r="A278" s="308"/>
      <c r="B278" s="1026">
        <v>254.0</v>
      </c>
      <c r="C278" s="1048">
        <f t="shared" si="12"/>
        <v>53523</v>
      </c>
      <c r="D278" s="1049">
        <f t="shared" si="6"/>
        <v>7</v>
      </c>
      <c r="E278" s="1050">
        <f t="shared" si="7"/>
        <v>2046</v>
      </c>
      <c r="F278" s="1050">
        <f t="shared" si="13"/>
        <v>0.000000001853074921</v>
      </c>
      <c r="G278" s="1050">
        <f t="shared" si="8"/>
        <v>0</v>
      </c>
      <c r="H278" s="1050">
        <f t="shared" si="9"/>
        <v>0</v>
      </c>
      <c r="I278" s="1050">
        <f t="shared" si="10"/>
        <v>0</v>
      </c>
      <c r="J278" s="1051">
        <f t="shared" si="11"/>
        <v>0</v>
      </c>
      <c r="K278" s="1043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897"/>
      <c r="W278" s="897"/>
      <c r="X278" s="897"/>
      <c r="Y278" s="897"/>
      <c r="Z278" s="897"/>
    </row>
    <row r="279" ht="15.75" customHeight="1">
      <c r="A279" s="308"/>
      <c r="B279" s="1026">
        <v>255.0</v>
      </c>
      <c r="C279" s="1048">
        <f t="shared" si="12"/>
        <v>53554</v>
      </c>
      <c r="D279" s="1049">
        <f t="shared" si="6"/>
        <v>8</v>
      </c>
      <c r="E279" s="1050">
        <f t="shared" si="7"/>
        <v>2046</v>
      </c>
      <c r="F279" s="1050">
        <f t="shared" si="13"/>
        <v>0.000000001859174626</v>
      </c>
      <c r="G279" s="1050">
        <f t="shared" si="8"/>
        <v>0</v>
      </c>
      <c r="H279" s="1050">
        <f t="shared" si="9"/>
        <v>0</v>
      </c>
      <c r="I279" s="1050">
        <f t="shared" si="10"/>
        <v>0</v>
      </c>
      <c r="J279" s="1051">
        <f t="shared" si="11"/>
        <v>0</v>
      </c>
      <c r="K279" s="1043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897"/>
      <c r="W279" s="897"/>
      <c r="X279" s="897"/>
      <c r="Y279" s="897"/>
      <c r="Z279" s="897"/>
    </row>
    <row r="280" ht="15.75" customHeight="1">
      <c r="A280" s="308"/>
      <c r="B280" s="1026">
        <v>256.0</v>
      </c>
      <c r="C280" s="1048">
        <f t="shared" si="12"/>
        <v>53585</v>
      </c>
      <c r="D280" s="1049">
        <f t="shared" si="6"/>
        <v>9</v>
      </c>
      <c r="E280" s="1050">
        <f t="shared" si="7"/>
        <v>2046</v>
      </c>
      <c r="F280" s="1050">
        <f t="shared" si="13"/>
        <v>0.000000001865294409</v>
      </c>
      <c r="G280" s="1050">
        <f t="shared" si="8"/>
        <v>0</v>
      </c>
      <c r="H280" s="1050">
        <f t="shared" si="9"/>
        <v>0</v>
      </c>
      <c r="I280" s="1050">
        <f t="shared" si="10"/>
        <v>0</v>
      </c>
      <c r="J280" s="1051">
        <f t="shared" si="11"/>
        <v>0</v>
      </c>
      <c r="K280" s="1043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897"/>
      <c r="W280" s="897"/>
      <c r="X280" s="897"/>
      <c r="Y280" s="897"/>
      <c r="Z280" s="897"/>
    </row>
    <row r="281" ht="15.75" customHeight="1">
      <c r="A281" s="308"/>
      <c r="B281" s="1026">
        <v>257.0</v>
      </c>
      <c r="C281" s="1048">
        <f t="shared" si="12"/>
        <v>53615</v>
      </c>
      <c r="D281" s="1049">
        <f t="shared" si="6"/>
        <v>10</v>
      </c>
      <c r="E281" s="1050">
        <f t="shared" si="7"/>
        <v>2046</v>
      </c>
      <c r="F281" s="1050">
        <f t="shared" si="13"/>
        <v>0.000000001871434337</v>
      </c>
      <c r="G281" s="1050">
        <f t="shared" si="8"/>
        <v>0</v>
      </c>
      <c r="H281" s="1050">
        <f t="shared" si="9"/>
        <v>0</v>
      </c>
      <c r="I281" s="1050">
        <f t="shared" si="10"/>
        <v>0</v>
      </c>
      <c r="J281" s="1051">
        <f t="shared" si="11"/>
        <v>0</v>
      </c>
      <c r="K281" s="1043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897"/>
      <c r="W281" s="897"/>
      <c r="X281" s="897"/>
      <c r="Y281" s="897"/>
      <c r="Z281" s="897"/>
    </row>
    <row r="282" ht="15.75" customHeight="1">
      <c r="A282" s="308"/>
      <c r="B282" s="1026">
        <v>258.0</v>
      </c>
      <c r="C282" s="1048">
        <f t="shared" si="12"/>
        <v>53646</v>
      </c>
      <c r="D282" s="1049">
        <f t="shared" si="6"/>
        <v>11</v>
      </c>
      <c r="E282" s="1050">
        <f t="shared" si="7"/>
        <v>2046</v>
      </c>
      <c r="F282" s="1050">
        <f t="shared" si="13"/>
        <v>0.000000001877594475</v>
      </c>
      <c r="G282" s="1050">
        <f t="shared" si="8"/>
        <v>0</v>
      </c>
      <c r="H282" s="1050">
        <f t="shared" si="9"/>
        <v>0</v>
      </c>
      <c r="I282" s="1050">
        <f t="shared" si="10"/>
        <v>0</v>
      </c>
      <c r="J282" s="1051">
        <f t="shared" si="11"/>
        <v>0</v>
      </c>
      <c r="K282" s="1043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897"/>
      <c r="W282" s="897"/>
      <c r="X282" s="897"/>
      <c r="Y282" s="897"/>
      <c r="Z282" s="897"/>
    </row>
    <row r="283" ht="15.75" customHeight="1">
      <c r="A283" s="308"/>
      <c r="B283" s="1026">
        <v>259.0</v>
      </c>
      <c r="C283" s="1048">
        <f t="shared" si="12"/>
        <v>53676</v>
      </c>
      <c r="D283" s="1049">
        <f t="shared" si="6"/>
        <v>12</v>
      </c>
      <c r="E283" s="1050">
        <f t="shared" si="7"/>
        <v>2046</v>
      </c>
      <c r="F283" s="1050">
        <f t="shared" si="13"/>
        <v>0.00000000188377489</v>
      </c>
      <c r="G283" s="1050">
        <f t="shared" si="8"/>
        <v>0</v>
      </c>
      <c r="H283" s="1050">
        <f t="shared" si="9"/>
        <v>0</v>
      </c>
      <c r="I283" s="1050">
        <f t="shared" si="10"/>
        <v>0</v>
      </c>
      <c r="J283" s="1051">
        <f t="shared" si="11"/>
        <v>0</v>
      </c>
      <c r="K283" s="1043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897"/>
      <c r="W283" s="897"/>
      <c r="X283" s="897"/>
      <c r="Y283" s="897"/>
      <c r="Z283" s="897"/>
    </row>
    <row r="284" ht="15.75" customHeight="1">
      <c r="A284" s="308"/>
      <c r="B284" s="1026">
        <v>260.0</v>
      </c>
      <c r="C284" s="1048">
        <f t="shared" si="12"/>
        <v>53707</v>
      </c>
      <c r="D284" s="1049">
        <f t="shared" si="6"/>
        <v>1</v>
      </c>
      <c r="E284" s="1050">
        <f t="shared" si="7"/>
        <v>2047</v>
      </c>
      <c r="F284" s="1050">
        <f t="shared" si="13"/>
        <v>0.000000001889975649</v>
      </c>
      <c r="G284" s="1050">
        <f t="shared" si="8"/>
        <v>0</v>
      </c>
      <c r="H284" s="1050">
        <f t="shared" si="9"/>
        <v>0</v>
      </c>
      <c r="I284" s="1050">
        <f t="shared" si="10"/>
        <v>0</v>
      </c>
      <c r="J284" s="1051">
        <f t="shared" si="11"/>
        <v>0</v>
      </c>
      <c r="K284" s="1043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897"/>
      <c r="W284" s="897"/>
      <c r="X284" s="897"/>
      <c r="Y284" s="897"/>
      <c r="Z284" s="897"/>
    </row>
    <row r="285" ht="15.75" customHeight="1">
      <c r="A285" s="308"/>
      <c r="B285" s="1026">
        <v>261.0</v>
      </c>
      <c r="C285" s="1048">
        <f t="shared" si="12"/>
        <v>53738</v>
      </c>
      <c r="D285" s="1049">
        <f t="shared" si="6"/>
        <v>2</v>
      </c>
      <c r="E285" s="1050">
        <f t="shared" si="7"/>
        <v>2047</v>
      </c>
      <c r="F285" s="1050">
        <f t="shared" si="13"/>
        <v>0.000000001896196819</v>
      </c>
      <c r="G285" s="1050">
        <f t="shared" si="8"/>
        <v>0</v>
      </c>
      <c r="H285" s="1050">
        <f t="shared" si="9"/>
        <v>0</v>
      </c>
      <c r="I285" s="1050">
        <f t="shared" si="10"/>
        <v>0</v>
      </c>
      <c r="J285" s="1051">
        <f t="shared" si="11"/>
        <v>0</v>
      </c>
      <c r="K285" s="1043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897"/>
      <c r="W285" s="897"/>
      <c r="X285" s="897"/>
      <c r="Y285" s="897"/>
      <c r="Z285" s="897"/>
    </row>
    <row r="286" ht="15.75" customHeight="1">
      <c r="A286" s="308"/>
      <c r="B286" s="1026">
        <v>262.0</v>
      </c>
      <c r="C286" s="1048">
        <f t="shared" si="12"/>
        <v>53766</v>
      </c>
      <c r="D286" s="1049">
        <f t="shared" si="6"/>
        <v>3</v>
      </c>
      <c r="E286" s="1050">
        <f t="shared" si="7"/>
        <v>2047</v>
      </c>
      <c r="F286" s="1050">
        <f t="shared" si="13"/>
        <v>0.000000001902438467</v>
      </c>
      <c r="G286" s="1050">
        <f t="shared" si="8"/>
        <v>0</v>
      </c>
      <c r="H286" s="1050">
        <f t="shared" si="9"/>
        <v>0</v>
      </c>
      <c r="I286" s="1050">
        <f t="shared" si="10"/>
        <v>0</v>
      </c>
      <c r="J286" s="1051">
        <f t="shared" si="11"/>
        <v>0</v>
      </c>
      <c r="K286" s="1043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897"/>
      <c r="W286" s="897"/>
      <c r="X286" s="897"/>
      <c r="Y286" s="897"/>
      <c r="Z286" s="897"/>
    </row>
    <row r="287" ht="15.75" customHeight="1">
      <c r="A287" s="308"/>
      <c r="B287" s="1026">
        <v>263.0</v>
      </c>
      <c r="C287" s="1048">
        <f t="shared" si="12"/>
        <v>53797</v>
      </c>
      <c r="D287" s="1049">
        <f t="shared" si="6"/>
        <v>4</v>
      </c>
      <c r="E287" s="1050">
        <f t="shared" si="7"/>
        <v>2047</v>
      </c>
      <c r="F287" s="1050">
        <f t="shared" si="13"/>
        <v>0.00000000190870066</v>
      </c>
      <c r="G287" s="1050">
        <f t="shared" si="8"/>
        <v>0</v>
      </c>
      <c r="H287" s="1050">
        <f t="shared" si="9"/>
        <v>0</v>
      </c>
      <c r="I287" s="1050">
        <f t="shared" si="10"/>
        <v>0</v>
      </c>
      <c r="J287" s="1051">
        <f t="shared" si="11"/>
        <v>0</v>
      </c>
      <c r="K287" s="1043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897"/>
      <c r="W287" s="897"/>
      <c r="X287" s="897"/>
      <c r="Y287" s="897"/>
      <c r="Z287" s="897"/>
    </row>
    <row r="288" ht="15.75" customHeight="1">
      <c r="A288" s="308"/>
      <c r="B288" s="1026">
        <v>264.0</v>
      </c>
      <c r="C288" s="1048">
        <f t="shared" si="12"/>
        <v>53827</v>
      </c>
      <c r="D288" s="1049">
        <f t="shared" si="6"/>
        <v>5</v>
      </c>
      <c r="E288" s="1050">
        <f t="shared" si="7"/>
        <v>2047</v>
      </c>
      <c r="F288" s="1050">
        <f t="shared" si="13"/>
        <v>0.000000001914983466</v>
      </c>
      <c r="G288" s="1050">
        <f t="shared" si="8"/>
        <v>0</v>
      </c>
      <c r="H288" s="1050">
        <f t="shared" si="9"/>
        <v>0</v>
      </c>
      <c r="I288" s="1050">
        <f t="shared" si="10"/>
        <v>0</v>
      </c>
      <c r="J288" s="1051">
        <f t="shared" si="11"/>
        <v>0</v>
      </c>
      <c r="K288" s="1043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897"/>
      <c r="W288" s="897"/>
      <c r="X288" s="897"/>
      <c r="Y288" s="897"/>
      <c r="Z288" s="897"/>
    </row>
    <row r="289" ht="15.75" customHeight="1">
      <c r="A289" s="308"/>
      <c r="B289" s="1026">
        <v>265.0</v>
      </c>
      <c r="C289" s="1048">
        <f t="shared" si="12"/>
        <v>53858</v>
      </c>
      <c r="D289" s="1049">
        <f t="shared" si="6"/>
        <v>6</v>
      </c>
      <c r="E289" s="1050">
        <f t="shared" si="7"/>
        <v>2047</v>
      </c>
      <c r="F289" s="1050">
        <f t="shared" si="13"/>
        <v>0.000000001921286953</v>
      </c>
      <c r="G289" s="1050">
        <f t="shared" si="8"/>
        <v>0</v>
      </c>
      <c r="H289" s="1050">
        <f t="shared" si="9"/>
        <v>0</v>
      </c>
      <c r="I289" s="1050">
        <f t="shared" si="10"/>
        <v>0</v>
      </c>
      <c r="J289" s="1051">
        <f t="shared" si="11"/>
        <v>0</v>
      </c>
      <c r="K289" s="1043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897"/>
      <c r="W289" s="897"/>
      <c r="X289" s="897"/>
      <c r="Y289" s="897"/>
      <c r="Z289" s="897"/>
    </row>
    <row r="290" ht="15.75" customHeight="1">
      <c r="A290" s="308"/>
      <c r="B290" s="1026">
        <v>266.0</v>
      </c>
      <c r="C290" s="1048">
        <f t="shared" si="12"/>
        <v>53888</v>
      </c>
      <c r="D290" s="1049">
        <f t="shared" si="6"/>
        <v>7</v>
      </c>
      <c r="E290" s="1050">
        <f t="shared" si="7"/>
        <v>2047</v>
      </c>
      <c r="F290" s="1050">
        <f t="shared" si="13"/>
        <v>0.00000000192761119</v>
      </c>
      <c r="G290" s="1050">
        <f t="shared" si="8"/>
        <v>0</v>
      </c>
      <c r="H290" s="1050">
        <f t="shared" si="9"/>
        <v>0</v>
      </c>
      <c r="I290" s="1050">
        <f t="shared" si="10"/>
        <v>0</v>
      </c>
      <c r="J290" s="1051">
        <f t="shared" si="11"/>
        <v>0</v>
      </c>
      <c r="K290" s="1043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897"/>
      <c r="W290" s="897"/>
      <c r="X290" s="897"/>
      <c r="Y290" s="897"/>
      <c r="Z290" s="897"/>
    </row>
    <row r="291" ht="15.75" customHeight="1">
      <c r="A291" s="308"/>
      <c r="B291" s="1026">
        <v>267.0</v>
      </c>
      <c r="C291" s="1048">
        <f t="shared" si="12"/>
        <v>53919</v>
      </c>
      <c r="D291" s="1049">
        <f t="shared" si="6"/>
        <v>8</v>
      </c>
      <c r="E291" s="1050">
        <f t="shared" si="7"/>
        <v>2047</v>
      </c>
      <c r="F291" s="1050">
        <f t="shared" si="13"/>
        <v>0.000000001933956243</v>
      </c>
      <c r="G291" s="1050">
        <f t="shared" si="8"/>
        <v>0</v>
      </c>
      <c r="H291" s="1050">
        <f t="shared" si="9"/>
        <v>0</v>
      </c>
      <c r="I291" s="1050">
        <f t="shared" si="10"/>
        <v>0</v>
      </c>
      <c r="J291" s="1051">
        <f t="shared" si="11"/>
        <v>0</v>
      </c>
      <c r="K291" s="1043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897"/>
      <c r="W291" s="897"/>
      <c r="X291" s="897"/>
      <c r="Y291" s="897"/>
      <c r="Z291" s="897"/>
    </row>
    <row r="292" ht="15.75" customHeight="1">
      <c r="A292" s="308"/>
      <c r="B292" s="1026">
        <v>268.0</v>
      </c>
      <c r="C292" s="1048">
        <f t="shared" si="12"/>
        <v>53950</v>
      </c>
      <c r="D292" s="1049">
        <f t="shared" si="6"/>
        <v>9</v>
      </c>
      <c r="E292" s="1050">
        <f t="shared" si="7"/>
        <v>2047</v>
      </c>
      <c r="F292" s="1050">
        <f t="shared" si="13"/>
        <v>0.000000001940322183</v>
      </c>
      <c r="G292" s="1050">
        <f t="shared" si="8"/>
        <v>0</v>
      </c>
      <c r="H292" s="1050">
        <f t="shared" si="9"/>
        <v>0</v>
      </c>
      <c r="I292" s="1050">
        <f t="shared" si="10"/>
        <v>0</v>
      </c>
      <c r="J292" s="1051">
        <f t="shared" si="11"/>
        <v>0</v>
      </c>
      <c r="K292" s="1043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897"/>
      <c r="W292" s="897"/>
      <c r="X292" s="897"/>
      <c r="Y292" s="897"/>
      <c r="Z292" s="897"/>
    </row>
    <row r="293" ht="15.75" customHeight="1">
      <c r="A293" s="308"/>
      <c r="B293" s="1026">
        <v>269.0</v>
      </c>
      <c r="C293" s="1048">
        <f t="shared" si="12"/>
        <v>53980</v>
      </c>
      <c r="D293" s="1049">
        <f t="shared" si="6"/>
        <v>10</v>
      </c>
      <c r="E293" s="1050">
        <f t="shared" si="7"/>
        <v>2047</v>
      </c>
      <c r="F293" s="1050">
        <f t="shared" si="13"/>
        <v>0.000000001946709076</v>
      </c>
      <c r="G293" s="1050">
        <f t="shared" si="8"/>
        <v>0</v>
      </c>
      <c r="H293" s="1050">
        <f t="shared" si="9"/>
        <v>0</v>
      </c>
      <c r="I293" s="1050">
        <f t="shared" si="10"/>
        <v>0</v>
      </c>
      <c r="J293" s="1051">
        <f t="shared" si="11"/>
        <v>0</v>
      </c>
      <c r="K293" s="1043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897"/>
      <c r="W293" s="897"/>
      <c r="X293" s="897"/>
      <c r="Y293" s="897"/>
      <c r="Z293" s="897"/>
    </row>
    <row r="294" ht="15.75" customHeight="1">
      <c r="A294" s="308"/>
      <c r="B294" s="1026">
        <v>270.0</v>
      </c>
      <c r="C294" s="1048">
        <f t="shared" si="12"/>
        <v>54011</v>
      </c>
      <c r="D294" s="1049">
        <f t="shared" si="6"/>
        <v>11</v>
      </c>
      <c r="E294" s="1050">
        <f t="shared" si="7"/>
        <v>2047</v>
      </c>
      <c r="F294" s="1050">
        <f t="shared" si="13"/>
        <v>0.000000001953116994</v>
      </c>
      <c r="G294" s="1050">
        <f t="shared" si="8"/>
        <v>0</v>
      </c>
      <c r="H294" s="1050">
        <f t="shared" si="9"/>
        <v>0</v>
      </c>
      <c r="I294" s="1050">
        <f t="shared" si="10"/>
        <v>0</v>
      </c>
      <c r="J294" s="1051">
        <f t="shared" si="11"/>
        <v>0</v>
      </c>
      <c r="K294" s="1043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897"/>
      <c r="W294" s="897"/>
      <c r="X294" s="897"/>
      <c r="Y294" s="897"/>
      <c r="Z294" s="897"/>
    </row>
    <row r="295" ht="15.75" customHeight="1">
      <c r="A295" s="308"/>
      <c r="B295" s="1026">
        <v>271.0</v>
      </c>
      <c r="C295" s="1048">
        <f t="shared" si="12"/>
        <v>54041</v>
      </c>
      <c r="D295" s="1049">
        <f t="shared" si="6"/>
        <v>12</v>
      </c>
      <c r="E295" s="1050">
        <f t="shared" si="7"/>
        <v>2047</v>
      </c>
      <c r="F295" s="1050">
        <f t="shared" si="13"/>
        <v>0.000000001959546004</v>
      </c>
      <c r="G295" s="1050">
        <f t="shared" si="8"/>
        <v>0</v>
      </c>
      <c r="H295" s="1050">
        <f t="shared" si="9"/>
        <v>0</v>
      </c>
      <c r="I295" s="1050">
        <f t="shared" si="10"/>
        <v>0</v>
      </c>
      <c r="J295" s="1051">
        <f t="shared" si="11"/>
        <v>0</v>
      </c>
      <c r="K295" s="1043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897"/>
      <c r="W295" s="897"/>
      <c r="X295" s="897"/>
      <c r="Y295" s="897"/>
      <c r="Z295" s="897"/>
    </row>
    <row r="296" ht="15.75" customHeight="1">
      <c r="A296" s="308"/>
      <c r="B296" s="1026">
        <v>272.0</v>
      </c>
      <c r="C296" s="1048">
        <f t="shared" si="12"/>
        <v>54072</v>
      </c>
      <c r="D296" s="1049">
        <f t="shared" si="6"/>
        <v>1</v>
      </c>
      <c r="E296" s="1050">
        <f t="shared" si="7"/>
        <v>2048</v>
      </c>
      <c r="F296" s="1050">
        <f t="shared" si="13"/>
        <v>0.000000001965996176</v>
      </c>
      <c r="G296" s="1050">
        <f t="shared" si="8"/>
        <v>0</v>
      </c>
      <c r="H296" s="1050">
        <f t="shared" si="9"/>
        <v>0</v>
      </c>
      <c r="I296" s="1050">
        <f t="shared" si="10"/>
        <v>0</v>
      </c>
      <c r="J296" s="1051">
        <f t="shared" si="11"/>
        <v>0</v>
      </c>
      <c r="K296" s="1043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897"/>
      <c r="W296" s="897"/>
      <c r="X296" s="897"/>
      <c r="Y296" s="897"/>
      <c r="Z296" s="897"/>
    </row>
    <row r="297" ht="15.75" customHeight="1">
      <c r="A297" s="308"/>
      <c r="B297" s="1026">
        <v>273.0</v>
      </c>
      <c r="C297" s="1048">
        <f t="shared" si="12"/>
        <v>54103</v>
      </c>
      <c r="D297" s="1049">
        <f t="shared" si="6"/>
        <v>2</v>
      </c>
      <c r="E297" s="1050">
        <f t="shared" si="7"/>
        <v>2048</v>
      </c>
      <c r="F297" s="1050">
        <f t="shared" si="13"/>
        <v>0.00000000197246758</v>
      </c>
      <c r="G297" s="1050">
        <f t="shared" si="8"/>
        <v>0</v>
      </c>
      <c r="H297" s="1050">
        <f t="shared" si="9"/>
        <v>0</v>
      </c>
      <c r="I297" s="1050">
        <f t="shared" si="10"/>
        <v>0</v>
      </c>
      <c r="J297" s="1051">
        <f t="shared" si="11"/>
        <v>0</v>
      </c>
      <c r="K297" s="1043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897"/>
      <c r="W297" s="897"/>
      <c r="X297" s="897"/>
      <c r="Y297" s="897"/>
      <c r="Z297" s="897"/>
    </row>
    <row r="298" ht="15.75" customHeight="1">
      <c r="A298" s="308"/>
      <c r="B298" s="1026">
        <v>274.0</v>
      </c>
      <c r="C298" s="1048">
        <f t="shared" si="12"/>
        <v>54132</v>
      </c>
      <c r="D298" s="1049">
        <f t="shared" si="6"/>
        <v>3</v>
      </c>
      <c r="E298" s="1050">
        <f t="shared" si="7"/>
        <v>2048</v>
      </c>
      <c r="F298" s="1050">
        <f t="shared" si="13"/>
        <v>0.000000001978960286</v>
      </c>
      <c r="G298" s="1050">
        <f t="shared" si="8"/>
        <v>0</v>
      </c>
      <c r="H298" s="1050">
        <f t="shared" si="9"/>
        <v>0</v>
      </c>
      <c r="I298" s="1050">
        <f t="shared" si="10"/>
        <v>0</v>
      </c>
      <c r="J298" s="1051">
        <f t="shared" si="11"/>
        <v>0</v>
      </c>
      <c r="K298" s="1043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897"/>
      <c r="W298" s="897"/>
      <c r="X298" s="897"/>
      <c r="Y298" s="897"/>
      <c r="Z298" s="897"/>
    </row>
    <row r="299" ht="15.75" customHeight="1">
      <c r="A299" s="308"/>
      <c r="B299" s="1026">
        <v>275.0</v>
      </c>
      <c r="C299" s="1048">
        <f t="shared" si="12"/>
        <v>54163</v>
      </c>
      <c r="D299" s="1049">
        <f t="shared" si="6"/>
        <v>4</v>
      </c>
      <c r="E299" s="1050">
        <f t="shared" si="7"/>
        <v>2048</v>
      </c>
      <c r="F299" s="1050">
        <f t="shared" si="13"/>
        <v>0.000000001985474364</v>
      </c>
      <c r="G299" s="1050">
        <f t="shared" si="8"/>
        <v>0</v>
      </c>
      <c r="H299" s="1050">
        <f t="shared" si="9"/>
        <v>0</v>
      </c>
      <c r="I299" s="1050">
        <f t="shared" si="10"/>
        <v>0</v>
      </c>
      <c r="J299" s="1051">
        <f t="shared" si="11"/>
        <v>0</v>
      </c>
      <c r="K299" s="1043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897"/>
      <c r="W299" s="897"/>
      <c r="X299" s="897"/>
      <c r="Y299" s="897"/>
      <c r="Z299" s="897"/>
    </row>
    <row r="300" ht="15.75" customHeight="1">
      <c r="A300" s="308"/>
      <c r="B300" s="1026">
        <v>276.0</v>
      </c>
      <c r="C300" s="1048">
        <f t="shared" si="12"/>
        <v>54193</v>
      </c>
      <c r="D300" s="1049">
        <f t="shared" si="6"/>
        <v>5</v>
      </c>
      <c r="E300" s="1050">
        <f t="shared" si="7"/>
        <v>2048</v>
      </c>
      <c r="F300" s="1050">
        <f t="shared" si="13"/>
        <v>0.000000001992009883</v>
      </c>
      <c r="G300" s="1050">
        <f t="shared" si="8"/>
        <v>0</v>
      </c>
      <c r="H300" s="1050">
        <f t="shared" si="9"/>
        <v>0</v>
      </c>
      <c r="I300" s="1050">
        <f t="shared" si="10"/>
        <v>0</v>
      </c>
      <c r="J300" s="1051">
        <f t="shared" si="11"/>
        <v>0</v>
      </c>
      <c r="K300" s="1043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897"/>
      <c r="W300" s="897"/>
      <c r="X300" s="897"/>
      <c r="Y300" s="897"/>
      <c r="Z300" s="897"/>
    </row>
    <row r="301" ht="15.75" customHeight="1">
      <c r="A301" s="308"/>
      <c r="B301" s="1026">
        <v>277.0</v>
      </c>
      <c r="C301" s="1048">
        <f t="shared" si="12"/>
        <v>54224</v>
      </c>
      <c r="D301" s="1049">
        <f t="shared" si="6"/>
        <v>6</v>
      </c>
      <c r="E301" s="1050">
        <f t="shared" si="7"/>
        <v>2048</v>
      </c>
      <c r="F301" s="1050">
        <f t="shared" si="13"/>
        <v>0.000000001998566916</v>
      </c>
      <c r="G301" s="1050">
        <f t="shared" si="8"/>
        <v>0</v>
      </c>
      <c r="H301" s="1050">
        <f t="shared" si="9"/>
        <v>0</v>
      </c>
      <c r="I301" s="1050">
        <f t="shared" si="10"/>
        <v>0</v>
      </c>
      <c r="J301" s="1051">
        <f t="shared" si="11"/>
        <v>0</v>
      </c>
      <c r="K301" s="1043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897"/>
      <c r="W301" s="897"/>
      <c r="X301" s="897"/>
      <c r="Y301" s="897"/>
      <c r="Z301" s="897"/>
    </row>
    <row r="302" ht="15.75" customHeight="1">
      <c r="A302" s="308"/>
      <c r="B302" s="1026">
        <v>278.0</v>
      </c>
      <c r="C302" s="1048">
        <f t="shared" si="12"/>
        <v>54254</v>
      </c>
      <c r="D302" s="1049">
        <f t="shared" si="6"/>
        <v>7</v>
      </c>
      <c r="E302" s="1050">
        <f t="shared" si="7"/>
        <v>2048</v>
      </c>
      <c r="F302" s="1050">
        <f t="shared" si="13"/>
        <v>0.000000002005145532</v>
      </c>
      <c r="G302" s="1050">
        <f t="shared" si="8"/>
        <v>0</v>
      </c>
      <c r="H302" s="1050">
        <f t="shared" si="9"/>
        <v>0</v>
      </c>
      <c r="I302" s="1050">
        <f t="shared" si="10"/>
        <v>0</v>
      </c>
      <c r="J302" s="1051">
        <f t="shared" si="11"/>
        <v>0</v>
      </c>
      <c r="K302" s="1043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897"/>
      <c r="W302" s="897"/>
      <c r="X302" s="897"/>
      <c r="Y302" s="897"/>
      <c r="Z302" s="897"/>
    </row>
    <row r="303" ht="15.75" customHeight="1">
      <c r="A303" s="308"/>
      <c r="B303" s="1026">
        <v>279.0</v>
      </c>
      <c r="C303" s="1048">
        <f t="shared" si="12"/>
        <v>54285</v>
      </c>
      <c r="D303" s="1049">
        <f t="shared" si="6"/>
        <v>8</v>
      </c>
      <c r="E303" s="1050">
        <f t="shared" si="7"/>
        <v>2048</v>
      </c>
      <c r="F303" s="1050">
        <f t="shared" si="13"/>
        <v>0.000000002011745803</v>
      </c>
      <c r="G303" s="1050">
        <f t="shared" si="8"/>
        <v>0</v>
      </c>
      <c r="H303" s="1050">
        <f t="shared" si="9"/>
        <v>0</v>
      </c>
      <c r="I303" s="1050">
        <f t="shared" si="10"/>
        <v>0</v>
      </c>
      <c r="J303" s="1051">
        <f t="shared" si="11"/>
        <v>0</v>
      </c>
      <c r="K303" s="1043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897"/>
      <c r="W303" s="897"/>
      <c r="X303" s="897"/>
      <c r="Y303" s="897"/>
      <c r="Z303" s="897"/>
    </row>
    <row r="304" ht="15.75" customHeight="1">
      <c r="A304" s="308"/>
      <c r="B304" s="1026">
        <v>280.0</v>
      </c>
      <c r="C304" s="1048">
        <f t="shared" si="12"/>
        <v>54316</v>
      </c>
      <c r="D304" s="1049">
        <f t="shared" si="6"/>
        <v>9</v>
      </c>
      <c r="E304" s="1050">
        <f t="shared" si="7"/>
        <v>2048</v>
      </c>
      <c r="F304" s="1050">
        <f t="shared" si="13"/>
        <v>0.000000002018367799</v>
      </c>
      <c r="G304" s="1050">
        <f t="shared" si="8"/>
        <v>0</v>
      </c>
      <c r="H304" s="1050">
        <f t="shared" si="9"/>
        <v>0</v>
      </c>
      <c r="I304" s="1050">
        <f t="shared" si="10"/>
        <v>0</v>
      </c>
      <c r="J304" s="1051">
        <f t="shared" si="11"/>
        <v>0</v>
      </c>
      <c r="K304" s="1043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897"/>
      <c r="W304" s="897"/>
      <c r="X304" s="897"/>
      <c r="Y304" s="897"/>
      <c r="Z304" s="897"/>
    </row>
    <row r="305" ht="15.75" customHeight="1">
      <c r="A305" s="308"/>
      <c r="B305" s="1026">
        <v>281.0</v>
      </c>
      <c r="C305" s="1048">
        <f t="shared" si="12"/>
        <v>54346</v>
      </c>
      <c r="D305" s="1049">
        <f t="shared" si="6"/>
        <v>10</v>
      </c>
      <c r="E305" s="1050">
        <f t="shared" si="7"/>
        <v>2048</v>
      </c>
      <c r="F305" s="1050">
        <f t="shared" si="13"/>
        <v>0.000000002025011593</v>
      </c>
      <c r="G305" s="1050">
        <f t="shared" si="8"/>
        <v>0</v>
      </c>
      <c r="H305" s="1050">
        <f t="shared" si="9"/>
        <v>0</v>
      </c>
      <c r="I305" s="1050">
        <f t="shared" si="10"/>
        <v>0</v>
      </c>
      <c r="J305" s="1051">
        <f t="shared" si="11"/>
        <v>0</v>
      </c>
      <c r="K305" s="1043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897"/>
      <c r="W305" s="897"/>
      <c r="X305" s="897"/>
      <c r="Y305" s="897"/>
      <c r="Z305" s="897"/>
    </row>
    <row r="306" ht="15.75" customHeight="1">
      <c r="A306" s="308"/>
      <c r="B306" s="1026">
        <v>282.0</v>
      </c>
      <c r="C306" s="1048">
        <f t="shared" si="12"/>
        <v>54377</v>
      </c>
      <c r="D306" s="1049">
        <f t="shared" si="6"/>
        <v>11</v>
      </c>
      <c r="E306" s="1050">
        <f t="shared" si="7"/>
        <v>2048</v>
      </c>
      <c r="F306" s="1050">
        <f t="shared" si="13"/>
        <v>0.000000002031677256</v>
      </c>
      <c r="G306" s="1050">
        <f t="shared" si="8"/>
        <v>0</v>
      </c>
      <c r="H306" s="1050">
        <f t="shared" si="9"/>
        <v>0</v>
      </c>
      <c r="I306" s="1050">
        <f t="shared" si="10"/>
        <v>0</v>
      </c>
      <c r="J306" s="1051">
        <f t="shared" si="11"/>
        <v>0</v>
      </c>
      <c r="K306" s="1043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897"/>
      <c r="W306" s="897"/>
      <c r="X306" s="897"/>
      <c r="Y306" s="897"/>
      <c r="Z306" s="897"/>
    </row>
    <row r="307" ht="15.75" customHeight="1">
      <c r="A307" s="308"/>
      <c r="B307" s="1026">
        <v>283.0</v>
      </c>
      <c r="C307" s="1048">
        <f t="shared" si="12"/>
        <v>54407</v>
      </c>
      <c r="D307" s="1049">
        <f t="shared" si="6"/>
        <v>12</v>
      </c>
      <c r="E307" s="1050">
        <f t="shared" si="7"/>
        <v>2048</v>
      </c>
      <c r="F307" s="1050">
        <f t="shared" si="13"/>
        <v>0.000000002038364861</v>
      </c>
      <c r="G307" s="1050">
        <f t="shared" si="8"/>
        <v>0</v>
      </c>
      <c r="H307" s="1050">
        <f t="shared" si="9"/>
        <v>0</v>
      </c>
      <c r="I307" s="1050">
        <f t="shared" si="10"/>
        <v>0</v>
      </c>
      <c r="J307" s="1051">
        <f t="shared" si="11"/>
        <v>0</v>
      </c>
      <c r="K307" s="1043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897"/>
      <c r="W307" s="897"/>
      <c r="X307" s="897"/>
      <c r="Y307" s="897"/>
      <c r="Z307" s="897"/>
    </row>
    <row r="308" ht="15.75" customHeight="1">
      <c r="A308" s="308"/>
      <c r="B308" s="1026">
        <v>284.0</v>
      </c>
      <c r="C308" s="1048">
        <f t="shared" si="12"/>
        <v>54438</v>
      </c>
      <c r="D308" s="1049">
        <f t="shared" si="6"/>
        <v>1</v>
      </c>
      <c r="E308" s="1050">
        <f t="shared" si="7"/>
        <v>2049</v>
      </c>
      <c r="F308" s="1050">
        <f t="shared" si="13"/>
        <v>0.000000002045074478</v>
      </c>
      <c r="G308" s="1050">
        <f t="shared" si="8"/>
        <v>0</v>
      </c>
      <c r="H308" s="1050">
        <f t="shared" si="9"/>
        <v>0</v>
      </c>
      <c r="I308" s="1050">
        <f t="shared" si="10"/>
        <v>0</v>
      </c>
      <c r="J308" s="1051">
        <f t="shared" si="11"/>
        <v>0</v>
      </c>
      <c r="K308" s="1043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897"/>
      <c r="W308" s="897"/>
      <c r="X308" s="897"/>
      <c r="Y308" s="897"/>
      <c r="Z308" s="897"/>
    </row>
    <row r="309" ht="15.75" customHeight="1">
      <c r="A309" s="308"/>
      <c r="B309" s="1026">
        <v>285.0</v>
      </c>
      <c r="C309" s="1048">
        <f t="shared" si="12"/>
        <v>54469</v>
      </c>
      <c r="D309" s="1049">
        <f t="shared" si="6"/>
        <v>2</v>
      </c>
      <c r="E309" s="1050">
        <f t="shared" si="7"/>
        <v>2049</v>
      </c>
      <c r="F309" s="1050">
        <f t="shared" si="13"/>
        <v>0.000000002051806182</v>
      </c>
      <c r="G309" s="1050">
        <f t="shared" si="8"/>
        <v>0</v>
      </c>
      <c r="H309" s="1050">
        <f t="shared" si="9"/>
        <v>0</v>
      </c>
      <c r="I309" s="1050">
        <f t="shared" si="10"/>
        <v>0</v>
      </c>
      <c r="J309" s="1051">
        <f t="shared" si="11"/>
        <v>0</v>
      </c>
      <c r="K309" s="1043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897"/>
      <c r="W309" s="897"/>
      <c r="X309" s="897"/>
      <c r="Y309" s="897"/>
      <c r="Z309" s="897"/>
    </row>
    <row r="310" ht="15.75" customHeight="1">
      <c r="A310" s="308"/>
      <c r="B310" s="1026">
        <v>286.0</v>
      </c>
      <c r="C310" s="1048">
        <f t="shared" si="12"/>
        <v>54497</v>
      </c>
      <c r="D310" s="1049">
        <f t="shared" si="6"/>
        <v>3</v>
      </c>
      <c r="E310" s="1050">
        <f t="shared" si="7"/>
        <v>2049</v>
      </c>
      <c r="F310" s="1050">
        <f t="shared" si="13"/>
        <v>0.000000002058560044</v>
      </c>
      <c r="G310" s="1050">
        <f t="shared" si="8"/>
        <v>0</v>
      </c>
      <c r="H310" s="1050">
        <f t="shared" si="9"/>
        <v>0</v>
      </c>
      <c r="I310" s="1050">
        <f t="shared" si="10"/>
        <v>0</v>
      </c>
      <c r="J310" s="1051">
        <f t="shared" si="11"/>
        <v>0</v>
      </c>
      <c r="K310" s="1043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897"/>
      <c r="W310" s="897"/>
      <c r="X310" s="897"/>
      <c r="Y310" s="897"/>
      <c r="Z310" s="897"/>
    </row>
    <row r="311" ht="15.75" customHeight="1">
      <c r="A311" s="308"/>
      <c r="B311" s="1026">
        <v>287.0</v>
      </c>
      <c r="C311" s="1048">
        <f t="shared" si="12"/>
        <v>54528</v>
      </c>
      <c r="D311" s="1049">
        <f t="shared" si="6"/>
        <v>4</v>
      </c>
      <c r="E311" s="1050">
        <f t="shared" si="7"/>
        <v>2049</v>
      </c>
      <c r="F311" s="1050">
        <f t="shared" si="13"/>
        <v>0.000000002065336137</v>
      </c>
      <c r="G311" s="1050">
        <f t="shared" si="8"/>
        <v>0</v>
      </c>
      <c r="H311" s="1050">
        <f t="shared" si="9"/>
        <v>0</v>
      </c>
      <c r="I311" s="1050">
        <f t="shared" si="10"/>
        <v>0</v>
      </c>
      <c r="J311" s="1051">
        <f t="shared" si="11"/>
        <v>0</v>
      </c>
      <c r="K311" s="1043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897"/>
      <c r="W311" s="897"/>
      <c r="X311" s="897"/>
      <c r="Y311" s="897"/>
      <c r="Z311" s="897"/>
    </row>
    <row r="312" ht="15.75" customHeight="1">
      <c r="A312" s="308"/>
      <c r="B312" s="1026">
        <v>288.0</v>
      </c>
      <c r="C312" s="1048">
        <f t="shared" si="12"/>
        <v>54558</v>
      </c>
      <c r="D312" s="1049">
        <f t="shared" si="6"/>
        <v>5</v>
      </c>
      <c r="E312" s="1050">
        <f t="shared" si="7"/>
        <v>2049</v>
      </c>
      <c r="F312" s="1050">
        <f t="shared" si="13"/>
        <v>0.000000002072134536</v>
      </c>
      <c r="G312" s="1050">
        <f t="shared" si="8"/>
        <v>0</v>
      </c>
      <c r="H312" s="1050">
        <f t="shared" si="9"/>
        <v>0</v>
      </c>
      <c r="I312" s="1050">
        <f t="shared" si="10"/>
        <v>0</v>
      </c>
      <c r="J312" s="1051">
        <f t="shared" si="11"/>
        <v>0</v>
      </c>
      <c r="K312" s="1043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897"/>
      <c r="W312" s="897"/>
      <c r="X312" s="897"/>
      <c r="Y312" s="897"/>
      <c r="Z312" s="897"/>
    </row>
    <row r="313" ht="15.75" customHeight="1">
      <c r="A313" s="308"/>
      <c r="B313" s="1026">
        <v>289.0</v>
      </c>
      <c r="C313" s="1048">
        <f t="shared" si="12"/>
        <v>54589</v>
      </c>
      <c r="D313" s="1049">
        <f t="shared" si="6"/>
        <v>6</v>
      </c>
      <c r="E313" s="1050">
        <f t="shared" si="7"/>
        <v>2049</v>
      </c>
      <c r="F313" s="1050">
        <f t="shared" si="13"/>
        <v>0.000000002078955312</v>
      </c>
      <c r="G313" s="1050">
        <f t="shared" si="8"/>
        <v>0</v>
      </c>
      <c r="H313" s="1050">
        <f t="shared" si="9"/>
        <v>0</v>
      </c>
      <c r="I313" s="1050">
        <f t="shared" si="10"/>
        <v>0</v>
      </c>
      <c r="J313" s="1051">
        <f t="shared" si="11"/>
        <v>0</v>
      </c>
      <c r="K313" s="1043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897"/>
      <c r="W313" s="897"/>
      <c r="X313" s="897"/>
      <c r="Y313" s="897"/>
      <c r="Z313" s="897"/>
    </row>
    <row r="314" ht="15.75" customHeight="1">
      <c r="A314" s="308"/>
      <c r="B314" s="1026">
        <v>290.0</v>
      </c>
      <c r="C314" s="1048">
        <f t="shared" si="12"/>
        <v>54619</v>
      </c>
      <c r="D314" s="1049">
        <f t="shared" si="6"/>
        <v>7</v>
      </c>
      <c r="E314" s="1050">
        <f t="shared" si="7"/>
        <v>2049</v>
      </c>
      <c r="F314" s="1050">
        <f t="shared" si="13"/>
        <v>0.00000000208579854</v>
      </c>
      <c r="G314" s="1050">
        <f t="shared" si="8"/>
        <v>0</v>
      </c>
      <c r="H314" s="1050">
        <f t="shared" si="9"/>
        <v>0</v>
      </c>
      <c r="I314" s="1050">
        <f t="shared" si="10"/>
        <v>0</v>
      </c>
      <c r="J314" s="1051">
        <f t="shared" si="11"/>
        <v>0</v>
      </c>
      <c r="K314" s="1043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897"/>
      <c r="W314" s="897"/>
      <c r="X314" s="897"/>
      <c r="Y314" s="897"/>
      <c r="Z314" s="897"/>
    </row>
    <row r="315" ht="15.75" customHeight="1">
      <c r="A315" s="308"/>
      <c r="B315" s="1026">
        <v>291.0</v>
      </c>
      <c r="C315" s="1048">
        <f t="shared" si="12"/>
        <v>54650</v>
      </c>
      <c r="D315" s="1049">
        <f t="shared" si="6"/>
        <v>8</v>
      </c>
      <c r="E315" s="1050">
        <f t="shared" si="7"/>
        <v>2049</v>
      </c>
      <c r="F315" s="1050">
        <f t="shared" si="13"/>
        <v>0.000000002092664293</v>
      </c>
      <c r="G315" s="1050">
        <f t="shared" si="8"/>
        <v>0</v>
      </c>
      <c r="H315" s="1050">
        <f t="shared" si="9"/>
        <v>0</v>
      </c>
      <c r="I315" s="1050">
        <f t="shared" si="10"/>
        <v>0</v>
      </c>
      <c r="J315" s="1051">
        <f t="shared" si="11"/>
        <v>0</v>
      </c>
      <c r="K315" s="1043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897"/>
      <c r="W315" s="897"/>
      <c r="X315" s="897"/>
      <c r="Y315" s="897"/>
      <c r="Z315" s="897"/>
    </row>
    <row r="316" ht="15.75" customHeight="1">
      <c r="A316" s="308"/>
      <c r="B316" s="1026">
        <v>292.0</v>
      </c>
      <c r="C316" s="1048">
        <f t="shared" si="12"/>
        <v>54681</v>
      </c>
      <c r="D316" s="1049">
        <f t="shared" si="6"/>
        <v>9</v>
      </c>
      <c r="E316" s="1050">
        <f t="shared" si="7"/>
        <v>2049</v>
      </c>
      <c r="F316" s="1050">
        <f t="shared" si="13"/>
        <v>0.000000002099552646</v>
      </c>
      <c r="G316" s="1050">
        <f t="shared" si="8"/>
        <v>0</v>
      </c>
      <c r="H316" s="1050">
        <f t="shared" si="9"/>
        <v>0</v>
      </c>
      <c r="I316" s="1050">
        <f t="shared" si="10"/>
        <v>0</v>
      </c>
      <c r="J316" s="1051">
        <f t="shared" si="11"/>
        <v>0</v>
      </c>
      <c r="K316" s="1043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897"/>
      <c r="W316" s="897"/>
      <c r="X316" s="897"/>
      <c r="Y316" s="897"/>
      <c r="Z316" s="897"/>
    </row>
    <row r="317" ht="15.75" customHeight="1">
      <c r="A317" s="308"/>
      <c r="B317" s="1026">
        <v>293.0</v>
      </c>
      <c r="C317" s="1048">
        <f t="shared" si="12"/>
        <v>54711</v>
      </c>
      <c r="D317" s="1049">
        <f t="shared" si="6"/>
        <v>10</v>
      </c>
      <c r="E317" s="1050">
        <f t="shared" si="7"/>
        <v>2049</v>
      </c>
      <c r="F317" s="1050">
        <f t="shared" si="13"/>
        <v>0.000000002106463674</v>
      </c>
      <c r="G317" s="1050">
        <f t="shared" si="8"/>
        <v>0</v>
      </c>
      <c r="H317" s="1050">
        <f t="shared" si="9"/>
        <v>0</v>
      </c>
      <c r="I317" s="1050">
        <f t="shared" si="10"/>
        <v>0</v>
      </c>
      <c r="J317" s="1051">
        <f t="shared" si="11"/>
        <v>0</v>
      </c>
      <c r="K317" s="1043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897"/>
      <c r="W317" s="897"/>
      <c r="X317" s="897"/>
      <c r="Y317" s="897"/>
      <c r="Z317" s="897"/>
    </row>
    <row r="318" ht="15.75" customHeight="1">
      <c r="A318" s="308"/>
      <c r="B318" s="1026">
        <v>294.0</v>
      </c>
      <c r="C318" s="1048">
        <f t="shared" si="12"/>
        <v>54742</v>
      </c>
      <c r="D318" s="1049">
        <f t="shared" si="6"/>
        <v>11</v>
      </c>
      <c r="E318" s="1050">
        <f t="shared" si="7"/>
        <v>2049</v>
      </c>
      <c r="F318" s="1050">
        <f t="shared" si="13"/>
        <v>0.00000000211339745</v>
      </c>
      <c r="G318" s="1050">
        <f t="shared" si="8"/>
        <v>0</v>
      </c>
      <c r="H318" s="1050">
        <f t="shared" si="9"/>
        <v>0</v>
      </c>
      <c r="I318" s="1050">
        <f t="shared" si="10"/>
        <v>0</v>
      </c>
      <c r="J318" s="1051">
        <f t="shared" si="11"/>
        <v>0</v>
      </c>
      <c r="K318" s="1043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897"/>
      <c r="W318" s="897"/>
      <c r="X318" s="897"/>
      <c r="Y318" s="897"/>
      <c r="Z318" s="897"/>
    </row>
    <row r="319" ht="15.75" customHeight="1">
      <c r="A319" s="308"/>
      <c r="B319" s="1026">
        <v>295.0</v>
      </c>
      <c r="C319" s="1048">
        <f t="shared" si="12"/>
        <v>54772</v>
      </c>
      <c r="D319" s="1049">
        <f t="shared" si="6"/>
        <v>12</v>
      </c>
      <c r="E319" s="1050">
        <f t="shared" si="7"/>
        <v>2049</v>
      </c>
      <c r="F319" s="1050">
        <f t="shared" si="13"/>
        <v>0.00000000212035405</v>
      </c>
      <c r="G319" s="1050">
        <f t="shared" si="8"/>
        <v>0</v>
      </c>
      <c r="H319" s="1050">
        <f t="shared" si="9"/>
        <v>0</v>
      </c>
      <c r="I319" s="1050">
        <f t="shared" si="10"/>
        <v>0</v>
      </c>
      <c r="J319" s="1051">
        <f t="shared" si="11"/>
        <v>0</v>
      </c>
      <c r="K319" s="1043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897"/>
      <c r="W319" s="897"/>
      <c r="X319" s="897"/>
      <c r="Y319" s="897"/>
      <c r="Z319" s="897"/>
    </row>
    <row r="320" ht="15.75" customHeight="1">
      <c r="A320" s="308"/>
      <c r="B320" s="1026">
        <v>296.0</v>
      </c>
      <c r="C320" s="1048">
        <f t="shared" si="12"/>
        <v>54803</v>
      </c>
      <c r="D320" s="1049">
        <f t="shared" si="6"/>
        <v>1</v>
      </c>
      <c r="E320" s="1050">
        <f t="shared" si="7"/>
        <v>2050</v>
      </c>
      <c r="F320" s="1050">
        <f t="shared" si="13"/>
        <v>0.000000002127333549</v>
      </c>
      <c r="G320" s="1050">
        <f t="shared" si="8"/>
        <v>0</v>
      </c>
      <c r="H320" s="1050">
        <f t="shared" si="9"/>
        <v>0</v>
      </c>
      <c r="I320" s="1050">
        <f t="shared" si="10"/>
        <v>0</v>
      </c>
      <c r="J320" s="1051">
        <f t="shared" si="11"/>
        <v>0</v>
      </c>
      <c r="K320" s="1043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897"/>
      <c r="W320" s="897"/>
      <c r="X320" s="897"/>
      <c r="Y320" s="897"/>
      <c r="Z320" s="897"/>
    </row>
    <row r="321" ht="15.75" customHeight="1">
      <c r="A321" s="308"/>
      <c r="B321" s="1026">
        <v>297.0</v>
      </c>
      <c r="C321" s="1048">
        <f t="shared" si="12"/>
        <v>54834</v>
      </c>
      <c r="D321" s="1049">
        <f t="shared" si="6"/>
        <v>2</v>
      </c>
      <c r="E321" s="1050">
        <f t="shared" si="7"/>
        <v>2050</v>
      </c>
      <c r="F321" s="1050">
        <f t="shared" si="13"/>
        <v>0.000000002134336022</v>
      </c>
      <c r="G321" s="1050">
        <f t="shared" si="8"/>
        <v>0</v>
      </c>
      <c r="H321" s="1050">
        <f t="shared" si="9"/>
        <v>0</v>
      </c>
      <c r="I321" s="1050">
        <f t="shared" si="10"/>
        <v>0</v>
      </c>
      <c r="J321" s="1051">
        <f t="shared" si="11"/>
        <v>0</v>
      </c>
      <c r="K321" s="1043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897"/>
      <c r="W321" s="897"/>
      <c r="X321" s="897"/>
      <c r="Y321" s="897"/>
      <c r="Z321" s="897"/>
    </row>
    <row r="322" ht="15.75" customHeight="1">
      <c r="A322" s="308"/>
      <c r="B322" s="1026">
        <v>298.0</v>
      </c>
      <c r="C322" s="1048">
        <f t="shared" si="12"/>
        <v>54862</v>
      </c>
      <c r="D322" s="1049">
        <f t="shared" si="6"/>
        <v>3</v>
      </c>
      <c r="E322" s="1050">
        <f t="shared" si="7"/>
        <v>2050</v>
      </c>
      <c r="F322" s="1050">
        <f t="shared" si="13"/>
        <v>0.000000002141361545</v>
      </c>
      <c r="G322" s="1050">
        <f t="shared" si="8"/>
        <v>0</v>
      </c>
      <c r="H322" s="1050">
        <f t="shared" si="9"/>
        <v>0</v>
      </c>
      <c r="I322" s="1050">
        <f t="shared" si="10"/>
        <v>0</v>
      </c>
      <c r="J322" s="1051">
        <f t="shared" si="11"/>
        <v>0</v>
      </c>
      <c r="K322" s="1043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897"/>
      <c r="W322" s="897"/>
      <c r="X322" s="897"/>
      <c r="Y322" s="897"/>
      <c r="Z322" s="897"/>
    </row>
    <row r="323" ht="15.75" customHeight="1">
      <c r="A323" s="308"/>
      <c r="B323" s="1026">
        <v>299.0</v>
      </c>
      <c r="C323" s="1048">
        <f t="shared" si="12"/>
        <v>54893</v>
      </c>
      <c r="D323" s="1049">
        <f t="shared" si="6"/>
        <v>4</v>
      </c>
      <c r="E323" s="1050">
        <f t="shared" si="7"/>
        <v>2050</v>
      </c>
      <c r="F323" s="1050">
        <f t="shared" si="13"/>
        <v>0.000000002148410193</v>
      </c>
      <c r="G323" s="1050">
        <f t="shared" si="8"/>
        <v>0</v>
      </c>
      <c r="H323" s="1050">
        <f t="shared" si="9"/>
        <v>0</v>
      </c>
      <c r="I323" s="1050">
        <f t="shared" si="10"/>
        <v>0</v>
      </c>
      <c r="J323" s="1051">
        <f t="shared" si="11"/>
        <v>0</v>
      </c>
      <c r="K323" s="1043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897"/>
      <c r="W323" s="897"/>
      <c r="X323" s="897"/>
      <c r="Y323" s="897"/>
      <c r="Z323" s="897"/>
    </row>
    <row r="324" ht="15.75" customHeight="1">
      <c r="A324" s="308"/>
      <c r="B324" s="1026">
        <v>300.0</v>
      </c>
      <c r="C324" s="1048">
        <f t="shared" si="12"/>
        <v>54923</v>
      </c>
      <c r="D324" s="1049">
        <f t="shared" si="6"/>
        <v>5</v>
      </c>
      <c r="E324" s="1050">
        <f t="shared" si="7"/>
        <v>2050</v>
      </c>
      <c r="F324" s="1050">
        <f t="shared" si="13"/>
        <v>0.000000002155482043</v>
      </c>
      <c r="G324" s="1050">
        <f t="shared" si="8"/>
        <v>0</v>
      </c>
      <c r="H324" s="1050">
        <f t="shared" si="9"/>
        <v>0</v>
      </c>
      <c r="I324" s="1050">
        <f t="shared" si="10"/>
        <v>0</v>
      </c>
      <c r="J324" s="1051">
        <f t="shared" si="11"/>
        <v>0</v>
      </c>
      <c r="K324" s="1043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897"/>
      <c r="W324" s="897"/>
      <c r="X324" s="897"/>
      <c r="Y324" s="897"/>
      <c r="Z324" s="897"/>
    </row>
    <row r="325" ht="15.75" customHeight="1">
      <c r="A325" s="308"/>
      <c r="B325" s="1026">
        <v>301.0</v>
      </c>
      <c r="C325" s="1048">
        <f t="shared" si="12"/>
        <v>54954</v>
      </c>
      <c r="D325" s="1049">
        <f t="shared" si="6"/>
        <v>6</v>
      </c>
      <c r="E325" s="1050">
        <f t="shared" si="7"/>
        <v>2050</v>
      </c>
      <c r="F325" s="1050">
        <f t="shared" si="13"/>
        <v>0.000000002162577172</v>
      </c>
      <c r="G325" s="1050">
        <f t="shared" si="8"/>
        <v>0</v>
      </c>
      <c r="H325" s="1050">
        <f t="shared" si="9"/>
        <v>0</v>
      </c>
      <c r="I325" s="1050">
        <f t="shared" si="10"/>
        <v>0</v>
      </c>
      <c r="J325" s="1051">
        <f t="shared" si="11"/>
        <v>0</v>
      </c>
      <c r="K325" s="1043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897"/>
      <c r="W325" s="897"/>
      <c r="X325" s="897"/>
      <c r="Y325" s="897"/>
      <c r="Z325" s="897"/>
    </row>
    <row r="326" ht="15.75" customHeight="1">
      <c r="A326" s="308"/>
      <c r="B326" s="1026">
        <v>302.0</v>
      </c>
      <c r="C326" s="1048">
        <f t="shared" si="12"/>
        <v>54984</v>
      </c>
      <c r="D326" s="1049">
        <f t="shared" si="6"/>
        <v>7</v>
      </c>
      <c r="E326" s="1050">
        <f t="shared" si="7"/>
        <v>2050</v>
      </c>
      <c r="F326" s="1050">
        <f t="shared" si="13"/>
        <v>0.000000002169695655</v>
      </c>
      <c r="G326" s="1050">
        <f t="shared" si="8"/>
        <v>0</v>
      </c>
      <c r="H326" s="1050">
        <f t="shared" si="9"/>
        <v>0</v>
      </c>
      <c r="I326" s="1050">
        <f t="shared" si="10"/>
        <v>0</v>
      </c>
      <c r="J326" s="1051">
        <f t="shared" si="11"/>
        <v>0</v>
      </c>
      <c r="K326" s="1043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897"/>
      <c r="W326" s="897"/>
      <c r="X326" s="897"/>
      <c r="Y326" s="897"/>
      <c r="Z326" s="897"/>
    </row>
    <row r="327" ht="15.75" customHeight="1">
      <c r="A327" s="308"/>
      <c r="B327" s="1026">
        <v>303.0</v>
      </c>
      <c r="C327" s="1048">
        <f t="shared" si="12"/>
        <v>55015</v>
      </c>
      <c r="D327" s="1049">
        <f t="shared" si="6"/>
        <v>8</v>
      </c>
      <c r="E327" s="1050">
        <f t="shared" si="7"/>
        <v>2050</v>
      </c>
      <c r="F327" s="1050">
        <f t="shared" si="13"/>
        <v>0.00000000217683757</v>
      </c>
      <c r="G327" s="1050">
        <f t="shared" si="8"/>
        <v>0</v>
      </c>
      <c r="H327" s="1050">
        <f t="shared" si="9"/>
        <v>0</v>
      </c>
      <c r="I327" s="1050">
        <f t="shared" si="10"/>
        <v>0</v>
      </c>
      <c r="J327" s="1051">
        <f t="shared" si="11"/>
        <v>0</v>
      </c>
      <c r="K327" s="1043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897"/>
      <c r="W327" s="897"/>
      <c r="X327" s="897"/>
      <c r="Y327" s="897"/>
      <c r="Z327" s="897"/>
    </row>
    <row r="328" ht="15.75" customHeight="1">
      <c r="A328" s="308"/>
      <c r="B328" s="1026">
        <v>304.0</v>
      </c>
      <c r="C328" s="1048">
        <f t="shared" si="12"/>
        <v>55046</v>
      </c>
      <c r="D328" s="1049">
        <f t="shared" si="6"/>
        <v>9</v>
      </c>
      <c r="E328" s="1050">
        <f t="shared" si="7"/>
        <v>2050</v>
      </c>
      <c r="F328" s="1050">
        <f t="shared" si="13"/>
        <v>0.000000002184002993</v>
      </c>
      <c r="G328" s="1050">
        <f t="shared" si="8"/>
        <v>0</v>
      </c>
      <c r="H328" s="1050">
        <f t="shared" si="9"/>
        <v>0</v>
      </c>
      <c r="I328" s="1050">
        <f t="shared" si="10"/>
        <v>0</v>
      </c>
      <c r="J328" s="1051">
        <f t="shared" si="11"/>
        <v>0</v>
      </c>
      <c r="K328" s="1043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897"/>
      <c r="W328" s="897"/>
      <c r="X328" s="897"/>
      <c r="Y328" s="897"/>
      <c r="Z328" s="897"/>
    </row>
    <row r="329" ht="15.75" customHeight="1">
      <c r="A329" s="308"/>
      <c r="B329" s="1026">
        <v>305.0</v>
      </c>
      <c r="C329" s="1048">
        <f t="shared" si="12"/>
        <v>55076</v>
      </c>
      <c r="D329" s="1049">
        <f t="shared" si="6"/>
        <v>10</v>
      </c>
      <c r="E329" s="1050">
        <f t="shared" si="7"/>
        <v>2050</v>
      </c>
      <c r="F329" s="1050">
        <f t="shared" si="13"/>
        <v>0.000000002191192003</v>
      </c>
      <c r="G329" s="1050">
        <f t="shared" si="8"/>
        <v>0</v>
      </c>
      <c r="H329" s="1050">
        <f t="shared" si="9"/>
        <v>0</v>
      </c>
      <c r="I329" s="1050">
        <f t="shared" si="10"/>
        <v>0</v>
      </c>
      <c r="J329" s="1051">
        <f t="shared" si="11"/>
        <v>0</v>
      </c>
      <c r="K329" s="1043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897"/>
      <c r="W329" s="897"/>
      <c r="X329" s="897"/>
      <c r="Y329" s="897"/>
      <c r="Z329" s="897"/>
    </row>
    <row r="330" ht="15.75" customHeight="1">
      <c r="A330" s="308"/>
      <c r="B330" s="1026">
        <v>306.0</v>
      </c>
      <c r="C330" s="1048">
        <f t="shared" si="12"/>
        <v>55107</v>
      </c>
      <c r="D330" s="1049">
        <f t="shared" si="6"/>
        <v>11</v>
      </c>
      <c r="E330" s="1050">
        <f t="shared" si="7"/>
        <v>2050</v>
      </c>
      <c r="F330" s="1050">
        <f t="shared" si="13"/>
        <v>0.000000002198404677</v>
      </c>
      <c r="G330" s="1050">
        <f t="shared" si="8"/>
        <v>0</v>
      </c>
      <c r="H330" s="1050">
        <f t="shared" si="9"/>
        <v>0</v>
      </c>
      <c r="I330" s="1050">
        <f t="shared" si="10"/>
        <v>0</v>
      </c>
      <c r="J330" s="1051">
        <f t="shared" si="11"/>
        <v>0</v>
      </c>
      <c r="K330" s="1043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897"/>
      <c r="W330" s="897"/>
      <c r="X330" s="897"/>
      <c r="Y330" s="897"/>
      <c r="Z330" s="897"/>
    </row>
    <row r="331" ht="15.75" customHeight="1">
      <c r="A331" s="308"/>
      <c r="B331" s="1026">
        <v>307.0</v>
      </c>
      <c r="C331" s="1048">
        <f t="shared" si="12"/>
        <v>55137</v>
      </c>
      <c r="D331" s="1049">
        <f t="shared" si="6"/>
        <v>12</v>
      </c>
      <c r="E331" s="1050">
        <f t="shared" si="7"/>
        <v>2050</v>
      </c>
      <c r="F331" s="1050">
        <f t="shared" si="13"/>
        <v>0.000000002205641092</v>
      </c>
      <c r="G331" s="1050">
        <f t="shared" si="8"/>
        <v>0</v>
      </c>
      <c r="H331" s="1050">
        <f t="shared" si="9"/>
        <v>0</v>
      </c>
      <c r="I331" s="1050">
        <f t="shared" si="10"/>
        <v>0</v>
      </c>
      <c r="J331" s="1051">
        <f t="shared" si="11"/>
        <v>0</v>
      </c>
      <c r="K331" s="1043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897"/>
      <c r="W331" s="897"/>
      <c r="X331" s="897"/>
      <c r="Y331" s="897"/>
      <c r="Z331" s="897"/>
    </row>
    <row r="332" ht="15.75" customHeight="1">
      <c r="A332" s="308"/>
      <c r="B332" s="1026">
        <v>308.0</v>
      </c>
      <c r="C332" s="1048">
        <f t="shared" si="12"/>
        <v>55168</v>
      </c>
      <c r="D332" s="1049">
        <f t="shared" si="6"/>
        <v>1</v>
      </c>
      <c r="E332" s="1050">
        <f t="shared" si="7"/>
        <v>2051</v>
      </c>
      <c r="F332" s="1050">
        <f t="shared" si="13"/>
        <v>0.000000002212901327</v>
      </c>
      <c r="G332" s="1050">
        <f t="shared" si="8"/>
        <v>0</v>
      </c>
      <c r="H332" s="1050">
        <f t="shared" si="9"/>
        <v>0</v>
      </c>
      <c r="I332" s="1050">
        <f t="shared" si="10"/>
        <v>0</v>
      </c>
      <c r="J332" s="1051">
        <f t="shared" si="11"/>
        <v>0</v>
      </c>
      <c r="K332" s="1043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897"/>
      <c r="W332" s="897"/>
      <c r="X332" s="897"/>
      <c r="Y332" s="897"/>
      <c r="Z332" s="897"/>
    </row>
    <row r="333" ht="15.75" customHeight="1">
      <c r="A333" s="308"/>
      <c r="B333" s="1026">
        <v>309.0</v>
      </c>
      <c r="C333" s="1048">
        <f t="shared" si="12"/>
        <v>55199</v>
      </c>
      <c r="D333" s="1049">
        <f t="shared" si="6"/>
        <v>2</v>
      </c>
      <c r="E333" s="1050">
        <f t="shared" si="7"/>
        <v>2051</v>
      </c>
      <c r="F333" s="1050">
        <f t="shared" si="13"/>
        <v>0.000000002220185461</v>
      </c>
      <c r="G333" s="1050">
        <f t="shared" si="8"/>
        <v>0</v>
      </c>
      <c r="H333" s="1050">
        <f t="shared" si="9"/>
        <v>0</v>
      </c>
      <c r="I333" s="1050">
        <f t="shared" si="10"/>
        <v>0</v>
      </c>
      <c r="J333" s="1051">
        <f t="shared" si="11"/>
        <v>0</v>
      </c>
      <c r="K333" s="1043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897"/>
      <c r="W333" s="897"/>
      <c r="X333" s="897"/>
      <c r="Y333" s="897"/>
      <c r="Z333" s="897"/>
    </row>
    <row r="334" ht="15.75" customHeight="1">
      <c r="A334" s="308"/>
      <c r="B334" s="1026">
        <v>310.0</v>
      </c>
      <c r="C334" s="1048">
        <f t="shared" si="12"/>
        <v>55227</v>
      </c>
      <c r="D334" s="1049">
        <f t="shared" si="6"/>
        <v>3</v>
      </c>
      <c r="E334" s="1050">
        <f t="shared" si="7"/>
        <v>2051</v>
      </c>
      <c r="F334" s="1050">
        <f t="shared" si="13"/>
        <v>0.000000002227493571</v>
      </c>
      <c r="G334" s="1050">
        <f t="shared" si="8"/>
        <v>0</v>
      </c>
      <c r="H334" s="1050">
        <f t="shared" si="9"/>
        <v>0</v>
      </c>
      <c r="I334" s="1050">
        <f t="shared" si="10"/>
        <v>0</v>
      </c>
      <c r="J334" s="1051">
        <f t="shared" si="11"/>
        <v>0</v>
      </c>
      <c r="K334" s="1043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897"/>
      <c r="W334" s="897"/>
      <c r="X334" s="897"/>
      <c r="Y334" s="897"/>
      <c r="Z334" s="897"/>
    </row>
    <row r="335" ht="15.75" customHeight="1">
      <c r="A335" s="308"/>
      <c r="B335" s="1026">
        <v>311.0</v>
      </c>
      <c r="C335" s="1048">
        <f t="shared" si="12"/>
        <v>55258</v>
      </c>
      <c r="D335" s="1049">
        <f t="shared" si="6"/>
        <v>4</v>
      </c>
      <c r="E335" s="1050">
        <f t="shared" si="7"/>
        <v>2051</v>
      </c>
      <c r="F335" s="1050">
        <f t="shared" si="13"/>
        <v>0.000000002234825738</v>
      </c>
      <c r="G335" s="1050">
        <f t="shared" si="8"/>
        <v>0</v>
      </c>
      <c r="H335" s="1050">
        <f t="shared" si="9"/>
        <v>0</v>
      </c>
      <c r="I335" s="1050">
        <f t="shared" si="10"/>
        <v>0</v>
      </c>
      <c r="J335" s="1051">
        <f t="shared" si="11"/>
        <v>0</v>
      </c>
      <c r="K335" s="1043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897"/>
      <c r="W335" s="897"/>
      <c r="X335" s="897"/>
      <c r="Y335" s="897"/>
      <c r="Z335" s="897"/>
    </row>
    <row r="336" ht="15.75" customHeight="1">
      <c r="A336" s="308"/>
      <c r="B336" s="1026">
        <v>312.0</v>
      </c>
      <c r="C336" s="1048">
        <f t="shared" si="12"/>
        <v>55288</v>
      </c>
      <c r="D336" s="1049">
        <f t="shared" si="6"/>
        <v>5</v>
      </c>
      <c r="E336" s="1050">
        <f t="shared" si="7"/>
        <v>2051</v>
      </c>
      <c r="F336" s="1050">
        <f t="shared" si="13"/>
        <v>0.000000002242182039</v>
      </c>
      <c r="G336" s="1050">
        <f t="shared" si="8"/>
        <v>0</v>
      </c>
      <c r="H336" s="1050">
        <f t="shared" si="9"/>
        <v>0</v>
      </c>
      <c r="I336" s="1050">
        <f t="shared" si="10"/>
        <v>0</v>
      </c>
      <c r="J336" s="1051">
        <f t="shared" si="11"/>
        <v>0</v>
      </c>
      <c r="K336" s="1043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897"/>
      <c r="W336" s="897"/>
      <c r="X336" s="897"/>
      <c r="Y336" s="897"/>
      <c r="Z336" s="897"/>
    </row>
    <row r="337" ht="15.75" customHeight="1">
      <c r="A337" s="308"/>
      <c r="B337" s="1026">
        <v>313.0</v>
      </c>
      <c r="C337" s="1048">
        <f t="shared" si="12"/>
        <v>55319</v>
      </c>
      <c r="D337" s="1049">
        <f t="shared" si="6"/>
        <v>6</v>
      </c>
      <c r="E337" s="1050">
        <f t="shared" si="7"/>
        <v>2051</v>
      </c>
      <c r="F337" s="1050">
        <f t="shared" si="13"/>
        <v>0.000000002249562555</v>
      </c>
      <c r="G337" s="1050">
        <f t="shared" si="8"/>
        <v>0</v>
      </c>
      <c r="H337" s="1050">
        <f t="shared" si="9"/>
        <v>0</v>
      </c>
      <c r="I337" s="1050">
        <f t="shared" si="10"/>
        <v>0</v>
      </c>
      <c r="J337" s="1051">
        <f t="shared" si="11"/>
        <v>0</v>
      </c>
      <c r="K337" s="1043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897"/>
      <c r="W337" s="897"/>
      <c r="X337" s="897"/>
      <c r="Y337" s="897"/>
      <c r="Z337" s="897"/>
    </row>
    <row r="338" ht="15.75" customHeight="1">
      <c r="A338" s="308"/>
      <c r="B338" s="1026">
        <v>314.0</v>
      </c>
      <c r="C338" s="1048">
        <f t="shared" si="12"/>
        <v>55349</v>
      </c>
      <c r="D338" s="1049">
        <f t="shared" si="6"/>
        <v>7</v>
      </c>
      <c r="E338" s="1050">
        <f t="shared" si="7"/>
        <v>2051</v>
      </c>
      <c r="F338" s="1050">
        <f t="shared" si="13"/>
        <v>0.000000002256967365</v>
      </c>
      <c r="G338" s="1050">
        <f t="shared" si="8"/>
        <v>0</v>
      </c>
      <c r="H338" s="1050">
        <f t="shared" si="9"/>
        <v>0</v>
      </c>
      <c r="I338" s="1050">
        <f t="shared" si="10"/>
        <v>0</v>
      </c>
      <c r="J338" s="1051">
        <f t="shared" si="11"/>
        <v>0</v>
      </c>
      <c r="K338" s="1043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897"/>
      <c r="W338" s="897"/>
      <c r="X338" s="897"/>
      <c r="Y338" s="897"/>
      <c r="Z338" s="897"/>
    </row>
    <row r="339" ht="15.75" customHeight="1">
      <c r="A339" s="308"/>
      <c r="B339" s="1026">
        <v>315.0</v>
      </c>
      <c r="C339" s="1048">
        <f t="shared" si="12"/>
        <v>55380</v>
      </c>
      <c r="D339" s="1049">
        <f t="shared" si="6"/>
        <v>8</v>
      </c>
      <c r="E339" s="1050">
        <f t="shared" si="7"/>
        <v>2051</v>
      </c>
      <c r="F339" s="1050">
        <f t="shared" si="13"/>
        <v>0.000000002264396549</v>
      </c>
      <c r="G339" s="1050">
        <f t="shared" si="8"/>
        <v>0</v>
      </c>
      <c r="H339" s="1050">
        <f t="shared" si="9"/>
        <v>0</v>
      </c>
      <c r="I339" s="1050">
        <f t="shared" si="10"/>
        <v>0</v>
      </c>
      <c r="J339" s="1051">
        <f t="shared" si="11"/>
        <v>0</v>
      </c>
      <c r="K339" s="1043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897"/>
      <c r="W339" s="897"/>
      <c r="X339" s="897"/>
      <c r="Y339" s="897"/>
      <c r="Z339" s="897"/>
    </row>
    <row r="340" ht="15.75" customHeight="1">
      <c r="A340" s="308"/>
      <c r="B340" s="1026">
        <v>316.0</v>
      </c>
      <c r="C340" s="1048">
        <f t="shared" si="12"/>
        <v>55411</v>
      </c>
      <c r="D340" s="1049">
        <f t="shared" si="6"/>
        <v>9</v>
      </c>
      <c r="E340" s="1050">
        <f t="shared" si="7"/>
        <v>2051</v>
      </c>
      <c r="F340" s="1050">
        <f t="shared" si="13"/>
        <v>0.000000002271850188</v>
      </c>
      <c r="G340" s="1050">
        <f t="shared" si="8"/>
        <v>0</v>
      </c>
      <c r="H340" s="1050">
        <f t="shared" si="9"/>
        <v>0</v>
      </c>
      <c r="I340" s="1050">
        <f t="shared" si="10"/>
        <v>0</v>
      </c>
      <c r="J340" s="1051">
        <f t="shared" si="11"/>
        <v>0</v>
      </c>
      <c r="K340" s="1043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897"/>
      <c r="W340" s="897"/>
      <c r="X340" s="897"/>
      <c r="Y340" s="897"/>
      <c r="Z340" s="897"/>
    </row>
    <row r="341" ht="15.75" customHeight="1">
      <c r="A341" s="308"/>
      <c r="B341" s="1026">
        <v>317.0</v>
      </c>
      <c r="C341" s="1048">
        <f t="shared" si="12"/>
        <v>55441</v>
      </c>
      <c r="D341" s="1049">
        <f t="shared" si="6"/>
        <v>10</v>
      </c>
      <c r="E341" s="1050">
        <f t="shared" si="7"/>
        <v>2051</v>
      </c>
      <c r="F341" s="1050">
        <f t="shared" si="13"/>
        <v>0.000000002279328362</v>
      </c>
      <c r="G341" s="1050">
        <f t="shared" si="8"/>
        <v>0</v>
      </c>
      <c r="H341" s="1050">
        <f t="shared" si="9"/>
        <v>0</v>
      </c>
      <c r="I341" s="1050">
        <f t="shared" si="10"/>
        <v>0</v>
      </c>
      <c r="J341" s="1051">
        <f t="shared" si="11"/>
        <v>0</v>
      </c>
      <c r="K341" s="1043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897"/>
      <c r="W341" s="897"/>
      <c r="X341" s="897"/>
      <c r="Y341" s="897"/>
      <c r="Z341" s="897"/>
    </row>
    <row r="342" ht="15.75" customHeight="1">
      <c r="A342" s="308"/>
      <c r="B342" s="1026">
        <v>318.0</v>
      </c>
      <c r="C342" s="1048">
        <f t="shared" si="12"/>
        <v>55472</v>
      </c>
      <c r="D342" s="1049">
        <f t="shared" si="6"/>
        <v>11</v>
      </c>
      <c r="E342" s="1050">
        <f t="shared" si="7"/>
        <v>2051</v>
      </c>
      <c r="F342" s="1050">
        <f t="shared" si="13"/>
        <v>0.000000002286831151</v>
      </c>
      <c r="G342" s="1050">
        <f t="shared" si="8"/>
        <v>0</v>
      </c>
      <c r="H342" s="1050">
        <f t="shared" si="9"/>
        <v>0</v>
      </c>
      <c r="I342" s="1050">
        <f t="shared" si="10"/>
        <v>0</v>
      </c>
      <c r="J342" s="1051">
        <f t="shared" si="11"/>
        <v>0</v>
      </c>
      <c r="K342" s="1043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897"/>
      <c r="W342" s="897"/>
      <c r="X342" s="897"/>
      <c r="Y342" s="897"/>
      <c r="Z342" s="897"/>
    </row>
    <row r="343" ht="15.75" customHeight="1">
      <c r="A343" s="308"/>
      <c r="B343" s="1026">
        <v>319.0</v>
      </c>
      <c r="C343" s="1048">
        <f t="shared" si="12"/>
        <v>55502</v>
      </c>
      <c r="D343" s="1049">
        <f t="shared" si="6"/>
        <v>12</v>
      </c>
      <c r="E343" s="1050">
        <f t="shared" si="7"/>
        <v>2051</v>
      </c>
      <c r="F343" s="1050">
        <f t="shared" si="13"/>
        <v>0.000000002294358637</v>
      </c>
      <c r="G343" s="1050">
        <f t="shared" si="8"/>
        <v>0</v>
      </c>
      <c r="H343" s="1050">
        <f t="shared" si="9"/>
        <v>0</v>
      </c>
      <c r="I343" s="1050">
        <f t="shared" si="10"/>
        <v>0</v>
      </c>
      <c r="J343" s="1051">
        <f t="shared" si="11"/>
        <v>0</v>
      </c>
      <c r="K343" s="1043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897"/>
      <c r="W343" s="897"/>
      <c r="X343" s="897"/>
      <c r="Y343" s="897"/>
      <c r="Z343" s="897"/>
    </row>
    <row r="344" ht="15.75" customHeight="1">
      <c r="A344" s="308"/>
      <c r="B344" s="1026">
        <v>320.0</v>
      </c>
      <c r="C344" s="1048">
        <f t="shared" si="12"/>
        <v>55533</v>
      </c>
      <c r="D344" s="1049">
        <f t="shared" si="6"/>
        <v>1</v>
      </c>
      <c r="E344" s="1050">
        <f t="shared" si="7"/>
        <v>2052</v>
      </c>
      <c r="F344" s="1050">
        <f t="shared" si="13"/>
        <v>0.0000000023019109</v>
      </c>
      <c r="G344" s="1050">
        <f t="shared" si="8"/>
        <v>0</v>
      </c>
      <c r="H344" s="1050">
        <f t="shared" si="9"/>
        <v>0</v>
      </c>
      <c r="I344" s="1050">
        <f t="shared" si="10"/>
        <v>0</v>
      </c>
      <c r="J344" s="1051">
        <f t="shared" si="11"/>
        <v>0</v>
      </c>
      <c r="K344" s="1043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897"/>
      <c r="W344" s="897"/>
      <c r="X344" s="897"/>
      <c r="Y344" s="897"/>
      <c r="Z344" s="897"/>
    </row>
    <row r="345" ht="15.75" customHeight="1">
      <c r="A345" s="308"/>
      <c r="B345" s="1026">
        <v>321.0</v>
      </c>
      <c r="C345" s="1048">
        <f t="shared" si="12"/>
        <v>55564</v>
      </c>
      <c r="D345" s="1049">
        <f t="shared" si="6"/>
        <v>2</v>
      </c>
      <c r="E345" s="1050">
        <f t="shared" si="7"/>
        <v>2052</v>
      </c>
      <c r="F345" s="1050">
        <f t="shared" si="13"/>
        <v>0.000000002309488024</v>
      </c>
      <c r="G345" s="1050">
        <f t="shared" si="8"/>
        <v>0</v>
      </c>
      <c r="H345" s="1050">
        <f t="shared" si="9"/>
        <v>0</v>
      </c>
      <c r="I345" s="1050">
        <f t="shared" si="10"/>
        <v>0</v>
      </c>
      <c r="J345" s="1051">
        <f t="shared" si="11"/>
        <v>0</v>
      </c>
      <c r="K345" s="1043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897"/>
      <c r="W345" s="897"/>
      <c r="X345" s="897"/>
      <c r="Y345" s="897"/>
      <c r="Z345" s="897"/>
    </row>
    <row r="346" ht="15.75" customHeight="1">
      <c r="A346" s="308"/>
      <c r="B346" s="1026">
        <v>322.0</v>
      </c>
      <c r="C346" s="1048">
        <f t="shared" si="12"/>
        <v>55593</v>
      </c>
      <c r="D346" s="1049">
        <f t="shared" si="6"/>
        <v>3</v>
      </c>
      <c r="E346" s="1050">
        <f t="shared" si="7"/>
        <v>2052</v>
      </c>
      <c r="F346" s="1050">
        <f t="shared" si="13"/>
        <v>0.000000002317090089</v>
      </c>
      <c r="G346" s="1050">
        <f t="shared" si="8"/>
        <v>0</v>
      </c>
      <c r="H346" s="1050">
        <f t="shared" si="9"/>
        <v>0</v>
      </c>
      <c r="I346" s="1050">
        <f t="shared" si="10"/>
        <v>0</v>
      </c>
      <c r="J346" s="1051">
        <f t="shared" si="11"/>
        <v>0</v>
      </c>
      <c r="K346" s="1043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897"/>
      <c r="W346" s="897"/>
      <c r="X346" s="897"/>
      <c r="Y346" s="897"/>
      <c r="Z346" s="897"/>
    </row>
    <row r="347" ht="15.75" customHeight="1">
      <c r="A347" s="308"/>
      <c r="B347" s="1026">
        <v>323.0</v>
      </c>
      <c r="C347" s="1048">
        <f t="shared" si="12"/>
        <v>55624</v>
      </c>
      <c r="D347" s="1049">
        <f t="shared" si="6"/>
        <v>4</v>
      </c>
      <c r="E347" s="1050">
        <f t="shared" si="7"/>
        <v>2052</v>
      </c>
      <c r="F347" s="1050">
        <f t="shared" si="13"/>
        <v>0.000000002324717177</v>
      </c>
      <c r="G347" s="1050">
        <f t="shared" si="8"/>
        <v>0</v>
      </c>
      <c r="H347" s="1050">
        <f t="shared" si="9"/>
        <v>0</v>
      </c>
      <c r="I347" s="1050">
        <f t="shared" si="10"/>
        <v>0</v>
      </c>
      <c r="J347" s="1051">
        <f t="shared" si="11"/>
        <v>0</v>
      </c>
      <c r="K347" s="1043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897"/>
      <c r="W347" s="897"/>
      <c r="X347" s="897"/>
      <c r="Y347" s="897"/>
      <c r="Z347" s="897"/>
    </row>
    <row r="348" ht="15.75" customHeight="1">
      <c r="A348" s="308"/>
      <c r="B348" s="1026">
        <v>324.0</v>
      </c>
      <c r="C348" s="1048">
        <f t="shared" si="12"/>
        <v>55654</v>
      </c>
      <c r="D348" s="1049">
        <f t="shared" si="6"/>
        <v>5</v>
      </c>
      <c r="E348" s="1050">
        <f t="shared" si="7"/>
        <v>2052</v>
      </c>
      <c r="F348" s="1050">
        <f t="shared" si="13"/>
        <v>0.000000002332369371</v>
      </c>
      <c r="G348" s="1050">
        <f t="shared" si="8"/>
        <v>0</v>
      </c>
      <c r="H348" s="1050">
        <f t="shared" si="9"/>
        <v>0</v>
      </c>
      <c r="I348" s="1050">
        <f t="shared" si="10"/>
        <v>0</v>
      </c>
      <c r="J348" s="1051">
        <f t="shared" si="11"/>
        <v>0</v>
      </c>
      <c r="K348" s="1043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897"/>
      <c r="W348" s="897"/>
      <c r="X348" s="897"/>
      <c r="Y348" s="897"/>
      <c r="Z348" s="897"/>
    </row>
    <row r="349" ht="15.75" customHeight="1">
      <c r="A349" s="308"/>
      <c r="B349" s="1026">
        <v>325.0</v>
      </c>
      <c r="C349" s="1048">
        <f t="shared" si="12"/>
        <v>55685</v>
      </c>
      <c r="D349" s="1049">
        <f t="shared" si="6"/>
        <v>6</v>
      </c>
      <c r="E349" s="1050">
        <f t="shared" si="7"/>
        <v>2052</v>
      </c>
      <c r="F349" s="1050">
        <f t="shared" si="13"/>
        <v>0.000000002340046753</v>
      </c>
      <c r="G349" s="1050">
        <f t="shared" si="8"/>
        <v>0</v>
      </c>
      <c r="H349" s="1050">
        <f t="shared" si="9"/>
        <v>0</v>
      </c>
      <c r="I349" s="1050">
        <f t="shared" si="10"/>
        <v>0</v>
      </c>
      <c r="J349" s="1051">
        <f t="shared" si="11"/>
        <v>0</v>
      </c>
      <c r="K349" s="1043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897"/>
      <c r="W349" s="897"/>
      <c r="X349" s="897"/>
      <c r="Y349" s="897"/>
      <c r="Z349" s="897"/>
    </row>
    <row r="350" ht="15.75" customHeight="1">
      <c r="A350" s="308"/>
      <c r="B350" s="1026">
        <v>326.0</v>
      </c>
      <c r="C350" s="1048">
        <f t="shared" si="12"/>
        <v>55715</v>
      </c>
      <c r="D350" s="1049">
        <f t="shared" si="6"/>
        <v>7</v>
      </c>
      <c r="E350" s="1050">
        <f t="shared" si="7"/>
        <v>2052</v>
      </c>
      <c r="F350" s="1050">
        <f t="shared" si="13"/>
        <v>0.000000002347749407</v>
      </c>
      <c r="G350" s="1050">
        <f t="shared" si="8"/>
        <v>0</v>
      </c>
      <c r="H350" s="1050">
        <f t="shared" si="9"/>
        <v>0</v>
      </c>
      <c r="I350" s="1050">
        <f t="shared" si="10"/>
        <v>0</v>
      </c>
      <c r="J350" s="1051">
        <f t="shared" si="11"/>
        <v>0</v>
      </c>
      <c r="K350" s="1043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897"/>
      <c r="W350" s="897"/>
      <c r="X350" s="897"/>
      <c r="Y350" s="897"/>
      <c r="Z350" s="897"/>
    </row>
    <row r="351" ht="15.75" customHeight="1">
      <c r="A351" s="308"/>
      <c r="B351" s="1026">
        <v>327.0</v>
      </c>
      <c r="C351" s="1048">
        <f t="shared" si="12"/>
        <v>55746</v>
      </c>
      <c r="D351" s="1049">
        <f t="shared" si="6"/>
        <v>8</v>
      </c>
      <c r="E351" s="1050">
        <f t="shared" si="7"/>
        <v>2052</v>
      </c>
      <c r="F351" s="1050">
        <f t="shared" si="13"/>
        <v>0.000000002355477416</v>
      </c>
      <c r="G351" s="1050">
        <f t="shared" si="8"/>
        <v>0</v>
      </c>
      <c r="H351" s="1050">
        <f t="shared" si="9"/>
        <v>0</v>
      </c>
      <c r="I351" s="1050">
        <f t="shared" si="10"/>
        <v>0</v>
      </c>
      <c r="J351" s="1051">
        <f t="shared" si="11"/>
        <v>0</v>
      </c>
      <c r="K351" s="1043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897"/>
      <c r="W351" s="897"/>
      <c r="X351" s="897"/>
      <c r="Y351" s="897"/>
      <c r="Z351" s="897"/>
    </row>
    <row r="352" ht="15.75" customHeight="1">
      <c r="A352" s="308"/>
      <c r="B352" s="1026">
        <v>328.0</v>
      </c>
      <c r="C352" s="1048">
        <f t="shared" si="12"/>
        <v>55777</v>
      </c>
      <c r="D352" s="1049">
        <f t="shared" si="6"/>
        <v>9</v>
      </c>
      <c r="E352" s="1050">
        <f t="shared" si="7"/>
        <v>2052</v>
      </c>
      <c r="F352" s="1050">
        <f t="shared" si="13"/>
        <v>0.000000002363230862</v>
      </c>
      <c r="G352" s="1050">
        <f t="shared" si="8"/>
        <v>0</v>
      </c>
      <c r="H352" s="1050">
        <f t="shared" si="9"/>
        <v>0</v>
      </c>
      <c r="I352" s="1050">
        <f t="shared" si="10"/>
        <v>0</v>
      </c>
      <c r="J352" s="1051">
        <f t="shared" si="11"/>
        <v>0</v>
      </c>
      <c r="K352" s="1043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897"/>
      <c r="W352" s="897"/>
      <c r="X352" s="897"/>
      <c r="Y352" s="897"/>
      <c r="Z352" s="897"/>
    </row>
    <row r="353" ht="15.75" customHeight="1">
      <c r="A353" s="308"/>
      <c r="B353" s="1026">
        <v>329.0</v>
      </c>
      <c r="C353" s="1048">
        <f t="shared" si="12"/>
        <v>55807</v>
      </c>
      <c r="D353" s="1049">
        <f t="shared" si="6"/>
        <v>10</v>
      </c>
      <c r="E353" s="1050">
        <f t="shared" si="7"/>
        <v>2052</v>
      </c>
      <c r="F353" s="1050">
        <f t="shared" si="13"/>
        <v>0.00000000237100983</v>
      </c>
      <c r="G353" s="1050">
        <f t="shared" si="8"/>
        <v>0</v>
      </c>
      <c r="H353" s="1050">
        <f t="shared" si="9"/>
        <v>0</v>
      </c>
      <c r="I353" s="1050">
        <f t="shared" si="10"/>
        <v>0</v>
      </c>
      <c r="J353" s="1051">
        <f t="shared" si="11"/>
        <v>0</v>
      </c>
      <c r="K353" s="1043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897"/>
      <c r="W353" s="897"/>
      <c r="X353" s="897"/>
      <c r="Y353" s="897"/>
      <c r="Z353" s="897"/>
    </row>
    <row r="354" ht="15.75" customHeight="1">
      <c r="A354" s="308"/>
      <c r="B354" s="1026">
        <v>330.0</v>
      </c>
      <c r="C354" s="1048">
        <f t="shared" si="12"/>
        <v>55838</v>
      </c>
      <c r="D354" s="1049">
        <f t="shared" si="6"/>
        <v>11</v>
      </c>
      <c r="E354" s="1050">
        <f t="shared" si="7"/>
        <v>2052</v>
      </c>
      <c r="F354" s="1050">
        <f t="shared" si="13"/>
        <v>0.000000002378814405</v>
      </c>
      <c r="G354" s="1050">
        <f t="shared" si="8"/>
        <v>0</v>
      </c>
      <c r="H354" s="1050">
        <f t="shared" si="9"/>
        <v>0</v>
      </c>
      <c r="I354" s="1050">
        <f t="shared" si="10"/>
        <v>0</v>
      </c>
      <c r="J354" s="1051">
        <f t="shared" si="11"/>
        <v>0</v>
      </c>
      <c r="K354" s="1043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897"/>
      <c r="W354" s="897"/>
      <c r="X354" s="897"/>
      <c r="Y354" s="897"/>
      <c r="Z354" s="897"/>
    </row>
    <row r="355" ht="15.75" customHeight="1">
      <c r="A355" s="308"/>
      <c r="B355" s="1026">
        <v>331.0</v>
      </c>
      <c r="C355" s="1048">
        <f t="shared" si="12"/>
        <v>55868</v>
      </c>
      <c r="D355" s="1049">
        <f t="shared" si="6"/>
        <v>12</v>
      </c>
      <c r="E355" s="1050">
        <f t="shared" si="7"/>
        <v>2052</v>
      </c>
      <c r="F355" s="1050">
        <f t="shared" si="13"/>
        <v>0.000000002386644669</v>
      </c>
      <c r="G355" s="1050">
        <f t="shared" si="8"/>
        <v>0</v>
      </c>
      <c r="H355" s="1050">
        <f t="shared" si="9"/>
        <v>0</v>
      </c>
      <c r="I355" s="1050">
        <f t="shared" si="10"/>
        <v>0</v>
      </c>
      <c r="J355" s="1051">
        <f t="shared" si="11"/>
        <v>0</v>
      </c>
      <c r="K355" s="1043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897"/>
      <c r="W355" s="897"/>
      <c r="X355" s="897"/>
      <c r="Y355" s="897"/>
      <c r="Z355" s="897"/>
    </row>
    <row r="356" ht="15.75" customHeight="1">
      <c r="A356" s="308"/>
      <c r="B356" s="1026">
        <v>332.0</v>
      </c>
      <c r="C356" s="1048">
        <f t="shared" si="12"/>
        <v>55899</v>
      </c>
      <c r="D356" s="1049">
        <f t="shared" si="6"/>
        <v>1</v>
      </c>
      <c r="E356" s="1050">
        <f t="shared" si="7"/>
        <v>2053</v>
      </c>
      <c r="F356" s="1050">
        <f t="shared" si="13"/>
        <v>0.000000002394500707</v>
      </c>
      <c r="G356" s="1050">
        <f t="shared" si="8"/>
        <v>0</v>
      </c>
      <c r="H356" s="1050">
        <f t="shared" si="9"/>
        <v>0</v>
      </c>
      <c r="I356" s="1050">
        <f t="shared" si="10"/>
        <v>0</v>
      </c>
      <c r="J356" s="1051">
        <f t="shared" si="11"/>
        <v>0</v>
      </c>
      <c r="K356" s="1043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897"/>
      <c r="W356" s="897"/>
      <c r="X356" s="897"/>
      <c r="Y356" s="897"/>
      <c r="Z356" s="897"/>
    </row>
    <row r="357" ht="15.75" customHeight="1">
      <c r="A357" s="308"/>
      <c r="B357" s="1026">
        <v>333.0</v>
      </c>
      <c r="C357" s="1048">
        <f t="shared" si="12"/>
        <v>55930</v>
      </c>
      <c r="D357" s="1049">
        <f t="shared" si="6"/>
        <v>2</v>
      </c>
      <c r="E357" s="1050">
        <f t="shared" si="7"/>
        <v>2053</v>
      </c>
      <c r="F357" s="1050">
        <f t="shared" si="13"/>
        <v>0.000000002402382605</v>
      </c>
      <c r="G357" s="1050">
        <f t="shared" si="8"/>
        <v>0</v>
      </c>
      <c r="H357" s="1050">
        <f t="shared" si="9"/>
        <v>0</v>
      </c>
      <c r="I357" s="1050">
        <f t="shared" si="10"/>
        <v>0</v>
      </c>
      <c r="J357" s="1051">
        <f t="shared" si="11"/>
        <v>0</v>
      </c>
      <c r="K357" s="1043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897"/>
      <c r="W357" s="897"/>
      <c r="X357" s="897"/>
      <c r="Y357" s="897"/>
      <c r="Z357" s="897"/>
    </row>
    <row r="358" ht="15.75" customHeight="1">
      <c r="A358" s="308"/>
      <c r="B358" s="1026">
        <v>334.0</v>
      </c>
      <c r="C358" s="1048">
        <f t="shared" si="12"/>
        <v>55958</v>
      </c>
      <c r="D358" s="1049">
        <f t="shared" si="6"/>
        <v>3</v>
      </c>
      <c r="E358" s="1050">
        <f t="shared" si="7"/>
        <v>2053</v>
      </c>
      <c r="F358" s="1050">
        <f t="shared" si="13"/>
        <v>0.000000002410290448</v>
      </c>
      <c r="G358" s="1050">
        <f t="shared" si="8"/>
        <v>0</v>
      </c>
      <c r="H358" s="1050">
        <f t="shared" si="9"/>
        <v>0</v>
      </c>
      <c r="I358" s="1050">
        <f t="shared" si="10"/>
        <v>0</v>
      </c>
      <c r="J358" s="1051">
        <f t="shared" si="11"/>
        <v>0</v>
      </c>
      <c r="K358" s="1043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897"/>
      <c r="W358" s="897"/>
      <c r="X358" s="897"/>
      <c r="Y358" s="897"/>
      <c r="Z358" s="897"/>
    </row>
    <row r="359" ht="15.75" customHeight="1">
      <c r="A359" s="308"/>
      <c r="B359" s="1026">
        <v>335.0</v>
      </c>
      <c r="C359" s="1048">
        <f t="shared" si="12"/>
        <v>55989</v>
      </c>
      <c r="D359" s="1049">
        <f t="shared" si="6"/>
        <v>4</v>
      </c>
      <c r="E359" s="1050">
        <f t="shared" si="7"/>
        <v>2053</v>
      </c>
      <c r="F359" s="1050">
        <f t="shared" si="13"/>
        <v>0.000000002418224321</v>
      </c>
      <c r="G359" s="1050">
        <f t="shared" si="8"/>
        <v>0</v>
      </c>
      <c r="H359" s="1050">
        <f t="shared" si="9"/>
        <v>0</v>
      </c>
      <c r="I359" s="1050">
        <f t="shared" si="10"/>
        <v>0</v>
      </c>
      <c r="J359" s="1051">
        <f t="shared" si="11"/>
        <v>0</v>
      </c>
      <c r="K359" s="1043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897"/>
      <c r="W359" s="897"/>
      <c r="X359" s="897"/>
      <c r="Y359" s="897"/>
      <c r="Z359" s="897"/>
    </row>
    <row r="360" ht="15.75" customHeight="1">
      <c r="A360" s="308"/>
      <c r="B360" s="1026">
        <v>336.0</v>
      </c>
      <c r="C360" s="1048">
        <f t="shared" si="12"/>
        <v>56019</v>
      </c>
      <c r="D360" s="1049">
        <f t="shared" si="6"/>
        <v>5</v>
      </c>
      <c r="E360" s="1050">
        <f t="shared" si="7"/>
        <v>2053</v>
      </c>
      <c r="F360" s="1050">
        <f t="shared" si="13"/>
        <v>0.000000002426184309</v>
      </c>
      <c r="G360" s="1050">
        <f t="shared" si="8"/>
        <v>0</v>
      </c>
      <c r="H360" s="1050">
        <f t="shared" si="9"/>
        <v>0</v>
      </c>
      <c r="I360" s="1050">
        <f t="shared" si="10"/>
        <v>0</v>
      </c>
      <c r="J360" s="1051">
        <f t="shared" si="11"/>
        <v>0</v>
      </c>
      <c r="K360" s="1043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897"/>
      <c r="W360" s="897"/>
      <c r="X360" s="897"/>
      <c r="Y360" s="897"/>
      <c r="Z360" s="897"/>
    </row>
    <row r="361" ht="15.75" customHeight="1">
      <c r="A361" s="308"/>
      <c r="B361" s="1026">
        <v>337.0</v>
      </c>
      <c r="C361" s="1048">
        <f t="shared" si="12"/>
        <v>56050</v>
      </c>
      <c r="D361" s="1049">
        <f t="shared" si="6"/>
        <v>6</v>
      </c>
      <c r="E361" s="1050">
        <f t="shared" si="7"/>
        <v>2053</v>
      </c>
      <c r="F361" s="1050">
        <f t="shared" si="13"/>
        <v>0.000000002434170499</v>
      </c>
      <c r="G361" s="1050">
        <f t="shared" si="8"/>
        <v>0</v>
      </c>
      <c r="H361" s="1050">
        <f t="shared" si="9"/>
        <v>0</v>
      </c>
      <c r="I361" s="1050">
        <f t="shared" si="10"/>
        <v>0</v>
      </c>
      <c r="J361" s="1051">
        <f t="shared" si="11"/>
        <v>0</v>
      </c>
      <c r="K361" s="1043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897"/>
      <c r="W361" s="897"/>
      <c r="X361" s="897"/>
      <c r="Y361" s="897"/>
      <c r="Z361" s="897"/>
    </row>
    <row r="362" ht="15.75" customHeight="1">
      <c r="A362" s="308"/>
      <c r="B362" s="1026">
        <v>338.0</v>
      </c>
      <c r="C362" s="1048">
        <f t="shared" si="12"/>
        <v>56080</v>
      </c>
      <c r="D362" s="1049">
        <f t="shared" si="6"/>
        <v>7</v>
      </c>
      <c r="E362" s="1050">
        <f t="shared" si="7"/>
        <v>2053</v>
      </c>
      <c r="F362" s="1050">
        <f t="shared" si="13"/>
        <v>0.000000002442182977</v>
      </c>
      <c r="G362" s="1050">
        <f t="shared" si="8"/>
        <v>0</v>
      </c>
      <c r="H362" s="1050">
        <f t="shared" si="9"/>
        <v>0</v>
      </c>
      <c r="I362" s="1050">
        <f t="shared" si="10"/>
        <v>0</v>
      </c>
      <c r="J362" s="1051">
        <f t="shared" si="11"/>
        <v>0</v>
      </c>
      <c r="K362" s="1043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897"/>
      <c r="W362" s="897"/>
      <c r="X362" s="897"/>
      <c r="Y362" s="897"/>
      <c r="Z362" s="897"/>
    </row>
    <row r="363" ht="15.75" customHeight="1">
      <c r="A363" s="308"/>
      <c r="B363" s="1026">
        <v>339.0</v>
      </c>
      <c r="C363" s="1048">
        <f t="shared" si="12"/>
        <v>56111</v>
      </c>
      <c r="D363" s="1049">
        <f t="shared" si="6"/>
        <v>8</v>
      </c>
      <c r="E363" s="1050">
        <f t="shared" si="7"/>
        <v>2053</v>
      </c>
      <c r="F363" s="1050">
        <f t="shared" si="13"/>
        <v>0.00000000245022183</v>
      </c>
      <c r="G363" s="1050">
        <f t="shared" si="8"/>
        <v>0</v>
      </c>
      <c r="H363" s="1050">
        <f t="shared" si="9"/>
        <v>0</v>
      </c>
      <c r="I363" s="1050">
        <f t="shared" si="10"/>
        <v>0</v>
      </c>
      <c r="J363" s="1051">
        <f t="shared" si="11"/>
        <v>0</v>
      </c>
      <c r="K363" s="1043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897"/>
      <c r="W363" s="897"/>
      <c r="X363" s="897"/>
      <c r="Y363" s="897"/>
      <c r="Z363" s="897"/>
    </row>
    <row r="364" ht="15.75" customHeight="1">
      <c r="A364" s="308"/>
      <c r="B364" s="1026">
        <v>340.0</v>
      </c>
      <c r="C364" s="1048">
        <f t="shared" si="12"/>
        <v>56142</v>
      </c>
      <c r="D364" s="1049">
        <f t="shared" si="6"/>
        <v>9</v>
      </c>
      <c r="E364" s="1050">
        <f t="shared" si="7"/>
        <v>2053</v>
      </c>
      <c r="F364" s="1050">
        <f t="shared" si="13"/>
        <v>0.000000002458287143</v>
      </c>
      <c r="G364" s="1050">
        <f t="shared" si="8"/>
        <v>0</v>
      </c>
      <c r="H364" s="1050">
        <f t="shared" si="9"/>
        <v>0</v>
      </c>
      <c r="I364" s="1050">
        <f t="shared" si="10"/>
        <v>0</v>
      </c>
      <c r="J364" s="1051">
        <f t="shared" si="11"/>
        <v>0</v>
      </c>
      <c r="K364" s="1043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897"/>
      <c r="W364" s="897"/>
      <c r="X364" s="897"/>
      <c r="Y364" s="897"/>
      <c r="Z364" s="897"/>
    </row>
    <row r="365" ht="15.75" customHeight="1">
      <c r="A365" s="308"/>
      <c r="B365" s="1026">
        <v>341.0</v>
      </c>
      <c r="C365" s="1048">
        <f t="shared" si="12"/>
        <v>56172</v>
      </c>
      <c r="D365" s="1049">
        <f t="shared" si="6"/>
        <v>10</v>
      </c>
      <c r="E365" s="1050">
        <f t="shared" si="7"/>
        <v>2053</v>
      </c>
      <c r="F365" s="1050">
        <f t="shared" si="13"/>
        <v>0.000000002466379005</v>
      </c>
      <c r="G365" s="1050">
        <f t="shared" si="8"/>
        <v>0</v>
      </c>
      <c r="H365" s="1050">
        <f t="shared" si="9"/>
        <v>0</v>
      </c>
      <c r="I365" s="1050">
        <f t="shared" si="10"/>
        <v>0</v>
      </c>
      <c r="J365" s="1051">
        <f t="shared" si="11"/>
        <v>0</v>
      </c>
      <c r="K365" s="1043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897"/>
      <c r="W365" s="897"/>
      <c r="X365" s="897"/>
      <c r="Y365" s="897"/>
      <c r="Z365" s="897"/>
    </row>
    <row r="366" ht="15.75" customHeight="1">
      <c r="A366" s="308"/>
      <c r="B366" s="1026">
        <v>342.0</v>
      </c>
      <c r="C366" s="1048">
        <f t="shared" si="12"/>
        <v>56203</v>
      </c>
      <c r="D366" s="1049">
        <f t="shared" si="6"/>
        <v>11</v>
      </c>
      <c r="E366" s="1050">
        <f t="shared" si="7"/>
        <v>2053</v>
      </c>
      <c r="F366" s="1050">
        <f t="shared" si="13"/>
        <v>0.000000002474497502</v>
      </c>
      <c r="G366" s="1050">
        <f t="shared" si="8"/>
        <v>0</v>
      </c>
      <c r="H366" s="1050">
        <f t="shared" si="9"/>
        <v>0</v>
      </c>
      <c r="I366" s="1050">
        <f t="shared" si="10"/>
        <v>0</v>
      </c>
      <c r="J366" s="1051">
        <f t="shared" si="11"/>
        <v>0</v>
      </c>
      <c r="K366" s="1043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897"/>
      <c r="W366" s="897"/>
      <c r="X366" s="897"/>
      <c r="Y366" s="897"/>
      <c r="Z366" s="897"/>
    </row>
    <row r="367" ht="15.75" customHeight="1">
      <c r="A367" s="308"/>
      <c r="B367" s="1026">
        <v>343.0</v>
      </c>
      <c r="C367" s="1048">
        <f t="shared" si="12"/>
        <v>56233</v>
      </c>
      <c r="D367" s="1049">
        <f t="shared" si="6"/>
        <v>12</v>
      </c>
      <c r="E367" s="1050">
        <f t="shared" si="7"/>
        <v>2053</v>
      </c>
      <c r="F367" s="1050">
        <f t="shared" si="13"/>
        <v>0.000000002482642723</v>
      </c>
      <c r="G367" s="1050">
        <f t="shared" si="8"/>
        <v>0</v>
      </c>
      <c r="H367" s="1050">
        <f t="shared" si="9"/>
        <v>0</v>
      </c>
      <c r="I367" s="1050">
        <f t="shared" si="10"/>
        <v>0</v>
      </c>
      <c r="J367" s="1051">
        <f t="shared" si="11"/>
        <v>0</v>
      </c>
      <c r="K367" s="1043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897"/>
      <c r="W367" s="897"/>
      <c r="X367" s="897"/>
      <c r="Y367" s="897"/>
      <c r="Z367" s="897"/>
    </row>
    <row r="368" ht="15.75" customHeight="1">
      <c r="A368" s="308"/>
      <c r="B368" s="1026">
        <v>344.0</v>
      </c>
      <c r="C368" s="1048">
        <f t="shared" si="12"/>
        <v>56264</v>
      </c>
      <c r="D368" s="1049">
        <f t="shared" si="6"/>
        <v>1</v>
      </c>
      <c r="E368" s="1050">
        <f t="shared" si="7"/>
        <v>2054</v>
      </c>
      <c r="F368" s="1050">
        <f t="shared" si="13"/>
        <v>0.000000002490814756</v>
      </c>
      <c r="G368" s="1050">
        <f t="shared" si="8"/>
        <v>0</v>
      </c>
      <c r="H368" s="1050">
        <f t="shared" si="9"/>
        <v>0</v>
      </c>
      <c r="I368" s="1050">
        <f t="shared" si="10"/>
        <v>0</v>
      </c>
      <c r="J368" s="1051">
        <f t="shared" si="11"/>
        <v>0</v>
      </c>
      <c r="K368" s="1043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897"/>
      <c r="W368" s="897"/>
      <c r="X368" s="897"/>
      <c r="Y368" s="897"/>
      <c r="Z368" s="897"/>
    </row>
    <row r="369" ht="15.75" customHeight="1">
      <c r="A369" s="308"/>
      <c r="B369" s="1026">
        <v>345.0</v>
      </c>
      <c r="C369" s="1048">
        <f t="shared" si="12"/>
        <v>56295</v>
      </c>
      <c r="D369" s="1049">
        <f t="shared" si="6"/>
        <v>2</v>
      </c>
      <c r="E369" s="1050">
        <f t="shared" si="7"/>
        <v>2054</v>
      </c>
      <c r="F369" s="1050">
        <f t="shared" si="13"/>
        <v>0.000000002499013688</v>
      </c>
      <c r="G369" s="1050">
        <f t="shared" si="8"/>
        <v>0</v>
      </c>
      <c r="H369" s="1050">
        <f t="shared" si="9"/>
        <v>0</v>
      </c>
      <c r="I369" s="1050">
        <f t="shared" si="10"/>
        <v>0</v>
      </c>
      <c r="J369" s="1051">
        <f t="shared" si="11"/>
        <v>0</v>
      </c>
      <c r="K369" s="1043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897"/>
      <c r="W369" s="897"/>
      <c r="X369" s="897"/>
      <c r="Y369" s="897"/>
      <c r="Z369" s="897"/>
    </row>
    <row r="370" ht="15.75" customHeight="1">
      <c r="A370" s="308"/>
      <c r="B370" s="1026">
        <v>346.0</v>
      </c>
      <c r="C370" s="1048">
        <f t="shared" si="12"/>
        <v>56323</v>
      </c>
      <c r="D370" s="1049">
        <f t="shared" si="6"/>
        <v>3</v>
      </c>
      <c r="E370" s="1050">
        <f t="shared" si="7"/>
        <v>2054</v>
      </c>
      <c r="F370" s="1050">
        <f t="shared" si="13"/>
        <v>0.000000002507239608</v>
      </c>
      <c r="G370" s="1050">
        <f t="shared" si="8"/>
        <v>0</v>
      </c>
      <c r="H370" s="1050">
        <f t="shared" si="9"/>
        <v>0</v>
      </c>
      <c r="I370" s="1050">
        <f t="shared" si="10"/>
        <v>0</v>
      </c>
      <c r="J370" s="1051">
        <f t="shared" si="11"/>
        <v>0</v>
      </c>
      <c r="K370" s="1043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897"/>
      <c r="W370" s="897"/>
      <c r="X370" s="897"/>
      <c r="Y370" s="897"/>
      <c r="Z370" s="897"/>
    </row>
    <row r="371" ht="15.75" customHeight="1">
      <c r="A371" s="308"/>
      <c r="B371" s="1026">
        <v>347.0</v>
      </c>
      <c r="C371" s="1048">
        <f t="shared" si="12"/>
        <v>56354</v>
      </c>
      <c r="D371" s="1049">
        <f t="shared" si="6"/>
        <v>4</v>
      </c>
      <c r="E371" s="1050">
        <f t="shared" si="7"/>
        <v>2054</v>
      </c>
      <c r="F371" s="1050">
        <f t="shared" si="13"/>
        <v>0.000000002515492605</v>
      </c>
      <c r="G371" s="1050">
        <f t="shared" si="8"/>
        <v>0</v>
      </c>
      <c r="H371" s="1050">
        <f t="shared" si="9"/>
        <v>0</v>
      </c>
      <c r="I371" s="1050">
        <f t="shared" si="10"/>
        <v>0</v>
      </c>
      <c r="J371" s="1051">
        <f t="shared" si="11"/>
        <v>0</v>
      </c>
      <c r="K371" s="1043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897"/>
      <c r="W371" s="897"/>
      <c r="X371" s="897"/>
      <c r="Y371" s="897"/>
      <c r="Z371" s="897"/>
    </row>
    <row r="372" ht="15.75" customHeight="1">
      <c r="A372" s="308"/>
      <c r="B372" s="1026">
        <v>348.0</v>
      </c>
      <c r="C372" s="1048">
        <f t="shared" si="12"/>
        <v>56384</v>
      </c>
      <c r="D372" s="1049">
        <f t="shared" si="6"/>
        <v>5</v>
      </c>
      <c r="E372" s="1050">
        <f t="shared" si="7"/>
        <v>2054</v>
      </c>
      <c r="F372" s="1050">
        <f t="shared" si="13"/>
        <v>0.000000002523772768</v>
      </c>
      <c r="G372" s="1050">
        <f t="shared" si="8"/>
        <v>0</v>
      </c>
      <c r="H372" s="1050">
        <f t="shared" si="9"/>
        <v>0</v>
      </c>
      <c r="I372" s="1050">
        <f t="shared" si="10"/>
        <v>0</v>
      </c>
      <c r="J372" s="1051">
        <f t="shared" si="11"/>
        <v>0</v>
      </c>
      <c r="K372" s="1043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897"/>
      <c r="W372" s="897"/>
      <c r="X372" s="897"/>
      <c r="Y372" s="897"/>
      <c r="Z372" s="897"/>
    </row>
    <row r="373" ht="15.75" customHeight="1">
      <c r="A373" s="308"/>
      <c r="B373" s="1026">
        <v>349.0</v>
      </c>
      <c r="C373" s="1048">
        <f t="shared" si="12"/>
        <v>56415</v>
      </c>
      <c r="D373" s="1049">
        <f t="shared" si="6"/>
        <v>6</v>
      </c>
      <c r="E373" s="1050">
        <f t="shared" si="7"/>
        <v>2054</v>
      </c>
      <c r="F373" s="1050">
        <f t="shared" si="13"/>
        <v>0.000000002532080187</v>
      </c>
      <c r="G373" s="1050">
        <f t="shared" si="8"/>
        <v>0</v>
      </c>
      <c r="H373" s="1050">
        <f t="shared" si="9"/>
        <v>0</v>
      </c>
      <c r="I373" s="1050">
        <f t="shared" si="10"/>
        <v>0</v>
      </c>
      <c r="J373" s="1051">
        <f t="shared" si="11"/>
        <v>0</v>
      </c>
      <c r="K373" s="1043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897"/>
      <c r="W373" s="897"/>
      <c r="X373" s="897"/>
      <c r="Y373" s="897"/>
      <c r="Z373" s="897"/>
    </row>
    <row r="374" ht="15.75" customHeight="1">
      <c r="A374" s="308"/>
      <c r="B374" s="1026">
        <v>350.0</v>
      </c>
      <c r="C374" s="1048">
        <f t="shared" si="12"/>
        <v>56445</v>
      </c>
      <c r="D374" s="1049">
        <f t="shared" si="6"/>
        <v>7</v>
      </c>
      <c r="E374" s="1050">
        <f t="shared" si="7"/>
        <v>2054</v>
      </c>
      <c r="F374" s="1050">
        <f t="shared" si="13"/>
        <v>0.00000000254041495</v>
      </c>
      <c r="G374" s="1050">
        <f t="shared" si="8"/>
        <v>0</v>
      </c>
      <c r="H374" s="1050">
        <f t="shared" si="9"/>
        <v>0</v>
      </c>
      <c r="I374" s="1050">
        <f t="shared" si="10"/>
        <v>0</v>
      </c>
      <c r="J374" s="1051">
        <f t="shared" si="11"/>
        <v>0</v>
      </c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897"/>
      <c r="W374" s="897"/>
      <c r="X374" s="897"/>
      <c r="Y374" s="897"/>
      <c r="Z374" s="897"/>
    </row>
    <row r="375" ht="15.75" customHeight="1">
      <c r="A375" s="308"/>
      <c r="B375" s="308"/>
      <c r="C375" s="308"/>
      <c r="D375" s="308"/>
      <c r="E375" s="308"/>
      <c r="F375" s="308"/>
      <c r="G375" s="308"/>
      <c r="H375" s="308"/>
      <c r="I375" s="308"/>
      <c r="J375" s="308"/>
      <c r="K375" s="1009"/>
      <c r="L375" s="1009"/>
      <c r="M375" s="1009"/>
      <c r="N375" s="1009"/>
      <c r="O375" s="1009"/>
      <c r="P375" s="308"/>
      <c r="Q375" s="308"/>
      <c r="R375" s="308"/>
      <c r="S375" s="308"/>
      <c r="T375" s="308"/>
      <c r="U375" s="308"/>
      <c r="V375" s="897"/>
      <c r="W375" s="897"/>
      <c r="X375" s="897"/>
      <c r="Y375" s="897"/>
      <c r="Z375" s="897"/>
    </row>
    <row r="376" ht="15.75" customHeight="1">
      <c r="A376" s="1009"/>
      <c r="B376" s="1009"/>
      <c r="C376" s="1009"/>
      <c r="D376" s="1009"/>
      <c r="E376" s="1009"/>
      <c r="F376" s="1009"/>
      <c r="G376" s="1009"/>
      <c r="H376" s="1009"/>
      <c r="I376" s="1009"/>
      <c r="J376" s="1009"/>
      <c r="K376" s="1009"/>
      <c r="L376" s="1009"/>
      <c r="M376" s="1009"/>
      <c r="N376" s="1009"/>
      <c r="O376" s="1009"/>
      <c r="P376" s="1009"/>
      <c r="Q376" s="1009"/>
      <c r="R376" s="1009"/>
      <c r="S376" s="1009"/>
      <c r="T376" s="1009"/>
      <c r="U376" s="1009"/>
      <c r="V376" s="1012"/>
      <c r="W376" s="1012"/>
      <c r="X376" s="1012"/>
      <c r="Y376" s="1012"/>
      <c r="Z376" s="1012"/>
    </row>
    <row r="377" ht="15.75" customHeight="1">
      <c r="A377" s="1009"/>
      <c r="B377" s="1052"/>
      <c r="C377" s="1009"/>
      <c r="D377" s="1009"/>
      <c r="E377" s="1009"/>
      <c r="F377" s="1009"/>
      <c r="G377" s="1009"/>
      <c r="H377" s="1009"/>
      <c r="I377" s="1009"/>
      <c r="J377" s="1009"/>
      <c r="K377" s="1009"/>
      <c r="L377" s="1009"/>
      <c r="M377" s="1009"/>
      <c r="N377" s="1009"/>
      <c r="O377" s="1009"/>
      <c r="P377" s="1009"/>
      <c r="Q377" s="1009"/>
      <c r="R377" s="1009"/>
      <c r="S377" s="1009"/>
      <c r="T377" s="1009"/>
      <c r="U377" s="1009"/>
      <c r="V377" s="1012"/>
      <c r="W377" s="1012"/>
      <c r="X377" s="1012"/>
      <c r="Y377" s="1012"/>
      <c r="Z377" s="1012"/>
    </row>
    <row r="378" ht="7.5" customHeight="1">
      <c r="A378" s="1009"/>
      <c r="B378" s="1009"/>
      <c r="C378" s="1009"/>
      <c r="D378" s="1009"/>
      <c r="E378" s="1009"/>
      <c r="F378" s="1009"/>
      <c r="G378" s="1009"/>
      <c r="H378" s="1009"/>
      <c r="I378" s="1009"/>
      <c r="J378" s="1009"/>
      <c r="K378" s="1009"/>
      <c r="L378" s="1009"/>
      <c r="M378" s="1009"/>
      <c r="N378" s="1009"/>
      <c r="O378" s="1009"/>
      <c r="P378" s="1009"/>
      <c r="Q378" s="1009"/>
      <c r="R378" s="1009"/>
      <c r="S378" s="1009"/>
      <c r="T378" s="1009"/>
      <c r="U378" s="1009"/>
      <c r="V378" s="1012"/>
      <c r="W378" s="1012"/>
      <c r="X378" s="1012"/>
      <c r="Y378" s="1012"/>
      <c r="Z378" s="1012"/>
    </row>
    <row r="379" ht="8.25" customHeight="1">
      <c r="A379" s="1009"/>
      <c r="B379" s="1009"/>
      <c r="C379" s="1009"/>
      <c r="D379" s="1009"/>
      <c r="E379" s="1009"/>
      <c r="F379" s="1009"/>
      <c r="G379" s="1009"/>
      <c r="H379" s="1009"/>
      <c r="I379" s="1009"/>
      <c r="J379" s="1009"/>
      <c r="K379" s="1009"/>
      <c r="L379" s="1009"/>
      <c r="M379" s="1009"/>
      <c r="N379" s="1009"/>
      <c r="O379" s="1009"/>
      <c r="P379" s="1009"/>
      <c r="Q379" s="1009"/>
      <c r="R379" s="1009"/>
      <c r="S379" s="1009"/>
      <c r="T379" s="1009"/>
      <c r="U379" s="1009"/>
      <c r="V379" s="1012"/>
      <c r="W379" s="1012"/>
      <c r="X379" s="1012"/>
      <c r="Y379" s="1012"/>
      <c r="Z379" s="1012"/>
    </row>
    <row r="380" ht="15.75" customHeight="1">
      <c r="A380" s="1009"/>
      <c r="B380" s="1009"/>
      <c r="C380" s="1009"/>
      <c r="D380" s="1009"/>
      <c r="E380" s="1009"/>
      <c r="F380" s="1009"/>
      <c r="G380" s="1009"/>
      <c r="H380" s="1009"/>
      <c r="I380" s="1009"/>
      <c r="J380" s="1009"/>
      <c r="K380" s="1009"/>
      <c r="L380" s="1009"/>
      <c r="M380" s="1009"/>
      <c r="N380" s="1009"/>
      <c r="O380" s="1009"/>
      <c r="P380" s="1009"/>
      <c r="Q380" s="1009"/>
      <c r="R380" s="1009"/>
      <c r="S380" s="1009"/>
      <c r="T380" s="1009"/>
      <c r="U380" s="1009"/>
      <c r="V380" s="1012"/>
      <c r="W380" s="1012"/>
      <c r="X380" s="1012"/>
      <c r="Y380" s="1012"/>
      <c r="Z380" s="1012"/>
    </row>
    <row r="381" ht="15.75" customHeight="1">
      <c r="A381" s="1009"/>
      <c r="B381" s="1009"/>
      <c r="C381" s="1009"/>
      <c r="D381" s="1009"/>
      <c r="E381" s="1009"/>
      <c r="F381" s="1009"/>
      <c r="G381" s="1009"/>
      <c r="H381" s="1009"/>
      <c r="I381" s="1009"/>
      <c r="J381" s="1009"/>
      <c r="K381" s="1012"/>
      <c r="L381" s="1012"/>
      <c r="M381" s="1012"/>
      <c r="N381" s="1012"/>
      <c r="O381" s="1012"/>
      <c r="P381" s="1009"/>
      <c r="Q381" s="1009"/>
      <c r="R381" s="1009"/>
      <c r="S381" s="1009"/>
      <c r="T381" s="1009"/>
      <c r="U381" s="1009"/>
      <c r="V381" s="1012"/>
      <c r="W381" s="1012"/>
      <c r="X381" s="1012"/>
      <c r="Y381" s="1012"/>
      <c r="Z381" s="1012"/>
    </row>
    <row r="382" ht="15.75" customHeight="1">
      <c r="A382" s="1012"/>
      <c r="B382" s="1012"/>
      <c r="C382" s="1012"/>
      <c r="D382" s="1012"/>
      <c r="E382" s="1012"/>
      <c r="F382" s="1012"/>
      <c r="G382" s="1012"/>
      <c r="H382" s="1012"/>
      <c r="I382" s="1012"/>
      <c r="J382" s="1012"/>
      <c r="K382" s="1012"/>
      <c r="L382" s="1012"/>
      <c r="M382" s="1012"/>
      <c r="N382" s="1012"/>
      <c r="O382" s="1012"/>
      <c r="P382" s="1012"/>
      <c r="Q382" s="1012"/>
      <c r="R382" s="1012"/>
      <c r="S382" s="1012"/>
      <c r="T382" s="1012"/>
      <c r="U382" s="1012"/>
      <c r="V382" s="1012"/>
      <c r="W382" s="1012"/>
      <c r="X382" s="1012"/>
      <c r="Y382" s="1012"/>
      <c r="Z382" s="1012"/>
    </row>
    <row r="383" ht="15.75" customHeight="1">
      <c r="A383" s="1012"/>
      <c r="B383" s="1012"/>
      <c r="C383" s="1012"/>
      <c r="D383" s="1012"/>
      <c r="E383" s="1012"/>
      <c r="F383" s="1012"/>
      <c r="G383" s="1012"/>
      <c r="H383" s="1012"/>
      <c r="I383" s="1012"/>
      <c r="J383" s="1012"/>
      <c r="K383" s="1012"/>
      <c r="L383" s="1012"/>
      <c r="M383" s="1012"/>
      <c r="N383" s="1012"/>
      <c r="O383" s="1012"/>
      <c r="P383" s="1012"/>
      <c r="Q383" s="1012"/>
      <c r="R383" s="1012"/>
      <c r="S383" s="1012"/>
      <c r="T383" s="1012"/>
      <c r="U383" s="1012"/>
      <c r="V383" s="1012"/>
      <c r="W383" s="1012"/>
      <c r="X383" s="1012"/>
      <c r="Y383" s="1012"/>
      <c r="Z383" s="1012"/>
    </row>
    <row r="384" ht="15.75" customHeight="1">
      <c r="A384" s="1012"/>
      <c r="B384" s="1012"/>
      <c r="C384" s="1012"/>
      <c r="D384" s="1012"/>
      <c r="E384" s="1012"/>
      <c r="F384" s="1012"/>
      <c r="G384" s="1012"/>
      <c r="H384" s="1012"/>
      <c r="I384" s="1012"/>
      <c r="J384" s="1012"/>
      <c r="K384" s="1012"/>
      <c r="L384" s="1012"/>
      <c r="M384" s="1012"/>
      <c r="N384" s="1012"/>
      <c r="O384" s="1012"/>
      <c r="P384" s="1012"/>
      <c r="Q384" s="1012"/>
      <c r="R384" s="1012"/>
      <c r="S384" s="1012"/>
      <c r="T384" s="1012"/>
      <c r="U384" s="1012"/>
      <c r="V384" s="1012"/>
      <c r="W384" s="1012"/>
      <c r="X384" s="1012"/>
      <c r="Y384" s="1012"/>
      <c r="Z384" s="1012"/>
    </row>
    <row r="385" ht="15.75" customHeight="1">
      <c r="A385" s="1012"/>
      <c r="B385" s="1012"/>
      <c r="C385" s="1012"/>
      <c r="D385" s="1012"/>
      <c r="E385" s="1012"/>
      <c r="F385" s="1012"/>
      <c r="G385" s="1012"/>
      <c r="H385" s="1012"/>
      <c r="I385" s="1012"/>
      <c r="J385" s="1012"/>
      <c r="K385" s="1012"/>
      <c r="L385" s="1012"/>
      <c r="M385" s="1012"/>
      <c r="N385" s="1012"/>
      <c r="O385" s="1012"/>
      <c r="P385" s="1012"/>
      <c r="Q385" s="1012"/>
      <c r="R385" s="1012"/>
      <c r="S385" s="1012"/>
      <c r="T385" s="1012"/>
      <c r="U385" s="1012"/>
      <c r="V385" s="1012"/>
      <c r="W385" s="1012"/>
      <c r="X385" s="1012"/>
      <c r="Y385" s="1012"/>
      <c r="Z385" s="1012"/>
    </row>
    <row r="386" ht="15.75" customHeight="1">
      <c r="A386" s="1012"/>
      <c r="B386" s="1012"/>
      <c r="C386" s="1012"/>
      <c r="D386" s="1012"/>
      <c r="E386" s="1012"/>
      <c r="F386" s="1012"/>
      <c r="G386" s="1012"/>
      <c r="H386" s="1012"/>
      <c r="I386" s="1012"/>
      <c r="J386" s="1012"/>
      <c r="K386" s="1012"/>
      <c r="L386" s="1012"/>
      <c r="M386" s="1012"/>
      <c r="N386" s="1012"/>
      <c r="O386" s="1012"/>
      <c r="P386" s="1012"/>
      <c r="Q386" s="1012"/>
      <c r="R386" s="1012"/>
      <c r="S386" s="1012"/>
      <c r="T386" s="1012"/>
      <c r="U386" s="1012"/>
      <c r="V386" s="1012"/>
      <c r="W386" s="1012"/>
      <c r="X386" s="1012"/>
      <c r="Y386" s="1012"/>
      <c r="Z386" s="1012"/>
    </row>
    <row r="387" ht="15.75" customHeight="1">
      <c r="A387" s="1012"/>
      <c r="B387" s="1012"/>
      <c r="C387" s="1012"/>
      <c r="D387" s="1012"/>
      <c r="E387" s="1012"/>
      <c r="F387" s="1012"/>
      <c r="G387" s="1012"/>
      <c r="H387" s="1012"/>
      <c r="I387" s="1012"/>
      <c r="J387" s="1012"/>
      <c r="K387" s="1012"/>
      <c r="L387" s="1012"/>
      <c r="M387" s="1012"/>
      <c r="N387" s="1012"/>
      <c r="O387" s="1012"/>
      <c r="P387" s="1012"/>
      <c r="Q387" s="1012"/>
      <c r="R387" s="1012"/>
      <c r="S387" s="1012"/>
      <c r="T387" s="1012"/>
      <c r="U387" s="1012"/>
      <c r="V387" s="1012"/>
      <c r="W387" s="1012"/>
      <c r="X387" s="1012"/>
      <c r="Y387" s="1012"/>
      <c r="Z387" s="1012"/>
    </row>
    <row r="388" ht="15.75" customHeight="1">
      <c r="A388" s="1012"/>
      <c r="B388" s="1012"/>
      <c r="C388" s="1012"/>
      <c r="D388" s="1012"/>
      <c r="E388" s="1012"/>
      <c r="F388" s="1012"/>
      <c r="G388" s="1012"/>
      <c r="H388" s="1012"/>
      <c r="I388" s="1012"/>
      <c r="J388" s="1012"/>
      <c r="K388" s="1012"/>
      <c r="L388" s="1012"/>
      <c r="M388" s="1012"/>
      <c r="N388" s="1012"/>
      <c r="O388" s="1012"/>
      <c r="P388" s="1012"/>
      <c r="Q388" s="1012"/>
      <c r="R388" s="1012"/>
      <c r="S388" s="1012"/>
      <c r="T388" s="1012"/>
      <c r="U388" s="1012"/>
      <c r="V388" s="1012"/>
      <c r="W388" s="1012"/>
      <c r="X388" s="1012"/>
      <c r="Y388" s="1012"/>
      <c r="Z388" s="1012"/>
    </row>
    <row r="389" ht="15.75" customHeight="1">
      <c r="A389" s="1012"/>
      <c r="B389" s="1012"/>
      <c r="C389" s="1012"/>
      <c r="D389" s="1012"/>
      <c r="E389" s="1012"/>
      <c r="F389" s="1012"/>
      <c r="G389" s="1012"/>
      <c r="H389" s="1012"/>
      <c r="I389" s="1012"/>
      <c r="J389" s="1012"/>
      <c r="K389" s="1012"/>
      <c r="L389" s="1012"/>
      <c r="M389" s="1012"/>
      <c r="N389" s="1012"/>
      <c r="O389" s="1012"/>
      <c r="P389" s="1012"/>
      <c r="Q389" s="1012"/>
      <c r="R389" s="1012"/>
      <c r="S389" s="1012"/>
      <c r="T389" s="1012"/>
      <c r="U389" s="1012"/>
      <c r="V389" s="1012"/>
      <c r="W389" s="1012"/>
      <c r="X389" s="1012"/>
      <c r="Y389" s="1012"/>
      <c r="Z389" s="1012"/>
    </row>
    <row r="390" ht="15.75" customHeight="1">
      <c r="A390" s="1012"/>
      <c r="B390" s="1012"/>
      <c r="C390" s="1012"/>
      <c r="D390" s="1012"/>
      <c r="E390" s="1012"/>
      <c r="F390" s="1012"/>
      <c r="G390" s="1012"/>
      <c r="H390" s="1012"/>
      <c r="I390" s="1012"/>
      <c r="J390" s="1012"/>
      <c r="K390" s="1012"/>
      <c r="L390" s="1012"/>
      <c r="M390" s="1012"/>
      <c r="N390" s="1012"/>
      <c r="O390" s="1012"/>
      <c r="P390" s="1012"/>
      <c r="Q390" s="1012"/>
      <c r="R390" s="1012"/>
      <c r="S390" s="1012"/>
      <c r="T390" s="1012"/>
      <c r="U390" s="1012"/>
      <c r="V390" s="1012"/>
      <c r="W390" s="1012"/>
      <c r="X390" s="1012"/>
      <c r="Y390" s="1012"/>
      <c r="Z390" s="1012"/>
    </row>
    <row r="391" ht="15.75" customHeight="1">
      <c r="A391" s="1012"/>
      <c r="B391" s="1012"/>
      <c r="C391" s="1012"/>
      <c r="D391" s="1012"/>
      <c r="E391" s="1012"/>
      <c r="F391" s="1012"/>
      <c r="G391" s="1012"/>
      <c r="H391" s="1012"/>
      <c r="I391" s="1012"/>
      <c r="J391" s="1012"/>
      <c r="K391" s="1012"/>
      <c r="L391" s="1012"/>
      <c r="M391" s="1012"/>
      <c r="N391" s="1012"/>
      <c r="O391" s="1012"/>
      <c r="P391" s="1012"/>
      <c r="Q391" s="1012"/>
      <c r="R391" s="1012"/>
      <c r="S391" s="1012"/>
      <c r="T391" s="1012"/>
      <c r="U391" s="1012"/>
      <c r="V391" s="1012"/>
      <c r="W391" s="1012"/>
      <c r="X391" s="1012"/>
      <c r="Y391" s="1012"/>
      <c r="Z391" s="1012"/>
    </row>
    <row r="392" ht="15.75" customHeight="1">
      <c r="A392" s="1012"/>
      <c r="B392" s="1012"/>
      <c r="C392" s="1012"/>
      <c r="D392" s="1012"/>
      <c r="E392" s="1012"/>
      <c r="F392" s="1012"/>
      <c r="G392" s="1012"/>
      <c r="H392" s="1012"/>
      <c r="I392" s="1012"/>
      <c r="J392" s="1012"/>
      <c r="K392" s="1012"/>
      <c r="L392" s="1012"/>
      <c r="M392" s="1012"/>
      <c r="N392" s="1012"/>
      <c r="O392" s="1012"/>
      <c r="P392" s="1012"/>
      <c r="Q392" s="1012"/>
      <c r="R392" s="1012"/>
      <c r="S392" s="1012"/>
      <c r="T392" s="1012"/>
      <c r="U392" s="1012"/>
      <c r="V392" s="1012"/>
      <c r="W392" s="1012"/>
      <c r="X392" s="1012"/>
      <c r="Y392" s="1012"/>
      <c r="Z392" s="1012"/>
    </row>
    <row r="393" ht="15.75" customHeight="1">
      <c r="A393" s="1012"/>
      <c r="B393" s="1012"/>
      <c r="C393" s="1012"/>
      <c r="D393" s="1012"/>
      <c r="E393" s="1012"/>
      <c r="F393" s="1012"/>
      <c r="G393" s="1012"/>
      <c r="H393" s="1012"/>
      <c r="I393" s="1012"/>
      <c r="J393" s="1012"/>
      <c r="K393" s="1012"/>
      <c r="L393" s="1012"/>
      <c r="M393" s="1012"/>
      <c r="N393" s="1012"/>
      <c r="O393" s="1012"/>
      <c r="P393" s="1012"/>
      <c r="Q393" s="1012"/>
      <c r="R393" s="1012"/>
      <c r="S393" s="1012"/>
      <c r="T393" s="1012"/>
      <c r="U393" s="1012"/>
      <c r="V393" s="1012"/>
      <c r="W393" s="1012"/>
      <c r="X393" s="1012"/>
      <c r="Y393" s="1012"/>
      <c r="Z393" s="1012"/>
    </row>
    <row r="394" ht="15.75" customHeight="1">
      <c r="A394" s="1012"/>
      <c r="B394" s="1012"/>
      <c r="C394" s="1012"/>
      <c r="D394" s="1012"/>
      <c r="E394" s="1012"/>
      <c r="F394" s="1012"/>
      <c r="G394" s="1012"/>
      <c r="H394" s="1012"/>
      <c r="I394" s="1012"/>
      <c r="J394" s="1012"/>
      <c r="K394" s="1012"/>
      <c r="L394" s="1012"/>
      <c r="M394" s="1012"/>
      <c r="N394" s="1012"/>
      <c r="O394" s="1012"/>
      <c r="P394" s="1012"/>
      <c r="Q394" s="1012"/>
      <c r="R394" s="1012"/>
      <c r="S394" s="1012"/>
      <c r="T394" s="1012"/>
      <c r="U394" s="1012"/>
      <c r="V394" s="1012"/>
      <c r="W394" s="1012"/>
      <c r="X394" s="1012"/>
      <c r="Y394" s="1012"/>
      <c r="Z394" s="1012"/>
    </row>
    <row r="395" ht="15.75" customHeight="1">
      <c r="A395" s="1012"/>
      <c r="B395" s="1012"/>
      <c r="C395" s="1012"/>
      <c r="D395" s="1012"/>
      <c r="E395" s="1012"/>
      <c r="F395" s="1012"/>
      <c r="G395" s="1012"/>
      <c r="H395" s="1012"/>
      <c r="I395" s="1012"/>
      <c r="J395" s="1012"/>
      <c r="K395" s="1012"/>
      <c r="L395" s="1012"/>
      <c r="M395" s="1012"/>
      <c r="N395" s="1012"/>
      <c r="O395" s="1012"/>
      <c r="P395" s="1012"/>
      <c r="Q395" s="1012"/>
      <c r="R395" s="1012"/>
      <c r="S395" s="1012"/>
      <c r="T395" s="1012"/>
      <c r="U395" s="1012"/>
      <c r="V395" s="1012"/>
      <c r="W395" s="1012"/>
      <c r="X395" s="1012"/>
      <c r="Y395" s="1012"/>
      <c r="Z395" s="1012"/>
    </row>
    <row r="396" ht="15.75" customHeight="1">
      <c r="A396" s="1012"/>
      <c r="B396" s="1012"/>
      <c r="C396" s="1012"/>
      <c r="D396" s="1012"/>
      <c r="E396" s="1012"/>
      <c r="F396" s="1012"/>
      <c r="G396" s="1012"/>
      <c r="H396" s="1012"/>
      <c r="I396" s="1012"/>
      <c r="J396" s="1012"/>
      <c r="K396" s="1012"/>
      <c r="L396" s="1012"/>
      <c r="M396" s="1012"/>
      <c r="N396" s="1012"/>
      <c r="O396" s="1012"/>
      <c r="P396" s="1012"/>
      <c r="Q396" s="1012"/>
      <c r="R396" s="1012"/>
      <c r="S396" s="1012"/>
      <c r="T396" s="1012"/>
      <c r="U396" s="1012"/>
      <c r="V396" s="1012"/>
      <c r="W396" s="1012"/>
      <c r="X396" s="1012"/>
      <c r="Y396" s="1012"/>
      <c r="Z396" s="1012"/>
    </row>
    <row r="397" ht="15.75" customHeight="1">
      <c r="A397" s="1012"/>
      <c r="B397" s="1012"/>
      <c r="C397" s="1012"/>
      <c r="D397" s="1012"/>
      <c r="E397" s="1012"/>
      <c r="F397" s="1012"/>
      <c r="G397" s="1012"/>
      <c r="H397" s="1012"/>
      <c r="I397" s="1012"/>
      <c r="J397" s="1012"/>
      <c r="K397" s="1012"/>
      <c r="L397" s="1012"/>
      <c r="M397" s="1012"/>
      <c r="N397" s="1012"/>
      <c r="O397" s="1012"/>
      <c r="P397" s="1012"/>
      <c r="Q397" s="1012"/>
      <c r="R397" s="1012"/>
      <c r="S397" s="1012"/>
      <c r="T397" s="1012"/>
      <c r="U397" s="1012"/>
      <c r="V397" s="1012"/>
      <c r="W397" s="1012"/>
      <c r="X397" s="1012"/>
      <c r="Y397" s="1012"/>
      <c r="Z397" s="1012"/>
    </row>
    <row r="398" ht="15.75" customHeight="1">
      <c r="A398" s="1012"/>
      <c r="B398" s="1012"/>
      <c r="C398" s="1012"/>
      <c r="D398" s="1012"/>
      <c r="E398" s="1012"/>
      <c r="F398" s="1012"/>
      <c r="G398" s="1012"/>
      <c r="H398" s="1012"/>
      <c r="I398" s="1012"/>
      <c r="J398" s="1012"/>
      <c r="K398" s="1012"/>
      <c r="L398" s="1012"/>
      <c r="M398" s="1012"/>
      <c r="N398" s="1012"/>
      <c r="O398" s="1012"/>
      <c r="P398" s="1012"/>
      <c r="Q398" s="1012"/>
      <c r="R398" s="1012"/>
      <c r="S398" s="1012"/>
      <c r="T398" s="1012"/>
      <c r="U398" s="1012"/>
      <c r="V398" s="1012"/>
      <c r="W398" s="1012"/>
      <c r="X398" s="1012"/>
      <c r="Y398" s="1012"/>
      <c r="Z398" s="1012"/>
    </row>
    <row r="399" ht="15.75" customHeight="1">
      <c r="A399" s="1012"/>
      <c r="B399" s="1012"/>
      <c r="C399" s="1012"/>
      <c r="D399" s="1012"/>
      <c r="E399" s="1012"/>
      <c r="F399" s="1012"/>
      <c r="G399" s="1012"/>
      <c r="H399" s="1012"/>
      <c r="I399" s="1012"/>
      <c r="J399" s="1012"/>
      <c r="K399" s="1012"/>
      <c r="L399" s="1012"/>
      <c r="M399" s="1012"/>
      <c r="N399" s="1012"/>
      <c r="O399" s="1012"/>
      <c r="P399" s="1012"/>
      <c r="Q399" s="1012"/>
      <c r="R399" s="1012"/>
      <c r="S399" s="1012"/>
      <c r="T399" s="1012"/>
      <c r="U399" s="1012"/>
      <c r="V399" s="1012"/>
      <c r="W399" s="1012"/>
      <c r="X399" s="1012"/>
      <c r="Y399" s="1012"/>
      <c r="Z399" s="1012"/>
    </row>
    <row r="400" ht="15.75" customHeight="1">
      <c r="A400" s="1012"/>
      <c r="B400" s="1012"/>
      <c r="C400" s="1012"/>
      <c r="D400" s="1012"/>
      <c r="E400" s="1012"/>
      <c r="F400" s="1012"/>
      <c r="G400" s="1012"/>
      <c r="H400" s="1012"/>
      <c r="I400" s="1012"/>
      <c r="J400" s="1012"/>
      <c r="K400" s="1012"/>
      <c r="L400" s="1012"/>
      <c r="M400" s="1012"/>
      <c r="N400" s="1012"/>
      <c r="O400" s="1012"/>
      <c r="P400" s="1012"/>
      <c r="Q400" s="1012"/>
      <c r="R400" s="1012"/>
      <c r="S400" s="1012"/>
      <c r="T400" s="1012"/>
      <c r="U400" s="1012"/>
      <c r="V400" s="1012"/>
      <c r="W400" s="1012"/>
      <c r="X400" s="1012"/>
      <c r="Y400" s="1012"/>
      <c r="Z400" s="1012"/>
    </row>
    <row r="401" ht="15.75" customHeight="1">
      <c r="A401" s="1012"/>
      <c r="B401" s="1012"/>
      <c r="C401" s="1012"/>
      <c r="D401" s="1012"/>
      <c r="E401" s="1012"/>
      <c r="F401" s="1012"/>
      <c r="G401" s="1012"/>
      <c r="H401" s="1012"/>
      <c r="I401" s="1012"/>
      <c r="J401" s="1012"/>
      <c r="K401" s="1012"/>
      <c r="L401" s="1012"/>
      <c r="M401" s="1012"/>
      <c r="N401" s="1012"/>
      <c r="O401" s="1012"/>
      <c r="P401" s="1012"/>
      <c r="Q401" s="1012"/>
      <c r="R401" s="1012"/>
      <c r="S401" s="1012"/>
      <c r="T401" s="1012"/>
      <c r="U401" s="1012"/>
      <c r="V401" s="1012"/>
      <c r="W401" s="1012"/>
      <c r="X401" s="1012"/>
      <c r="Y401" s="1012"/>
      <c r="Z401" s="1012"/>
    </row>
    <row r="402" ht="15.75" customHeight="1">
      <c r="A402" s="1012"/>
      <c r="B402" s="1012"/>
      <c r="C402" s="1012"/>
      <c r="D402" s="1012"/>
      <c r="E402" s="1012"/>
      <c r="F402" s="1012"/>
      <c r="G402" s="1012"/>
      <c r="H402" s="1012"/>
      <c r="I402" s="1012"/>
      <c r="J402" s="1012"/>
      <c r="K402" s="1012"/>
      <c r="L402" s="1012"/>
      <c r="M402" s="1012"/>
      <c r="N402" s="1012"/>
      <c r="O402" s="1012"/>
      <c r="P402" s="1012"/>
      <c r="Q402" s="1012"/>
      <c r="R402" s="1012"/>
      <c r="S402" s="1012"/>
      <c r="T402" s="1012"/>
      <c r="U402" s="1012"/>
      <c r="V402" s="1012"/>
      <c r="W402" s="1012"/>
      <c r="X402" s="1012"/>
      <c r="Y402" s="1012"/>
      <c r="Z402" s="1012"/>
    </row>
    <row r="403" ht="15.75" customHeight="1">
      <c r="A403" s="1012"/>
      <c r="B403" s="1012"/>
      <c r="C403" s="1012"/>
      <c r="D403" s="1012"/>
      <c r="E403" s="1012"/>
      <c r="F403" s="1012"/>
      <c r="G403" s="1012"/>
      <c r="H403" s="1012"/>
      <c r="I403" s="1012"/>
      <c r="J403" s="1012"/>
      <c r="K403" s="1012"/>
      <c r="L403" s="1012"/>
      <c r="M403" s="1012"/>
      <c r="N403" s="1012"/>
      <c r="O403" s="1012"/>
      <c r="P403" s="1012"/>
      <c r="Q403" s="1012"/>
      <c r="R403" s="1012"/>
      <c r="S403" s="1012"/>
      <c r="T403" s="1012"/>
      <c r="U403" s="1012"/>
      <c r="V403" s="1012"/>
      <c r="W403" s="1012"/>
      <c r="X403" s="1012"/>
      <c r="Y403" s="1012"/>
      <c r="Z403" s="1012"/>
    </row>
    <row r="404" ht="15.75" customHeight="1">
      <c r="A404" s="1012"/>
      <c r="B404" s="1012"/>
      <c r="C404" s="1012"/>
      <c r="D404" s="1012"/>
      <c r="E404" s="1012"/>
      <c r="F404" s="1012"/>
      <c r="G404" s="1012"/>
      <c r="H404" s="1012"/>
      <c r="I404" s="1012"/>
      <c r="J404" s="1012"/>
      <c r="K404" s="1012"/>
      <c r="L404" s="1012"/>
      <c r="M404" s="1012"/>
      <c r="N404" s="1012"/>
      <c r="O404" s="1012"/>
      <c r="P404" s="1012"/>
      <c r="Q404" s="1012"/>
      <c r="R404" s="1012"/>
      <c r="S404" s="1012"/>
      <c r="T404" s="1012"/>
      <c r="U404" s="1012"/>
      <c r="V404" s="1012"/>
      <c r="W404" s="1012"/>
      <c r="X404" s="1012"/>
      <c r="Y404" s="1012"/>
      <c r="Z404" s="1012"/>
    </row>
    <row r="405" ht="15.75" customHeight="1">
      <c r="A405" s="1012"/>
      <c r="B405" s="1012"/>
      <c r="C405" s="1012"/>
      <c r="D405" s="1012"/>
      <c r="E405" s="1012"/>
      <c r="F405" s="1012"/>
      <c r="G405" s="1012"/>
      <c r="H405" s="1012"/>
      <c r="I405" s="1012"/>
      <c r="J405" s="1012"/>
      <c r="K405" s="1012"/>
      <c r="L405" s="1012"/>
      <c r="M405" s="1012"/>
      <c r="N405" s="1012"/>
      <c r="O405" s="1012"/>
      <c r="P405" s="1012"/>
      <c r="Q405" s="1012"/>
      <c r="R405" s="1012"/>
      <c r="S405" s="1012"/>
      <c r="T405" s="1012"/>
      <c r="U405" s="1012"/>
      <c r="V405" s="1012"/>
      <c r="W405" s="1012"/>
      <c r="X405" s="1012"/>
      <c r="Y405" s="1012"/>
      <c r="Z405" s="1012"/>
    </row>
    <row r="406" ht="15.75" customHeight="1">
      <c r="A406" s="1012"/>
      <c r="B406" s="1012"/>
      <c r="C406" s="1012"/>
      <c r="D406" s="1012"/>
      <c r="E406" s="1012"/>
      <c r="F406" s="1012"/>
      <c r="G406" s="1012"/>
      <c r="H406" s="1012"/>
      <c r="I406" s="1012"/>
      <c r="J406" s="1012"/>
      <c r="K406" s="1012"/>
      <c r="L406" s="1012"/>
      <c r="M406" s="1012"/>
      <c r="N406" s="1012"/>
      <c r="O406" s="1012"/>
      <c r="P406" s="1012"/>
      <c r="Q406" s="1012"/>
      <c r="R406" s="1012"/>
      <c r="S406" s="1012"/>
      <c r="T406" s="1012"/>
      <c r="U406" s="1012"/>
      <c r="V406" s="1012"/>
      <c r="W406" s="1012"/>
      <c r="X406" s="1012"/>
      <c r="Y406" s="1012"/>
      <c r="Z406" s="1012"/>
    </row>
    <row r="407" ht="15.75" customHeight="1">
      <c r="A407" s="1012"/>
      <c r="B407" s="1012"/>
      <c r="C407" s="1012"/>
      <c r="D407" s="1012"/>
      <c r="E407" s="1012"/>
      <c r="F407" s="1012"/>
      <c r="G407" s="1012"/>
      <c r="H407" s="1012"/>
      <c r="I407" s="1012"/>
      <c r="J407" s="1012"/>
      <c r="K407" s="1012"/>
      <c r="L407" s="1012"/>
      <c r="M407" s="1012"/>
      <c r="N407" s="1012"/>
      <c r="O407" s="1012"/>
      <c r="P407" s="1012"/>
      <c r="Q407" s="1012"/>
      <c r="R407" s="1012"/>
      <c r="S407" s="1012"/>
      <c r="T407" s="1012"/>
      <c r="U407" s="1012"/>
      <c r="V407" s="1012"/>
      <c r="W407" s="1012"/>
      <c r="X407" s="1012"/>
      <c r="Y407" s="1012"/>
      <c r="Z407" s="1012"/>
    </row>
    <row r="408" ht="15.75" customHeight="1">
      <c r="A408" s="1012"/>
      <c r="B408" s="1012"/>
      <c r="C408" s="1012"/>
      <c r="D408" s="1012"/>
      <c r="E408" s="1012"/>
      <c r="F408" s="1012"/>
      <c r="G408" s="1012"/>
      <c r="H408" s="1012"/>
      <c r="I408" s="1012"/>
      <c r="J408" s="1012"/>
      <c r="K408" s="1012"/>
      <c r="L408" s="1012"/>
      <c r="M408" s="1012"/>
      <c r="N408" s="1012"/>
      <c r="O408" s="1012"/>
      <c r="P408" s="1012"/>
      <c r="Q408" s="1012"/>
      <c r="R408" s="1012"/>
      <c r="S408" s="1012"/>
      <c r="T408" s="1012"/>
      <c r="U408" s="1012"/>
      <c r="V408" s="1012"/>
      <c r="W408" s="1012"/>
      <c r="X408" s="1012"/>
      <c r="Y408" s="1012"/>
      <c r="Z408" s="1012"/>
    </row>
    <row r="409" ht="15.75" customHeight="1">
      <c r="A409" s="1012"/>
      <c r="B409" s="1012"/>
      <c r="C409" s="1012"/>
      <c r="D409" s="1012"/>
      <c r="E409" s="1012"/>
      <c r="F409" s="1012"/>
      <c r="G409" s="1012"/>
      <c r="H409" s="1012"/>
      <c r="I409" s="1012"/>
      <c r="J409" s="1012"/>
      <c r="K409" s="1012"/>
      <c r="L409" s="1012"/>
      <c r="M409" s="1012"/>
      <c r="N409" s="1012"/>
      <c r="O409" s="1012"/>
      <c r="P409" s="1012"/>
      <c r="Q409" s="1012"/>
      <c r="R409" s="1012"/>
      <c r="S409" s="1012"/>
      <c r="T409" s="1012"/>
      <c r="U409" s="1012"/>
      <c r="V409" s="1012"/>
      <c r="W409" s="1012"/>
      <c r="X409" s="1012"/>
      <c r="Y409" s="1012"/>
      <c r="Z409" s="1012"/>
    </row>
    <row r="410" ht="15.75" customHeight="1">
      <c r="A410" s="1012"/>
      <c r="B410" s="1012"/>
      <c r="C410" s="1012"/>
      <c r="D410" s="1012"/>
      <c r="E410" s="1012"/>
      <c r="F410" s="1012"/>
      <c r="G410" s="1012"/>
      <c r="H410" s="1012"/>
      <c r="I410" s="1012"/>
      <c r="J410" s="1012"/>
      <c r="K410" s="1012"/>
      <c r="L410" s="1012"/>
      <c r="M410" s="1012"/>
      <c r="N410" s="1012"/>
      <c r="O410" s="1012"/>
      <c r="P410" s="1012"/>
      <c r="Q410" s="1012"/>
      <c r="R410" s="1012"/>
      <c r="S410" s="1012"/>
      <c r="T410" s="1012"/>
      <c r="U410" s="1012"/>
      <c r="V410" s="1012"/>
      <c r="W410" s="1012"/>
      <c r="X410" s="1012"/>
      <c r="Y410" s="1012"/>
      <c r="Z410" s="1012"/>
    </row>
    <row r="411" ht="15.75" customHeight="1">
      <c r="A411" s="1012"/>
      <c r="B411" s="1012"/>
      <c r="C411" s="1012"/>
      <c r="D411" s="1012"/>
      <c r="E411" s="1012"/>
      <c r="F411" s="1012"/>
      <c r="G411" s="1012"/>
      <c r="H411" s="1012"/>
      <c r="I411" s="1012"/>
      <c r="J411" s="1012"/>
      <c r="K411" s="1012"/>
      <c r="L411" s="1012"/>
      <c r="M411" s="1012"/>
      <c r="N411" s="1012"/>
      <c r="O411" s="1012"/>
      <c r="P411" s="1012"/>
      <c r="Q411" s="1012"/>
      <c r="R411" s="1012"/>
      <c r="S411" s="1012"/>
      <c r="T411" s="1012"/>
      <c r="U411" s="1012"/>
      <c r="V411" s="1012"/>
      <c r="W411" s="1012"/>
      <c r="X411" s="1012"/>
      <c r="Y411" s="1012"/>
      <c r="Z411" s="1012"/>
    </row>
    <row r="412" ht="15.75" customHeight="1">
      <c r="A412" s="1012"/>
      <c r="B412" s="1012"/>
      <c r="C412" s="1012"/>
      <c r="D412" s="1012"/>
      <c r="E412" s="1012"/>
      <c r="F412" s="1012"/>
      <c r="G412" s="1012"/>
      <c r="H412" s="1012"/>
      <c r="I412" s="1012"/>
      <c r="J412" s="1012"/>
      <c r="K412" s="1012"/>
      <c r="L412" s="1012"/>
      <c r="M412" s="1012"/>
      <c r="N412" s="1012"/>
      <c r="O412" s="1012"/>
      <c r="P412" s="1012"/>
      <c r="Q412" s="1012"/>
      <c r="R412" s="1012"/>
      <c r="S412" s="1012"/>
      <c r="T412" s="1012"/>
      <c r="U412" s="1012"/>
      <c r="V412" s="1012"/>
      <c r="W412" s="1012"/>
      <c r="X412" s="1012"/>
      <c r="Y412" s="1012"/>
      <c r="Z412" s="1012"/>
    </row>
    <row r="413" ht="15.75" customHeight="1">
      <c r="A413" s="1012"/>
      <c r="B413" s="1012"/>
      <c r="C413" s="1012"/>
      <c r="D413" s="1012"/>
      <c r="E413" s="1012"/>
      <c r="F413" s="1012"/>
      <c r="G413" s="1012"/>
      <c r="H413" s="1012"/>
      <c r="I413" s="1012"/>
      <c r="J413" s="1012"/>
      <c r="K413" s="1012"/>
      <c r="L413" s="1012"/>
      <c r="M413" s="1012"/>
      <c r="N413" s="1012"/>
      <c r="O413" s="1012"/>
      <c r="P413" s="1012"/>
      <c r="Q413" s="1012"/>
      <c r="R413" s="1012"/>
      <c r="S413" s="1012"/>
      <c r="T413" s="1012"/>
      <c r="U413" s="1012"/>
      <c r="V413" s="1012"/>
      <c r="W413" s="1012"/>
      <c r="X413" s="1012"/>
      <c r="Y413" s="1012"/>
      <c r="Z413" s="1012"/>
    </row>
    <row r="414" ht="15.75" customHeight="1">
      <c r="A414" s="1012"/>
      <c r="B414" s="1012"/>
      <c r="C414" s="1012"/>
      <c r="D414" s="1012"/>
      <c r="E414" s="1012"/>
      <c r="F414" s="1012"/>
      <c r="G414" s="1012"/>
      <c r="H414" s="1012"/>
      <c r="I414" s="1012"/>
      <c r="J414" s="1012"/>
      <c r="K414" s="1012"/>
      <c r="L414" s="1012"/>
      <c r="M414" s="1012"/>
      <c r="N414" s="1012"/>
      <c r="O414" s="1012"/>
      <c r="P414" s="1012"/>
      <c r="Q414" s="1012"/>
      <c r="R414" s="1012"/>
      <c r="S414" s="1012"/>
      <c r="T414" s="1012"/>
      <c r="U414" s="1012"/>
      <c r="V414" s="1012"/>
      <c r="W414" s="1012"/>
      <c r="X414" s="1012"/>
      <c r="Y414" s="1012"/>
      <c r="Z414" s="1012"/>
    </row>
    <row r="415" ht="15.75" customHeight="1">
      <c r="A415" s="1012"/>
      <c r="B415" s="1012"/>
      <c r="C415" s="1012"/>
      <c r="D415" s="1012"/>
      <c r="E415" s="1012"/>
      <c r="F415" s="1012"/>
      <c r="G415" s="1012"/>
      <c r="H415" s="1012"/>
      <c r="I415" s="1012"/>
      <c r="J415" s="1012"/>
      <c r="K415" s="1012"/>
      <c r="L415" s="1012"/>
      <c r="M415" s="1012"/>
      <c r="N415" s="1012"/>
      <c r="O415" s="1012"/>
      <c r="P415" s="1012"/>
      <c r="Q415" s="1012"/>
      <c r="R415" s="1012"/>
      <c r="S415" s="1012"/>
      <c r="T415" s="1012"/>
      <c r="U415" s="1012"/>
      <c r="V415" s="1012"/>
      <c r="W415" s="1012"/>
      <c r="X415" s="1012"/>
      <c r="Y415" s="1012"/>
      <c r="Z415" s="1012"/>
    </row>
    <row r="416" ht="15.75" customHeight="1">
      <c r="A416" s="1012"/>
      <c r="B416" s="1012"/>
      <c r="C416" s="1012"/>
      <c r="D416" s="1012"/>
      <c r="E416" s="1012"/>
      <c r="F416" s="1012"/>
      <c r="G416" s="1012"/>
      <c r="H416" s="1012"/>
      <c r="I416" s="1012"/>
      <c r="J416" s="1012"/>
      <c r="K416" s="1012"/>
      <c r="L416" s="1012"/>
      <c r="M416" s="1012"/>
      <c r="N416" s="1012"/>
      <c r="O416" s="1012"/>
      <c r="P416" s="1012"/>
      <c r="Q416" s="1012"/>
      <c r="R416" s="1012"/>
      <c r="S416" s="1012"/>
      <c r="T416" s="1012"/>
      <c r="U416" s="1012"/>
      <c r="V416" s="1012"/>
      <c r="W416" s="1012"/>
      <c r="X416" s="1012"/>
      <c r="Y416" s="1012"/>
      <c r="Z416" s="1012"/>
    </row>
    <row r="417" ht="15.75" customHeight="1">
      <c r="A417" s="1012"/>
      <c r="B417" s="1012"/>
      <c r="C417" s="1012"/>
      <c r="D417" s="1012"/>
      <c r="E417" s="1012"/>
      <c r="F417" s="1012"/>
      <c r="G417" s="1012"/>
      <c r="H417" s="1012"/>
      <c r="I417" s="1012"/>
      <c r="J417" s="1012"/>
      <c r="K417" s="1012"/>
      <c r="L417" s="1012"/>
      <c r="M417" s="1012"/>
      <c r="N417" s="1012"/>
      <c r="O417" s="1012"/>
      <c r="P417" s="1012"/>
      <c r="Q417" s="1012"/>
      <c r="R417" s="1012"/>
      <c r="S417" s="1012"/>
      <c r="T417" s="1012"/>
      <c r="U417" s="1012"/>
      <c r="V417" s="1012"/>
      <c r="W417" s="1012"/>
      <c r="X417" s="1012"/>
      <c r="Y417" s="1012"/>
      <c r="Z417" s="1012"/>
    </row>
    <row r="418" ht="15.75" customHeight="1">
      <c r="A418" s="1012"/>
      <c r="B418" s="1012"/>
      <c r="C418" s="1012"/>
      <c r="D418" s="1012"/>
      <c r="E418" s="1012"/>
      <c r="F418" s="1012"/>
      <c r="G418" s="1012"/>
      <c r="H418" s="1012"/>
      <c r="I418" s="1012"/>
      <c r="J418" s="1012"/>
      <c r="K418" s="1012"/>
      <c r="L418" s="1012"/>
      <c r="M418" s="1012"/>
      <c r="N418" s="1012"/>
      <c r="O418" s="1012"/>
      <c r="P418" s="1012"/>
      <c r="Q418" s="1012"/>
      <c r="R418" s="1012"/>
      <c r="S418" s="1012"/>
      <c r="T418" s="1012"/>
      <c r="U418" s="1012"/>
      <c r="V418" s="1012"/>
      <c r="W418" s="1012"/>
      <c r="X418" s="1012"/>
      <c r="Y418" s="1012"/>
      <c r="Z418" s="1012"/>
    </row>
    <row r="419" ht="15.75" customHeight="1">
      <c r="A419" s="1012"/>
      <c r="B419" s="1012"/>
      <c r="C419" s="1012"/>
      <c r="D419" s="1012"/>
      <c r="E419" s="1012"/>
      <c r="F419" s="1012"/>
      <c r="G419" s="1012"/>
      <c r="H419" s="1012"/>
      <c r="I419" s="1012"/>
      <c r="J419" s="1012"/>
      <c r="K419" s="1012"/>
      <c r="L419" s="1012"/>
      <c r="M419" s="1012"/>
      <c r="N419" s="1012"/>
      <c r="O419" s="1012"/>
      <c r="P419" s="1012"/>
      <c r="Q419" s="1012"/>
      <c r="R419" s="1012"/>
      <c r="S419" s="1012"/>
      <c r="T419" s="1012"/>
      <c r="U419" s="1012"/>
      <c r="V419" s="1012"/>
      <c r="W419" s="1012"/>
      <c r="X419" s="1012"/>
      <c r="Y419" s="1012"/>
      <c r="Z419" s="1012"/>
    </row>
    <row r="420" ht="15.75" customHeight="1">
      <c r="A420" s="1012"/>
      <c r="B420" s="1012"/>
      <c r="C420" s="1012"/>
      <c r="D420" s="1012"/>
      <c r="E420" s="1012"/>
      <c r="F420" s="1012"/>
      <c r="G420" s="1012"/>
      <c r="H420" s="1012"/>
      <c r="I420" s="1012"/>
      <c r="J420" s="1012"/>
      <c r="K420" s="1012"/>
      <c r="L420" s="1012"/>
      <c r="M420" s="1012"/>
      <c r="N420" s="1012"/>
      <c r="O420" s="1012"/>
      <c r="P420" s="1012"/>
      <c r="Q420" s="1012"/>
      <c r="R420" s="1012"/>
      <c r="S420" s="1012"/>
      <c r="T420" s="1012"/>
      <c r="U420" s="1012"/>
      <c r="V420" s="1012"/>
      <c r="W420" s="1012"/>
      <c r="X420" s="1012"/>
      <c r="Y420" s="1012"/>
      <c r="Z420" s="1012"/>
    </row>
    <row r="421" ht="15.75" customHeight="1">
      <c r="A421" s="1012"/>
      <c r="B421" s="1012"/>
      <c r="C421" s="1012"/>
      <c r="D421" s="1012"/>
      <c r="E421" s="1012"/>
      <c r="F421" s="1012"/>
      <c r="G421" s="1012"/>
      <c r="H421" s="1012"/>
      <c r="I421" s="1012"/>
      <c r="J421" s="1012"/>
      <c r="K421" s="1012"/>
      <c r="L421" s="1012"/>
      <c r="M421" s="1012"/>
      <c r="N421" s="1012"/>
      <c r="O421" s="1012"/>
      <c r="P421" s="1012"/>
      <c r="Q421" s="1012"/>
      <c r="R421" s="1012"/>
      <c r="S421" s="1012"/>
      <c r="T421" s="1012"/>
      <c r="U421" s="1012"/>
      <c r="V421" s="1012"/>
      <c r="W421" s="1012"/>
      <c r="X421" s="1012"/>
      <c r="Y421" s="1012"/>
      <c r="Z421" s="1012"/>
    </row>
    <row r="422" ht="15.75" customHeight="1">
      <c r="A422" s="1012"/>
      <c r="B422" s="1012"/>
      <c r="C422" s="1012"/>
      <c r="D422" s="1012"/>
      <c r="E422" s="1012"/>
      <c r="F422" s="1012"/>
      <c r="G422" s="1012"/>
      <c r="H422" s="1012"/>
      <c r="I422" s="1012"/>
      <c r="J422" s="1012"/>
      <c r="K422" s="1012"/>
      <c r="L422" s="1012"/>
      <c r="M422" s="1012"/>
      <c r="N422" s="1012"/>
      <c r="O422" s="1012"/>
      <c r="P422" s="1012"/>
      <c r="Q422" s="1012"/>
      <c r="R422" s="1012"/>
      <c r="S422" s="1012"/>
      <c r="T422" s="1012"/>
      <c r="U422" s="1012"/>
      <c r="V422" s="1012"/>
      <c r="W422" s="1012"/>
      <c r="X422" s="1012"/>
      <c r="Y422" s="1012"/>
      <c r="Z422" s="1012"/>
    </row>
    <row r="423" ht="15.75" customHeight="1">
      <c r="A423" s="1012"/>
      <c r="B423" s="1012"/>
      <c r="C423" s="1012"/>
      <c r="D423" s="1012"/>
      <c r="E423" s="1012"/>
      <c r="F423" s="1012"/>
      <c r="G423" s="1012"/>
      <c r="H423" s="1012"/>
      <c r="I423" s="1012"/>
      <c r="J423" s="1012"/>
      <c r="K423" s="1012"/>
      <c r="L423" s="1012"/>
      <c r="M423" s="1012"/>
      <c r="N423" s="1012"/>
      <c r="O423" s="1012"/>
      <c r="P423" s="1012"/>
      <c r="Q423" s="1012"/>
      <c r="R423" s="1012"/>
      <c r="S423" s="1012"/>
      <c r="T423" s="1012"/>
      <c r="U423" s="1012"/>
      <c r="V423" s="1012"/>
      <c r="W423" s="1012"/>
      <c r="X423" s="1012"/>
      <c r="Y423" s="1012"/>
      <c r="Z423" s="1012"/>
    </row>
    <row r="424" ht="15.75" customHeight="1">
      <c r="A424" s="1012"/>
      <c r="B424" s="1012"/>
      <c r="C424" s="1012"/>
      <c r="D424" s="1012"/>
      <c r="E424" s="1012"/>
      <c r="F424" s="1012"/>
      <c r="G424" s="1012"/>
      <c r="H424" s="1012"/>
      <c r="I424" s="1012"/>
      <c r="J424" s="1012"/>
      <c r="K424" s="1012"/>
      <c r="L424" s="1012"/>
      <c r="M424" s="1012"/>
      <c r="N424" s="1012"/>
      <c r="O424" s="1012"/>
      <c r="P424" s="1012"/>
      <c r="Q424" s="1012"/>
      <c r="R424" s="1012"/>
      <c r="S424" s="1012"/>
      <c r="T424" s="1012"/>
      <c r="U424" s="1012"/>
      <c r="V424" s="1012"/>
      <c r="W424" s="1012"/>
      <c r="X424" s="1012"/>
      <c r="Y424" s="1012"/>
      <c r="Z424" s="1012"/>
    </row>
    <row r="425" ht="15.75" customHeight="1">
      <c r="A425" s="1012"/>
      <c r="B425" s="1012"/>
      <c r="C425" s="1012"/>
      <c r="D425" s="1012"/>
      <c r="E425" s="1012"/>
      <c r="F425" s="1012"/>
      <c r="G425" s="1012"/>
      <c r="H425" s="1012"/>
      <c r="I425" s="1012"/>
      <c r="J425" s="1012"/>
      <c r="K425" s="1012"/>
      <c r="L425" s="1012"/>
      <c r="M425" s="1012"/>
      <c r="N425" s="1012"/>
      <c r="O425" s="1012"/>
      <c r="P425" s="1012"/>
      <c r="Q425" s="1012"/>
      <c r="R425" s="1012"/>
      <c r="S425" s="1012"/>
      <c r="T425" s="1012"/>
      <c r="U425" s="1012"/>
      <c r="V425" s="1012"/>
      <c r="W425" s="1012"/>
      <c r="X425" s="1012"/>
      <c r="Y425" s="1012"/>
      <c r="Z425" s="1012"/>
    </row>
    <row r="426" ht="15.75" customHeight="1">
      <c r="A426" s="1012"/>
      <c r="B426" s="1012"/>
      <c r="C426" s="1012"/>
      <c r="D426" s="1012"/>
      <c r="E426" s="1012"/>
      <c r="F426" s="1012"/>
      <c r="G426" s="1012"/>
      <c r="H426" s="1012"/>
      <c r="I426" s="1012"/>
      <c r="J426" s="1012"/>
      <c r="K426" s="1012"/>
      <c r="L426" s="1012"/>
      <c r="M426" s="1012"/>
      <c r="N426" s="1012"/>
      <c r="O426" s="1012"/>
      <c r="P426" s="1012"/>
      <c r="Q426" s="1012"/>
      <c r="R426" s="1012"/>
      <c r="S426" s="1012"/>
      <c r="T426" s="1012"/>
      <c r="U426" s="1012"/>
      <c r="V426" s="1012"/>
      <c r="W426" s="1012"/>
      <c r="X426" s="1012"/>
      <c r="Y426" s="1012"/>
      <c r="Z426" s="1012"/>
    </row>
    <row r="427" ht="15.75" customHeight="1">
      <c r="A427" s="1012"/>
      <c r="B427" s="1012"/>
      <c r="C427" s="1012"/>
      <c r="D427" s="1012"/>
      <c r="E427" s="1012"/>
      <c r="F427" s="1012"/>
      <c r="G427" s="1012"/>
      <c r="H427" s="1012"/>
      <c r="I427" s="1012"/>
      <c r="J427" s="1012"/>
      <c r="K427" s="1012"/>
      <c r="L427" s="1012"/>
      <c r="M427" s="1012"/>
      <c r="N427" s="1012"/>
      <c r="O427" s="1012"/>
      <c r="P427" s="1012"/>
      <c r="Q427" s="1012"/>
      <c r="R427" s="1012"/>
      <c r="S427" s="1012"/>
      <c r="T427" s="1012"/>
      <c r="U427" s="1012"/>
      <c r="V427" s="1012"/>
      <c r="W427" s="1012"/>
      <c r="X427" s="1012"/>
      <c r="Y427" s="1012"/>
      <c r="Z427" s="1012"/>
    </row>
    <row r="428" ht="15.75" customHeight="1">
      <c r="A428" s="1012"/>
      <c r="B428" s="1012"/>
      <c r="C428" s="1012"/>
      <c r="D428" s="1012"/>
      <c r="E428" s="1012"/>
      <c r="F428" s="1012"/>
      <c r="G428" s="1012"/>
      <c r="H428" s="1012"/>
      <c r="I428" s="1012"/>
      <c r="J428" s="1012"/>
      <c r="K428" s="1012"/>
      <c r="L428" s="1012"/>
      <c r="M428" s="1012"/>
      <c r="N428" s="1012"/>
      <c r="O428" s="1012"/>
      <c r="P428" s="1012"/>
      <c r="Q428" s="1012"/>
      <c r="R428" s="1012"/>
      <c r="S428" s="1012"/>
      <c r="T428" s="1012"/>
      <c r="U428" s="1012"/>
      <c r="V428" s="1012"/>
      <c r="W428" s="1012"/>
      <c r="X428" s="1012"/>
      <c r="Y428" s="1012"/>
      <c r="Z428" s="1012"/>
    </row>
    <row r="429" ht="15.75" customHeight="1">
      <c r="A429" s="1012"/>
      <c r="B429" s="1012"/>
      <c r="C429" s="1012"/>
      <c r="D429" s="1012"/>
      <c r="E429" s="1012"/>
      <c r="F429" s="1012"/>
      <c r="G429" s="1012"/>
      <c r="H429" s="1012"/>
      <c r="I429" s="1012"/>
      <c r="J429" s="1012"/>
      <c r="K429" s="1012"/>
      <c r="L429" s="1012"/>
      <c r="M429" s="1012"/>
      <c r="N429" s="1012"/>
      <c r="O429" s="1012"/>
      <c r="P429" s="1012"/>
      <c r="Q429" s="1012"/>
      <c r="R429" s="1012"/>
      <c r="S429" s="1012"/>
      <c r="T429" s="1012"/>
      <c r="U429" s="1012"/>
      <c r="V429" s="1012"/>
      <c r="W429" s="1012"/>
      <c r="X429" s="1012"/>
      <c r="Y429" s="1012"/>
      <c r="Z429" s="1012"/>
    </row>
    <row r="430" ht="15.75" customHeight="1">
      <c r="A430" s="1012"/>
      <c r="B430" s="1012"/>
      <c r="C430" s="1012"/>
      <c r="D430" s="1012"/>
      <c r="E430" s="1012"/>
      <c r="F430" s="1012"/>
      <c r="G430" s="1012"/>
      <c r="H430" s="1012"/>
      <c r="I430" s="1012"/>
      <c r="J430" s="1012"/>
      <c r="K430" s="1012"/>
      <c r="L430" s="1012"/>
      <c r="M430" s="1012"/>
      <c r="N430" s="1012"/>
      <c r="O430" s="1012"/>
      <c r="P430" s="1012"/>
      <c r="Q430" s="1012"/>
      <c r="R430" s="1012"/>
      <c r="S430" s="1012"/>
      <c r="T430" s="1012"/>
      <c r="U430" s="1012"/>
      <c r="V430" s="1012"/>
      <c r="W430" s="1012"/>
      <c r="X430" s="1012"/>
      <c r="Y430" s="1012"/>
      <c r="Z430" s="1012"/>
    </row>
    <row r="431" ht="15.75" customHeight="1">
      <c r="A431" s="1012"/>
      <c r="B431" s="1012"/>
      <c r="C431" s="1012"/>
      <c r="D431" s="1012"/>
      <c r="E431" s="1012"/>
      <c r="F431" s="1012"/>
      <c r="G431" s="1012"/>
      <c r="H431" s="1012"/>
      <c r="I431" s="1012"/>
      <c r="J431" s="1012"/>
      <c r="K431" s="1012"/>
      <c r="L431" s="1012"/>
      <c r="M431" s="1012"/>
      <c r="N431" s="1012"/>
      <c r="O431" s="1012"/>
      <c r="P431" s="1012"/>
      <c r="Q431" s="1012"/>
      <c r="R431" s="1012"/>
      <c r="S431" s="1012"/>
      <c r="T431" s="1012"/>
      <c r="U431" s="1012"/>
      <c r="V431" s="1012"/>
      <c r="W431" s="1012"/>
      <c r="X431" s="1012"/>
      <c r="Y431" s="1012"/>
      <c r="Z431" s="1012"/>
    </row>
    <row r="432" ht="15.75" customHeight="1">
      <c r="A432" s="1012"/>
      <c r="B432" s="1012"/>
      <c r="C432" s="1012"/>
      <c r="D432" s="1012"/>
      <c r="E432" s="1012"/>
      <c r="F432" s="1012"/>
      <c r="G432" s="1012"/>
      <c r="H432" s="1012"/>
      <c r="I432" s="1012"/>
      <c r="J432" s="1012"/>
      <c r="K432" s="1012"/>
      <c r="L432" s="1012"/>
      <c r="M432" s="1012"/>
      <c r="N432" s="1012"/>
      <c r="O432" s="1012"/>
      <c r="P432" s="1012"/>
      <c r="Q432" s="1012"/>
      <c r="R432" s="1012"/>
      <c r="S432" s="1012"/>
      <c r="T432" s="1012"/>
      <c r="U432" s="1012"/>
      <c r="V432" s="1012"/>
      <c r="W432" s="1012"/>
      <c r="X432" s="1012"/>
      <c r="Y432" s="1012"/>
      <c r="Z432" s="1012"/>
    </row>
    <row r="433" ht="15.75" customHeight="1">
      <c r="A433" s="1012"/>
      <c r="B433" s="1012"/>
      <c r="C433" s="1012"/>
      <c r="D433" s="1012"/>
      <c r="E433" s="1012"/>
      <c r="F433" s="1012"/>
      <c r="G433" s="1012"/>
      <c r="H433" s="1012"/>
      <c r="I433" s="1012"/>
      <c r="J433" s="1012"/>
      <c r="K433" s="1012"/>
      <c r="L433" s="1012"/>
      <c r="M433" s="1012"/>
      <c r="N433" s="1012"/>
      <c r="O433" s="1012"/>
      <c r="P433" s="1012"/>
      <c r="Q433" s="1012"/>
      <c r="R433" s="1012"/>
      <c r="S433" s="1012"/>
      <c r="T433" s="1012"/>
      <c r="U433" s="1012"/>
      <c r="V433" s="1012"/>
      <c r="W433" s="1012"/>
      <c r="X433" s="1012"/>
      <c r="Y433" s="1012"/>
      <c r="Z433" s="1012"/>
    </row>
    <row r="434" ht="15.75" customHeight="1">
      <c r="A434" s="1012"/>
      <c r="B434" s="1012"/>
      <c r="C434" s="1012"/>
      <c r="D434" s="1012"/>
      <c r="E434" s="1012"/>
      <c r="F434" s="1012"/>
      <c r="G434" s="1012"/>
      <c r="H434" s="1012"/>
      <c r="I434" s="1012"/>
      <c r="J434" s="1012"/>
      <c r="K434" s="1012"/>
      <c r="L434" s="1012"/>
      <c r="M434" s="1012"/>
      <c r="N434" s="1012"/>
      <c r="O434" s="1012"/>
      <c r="P434" s="1012"/>
      <c r="Q434" s="1012"/>
      <c r="R434" s="1012"/>
      <c r="S434" s="1012"/>
      <c r="T434" s="1012"/>
      <c r="U434" s="1012"/>
      <c r="V434" s="1012"/>
      <c r="W434" s="1012"/>
      <c r="X434" s="1012"/>
      <c r="Y434" s="1012"/>
      <c r="Z434" s="1012"/>
    </row>
    <row r="435" ht="15.75" customHeight="1">
      <c r="A435" s="1012"/>
      <c r="B435" s="1012"/>
      <c r="C435" s="1012"/>
      <c r="D435" s="1012"/>
      <c r="E435" s="1012"/>
      <c r="F435" s="1012"/>
      <c r="G435" s="1012"/>
      <c r="H435" s="1012"/>
      <c r="I435" s="1012"/>
      <c r="J435" s="1012"/>
      <c r="K435" s="1012"/>
      <c r="L435" s="1012"/>
      <c r="M435" s="1012"/>
      <c r="N435" s="1012"/>
      <c r="O435" s="1012"/>
      <c r="P435" s="1012"/>
      <c r="Q435" s="1012"/>
      <c r="R435" s="1012"/>
      <c r="S435" s="1012"/>
      <c r="T435" s="1012"/>
      <c r="U435" s="1012"/>
      <c r="V435" s="1012"/>
      <c r="W435" s="1012"/>
      <c r="X435" s="1012"/>
      <c r="Y435" s="1012"/>
      <c r="Z435" s="1012"/>
    </row>
    <row r="436" ht="15.75" customHeight="1">
      <c r="A436" s="1012"/>
      <c r="B436" s="1012"/>
      <c r="C436" s="1012"/>
      <c r="D436" s="1012"/>
      <c r="E436" s="1012"/>
      <c r="F436" s="1012"/>
      <c r="G436" s="1012"/>
      <c r="H436" s="1012"/>
      <c r="I436" s="1012"/>
      <c r="J436" s="1012"/>
      <c r="K436" s="1012"/>
      <c r="L436" s="1012"/>
      <c r="M436" s="1012"/>
      <c r="N436" s="1012"/>
      <c r="O436" s="1012"/>
      <c r="P436" s="1012"/>
      <c r="Q436" s="1012"/>
      <c r="R436" s="1012"/>
      <c r="S436" s="1012"/>
      <c r="T436" s="1012"/>
      <c r="U436" s="1012"/>
      <c r="V436" s="1012"/>
      <c r="W436" s="1012"/>
      <c r="X436" s="1012"/>
      <c r="Y436" s="1012"/>
      <c r="Z436" s="1012"/>
    </row>
    <row r="437" ht="15.75" customHeight="1">
      <c r="A437" s="1012"/>
      <c r="B437" s="1012"/>
      <c r="C437" s="1012"/>
      <c r="D437" s="1012"/>
      <c r="E437" s="1012"/>
      <c r="F437" s="1012"/>
      <c r="G437" s="1012"/>
      <c r="H437" s="1012"/>
      <c r="I437" s="1012"/>
      <c r="J437" s="1012"/>
      <c r="K437" s="1012"/>
      <c r="L437" s="1012"/>
      <c r="M437" s="1012"/>
      <c r="N437" s="1012"/>
      <c r="O437" s="1012"/>
      <c r="P437" s="1012"/>
      <c r="Q437" s="1012"/>
      <c r="R437" s="1012"/>
      <c r="S437" s="1012"/>
      <c r="T437" s="1012"/>
      <c r="U437" s="1012"/>
      <c r="V437" s="1012"/>
      <c r="W437" s="1012"/>
      <c r="X437" s="1012"/>
      <c r="Y437" s="1012"/>
      <c r="Z437" s="1012"/>
    </row>
    <row r="438" ht="15.75" customHeight="1">
      <c r="A438" s="1012"/>
      <c r="B438" s="1012"/>
      <c r="C438" s="1012"/>
      <c r="D438" s="1012"/>
      <c r="E438" s="1012"/>
      <c r="F438" s="1012"/>
      <c r="G438" s="1012"/>
      <c r="H438" s="1012"/>
      <c r="I438" s="1012"/>
      <c r="J438" s="1012"/>
      <c r="K438" s="1012"/>
      <c r="L438" s="1012"/>
      <c r="M438" s="1012"/>
      <c r="N438" s="1012"/>
      <c r="O438" s="1012"/>
      <c r="P438" s="1012"/>
      <c r="Q438" s="1012"/>
      <c r="R438" s="1012"/>
      <c r="S438" s="1012"/>
      <c r="T438" s="1012"/>
      <c r="U438" s="1012"/>
      <c r="V438" s="1012"/>
      <c r="W438" s="1012"/>
      <c r="X438" s="1012"/>
      <c r="Y438" s="1012"/>
      <c r="Z438" s="1012"/>
    </row>
    <row r="439" ht="15.75" customHeight="1">
      <c r="A439" s="1012"/>
      <c r="B439" s="1012"/>
      <c r="C439" s="1012"/>
      <c r="D439" s="1012"/>
      <c r="E439" s="1012"/>
      <c r="F439" s="1012"/>
      <c r="G439" s="1012"/>
      <c r="H439" s="1012"/>
      <c r="I439" s="1012"/>
      <c r="J439" s="1012"/>
      <c r="K439" s="1012"/>
      <c r="L439" s="1012"/>
      <c r="M439" s="1012"/>
      <c r="N439" s="1012"/>
      <c r="O439" s="1012"/>
      <c r="P439" s="1012"/>
      <c r="Q439" s="1012"/>
      <c r="R439" s="1012"/>
      <c r="S439" s="1012"/>
      <c r="T439" s="1012"/>
      <c r="U439" s="1012"/>
      <c r="V439" s="1012"/>
      <c r="W439" s="1012"/>
      <c r="X439" s="1012"/>
      <c r="Y439" s="1012"/>
      <c r="Z439" s="1012"/>
    </row>
    <row r="440" ht="15.75" customHeight="1">
      <c r="A440" s="1012"/>
      <c r="B440" s="1012"/>
      <c r="C440" s="1012"/>
      <c r="D440" s="1012"/>
      <c r="E440" s="1012"/>
      <c r="F440" s="1012"/>
      <c r="G440" s="1012"/>
      <c r="H440" s="1012"/>
      <c r="I440" s="1012"/>
      <c r="J440" s="1012"/>
      <c r="K440" s="1012"/>
      <c r="L440" s="1012"/>
      <c r="M440" s="1012"/>
      <c r="N440" s="1012"/>
      <c r="O440" s="1012"/>
      <c r="P440" s="1012"/>
      <c r="Q440" s="1012"/>
      <c r="R440" s="1012"/>
      <c r="S440" s="1012"/>
      <c r="T440" s="1012"/>
      <c r="U440" s="1012"/>
      <c r="V440" s="1012"/>
      <c r="W440" s="1012"/>
      <c r="X440" s="1012"/>
      <c r="Y440" s="1012"/>
      <c r="Z440" s="1012"/>
    </row>
    <row r="441" ht="15.75" customHeight="1">
      <c r="A441" s="1012"/>
      <c r="B441" s="1012"/>
      <c r="C441" s="1012"/>
      <c r="D441" s="1012"/>
      <c r="E441" s="1012"/>
      <c r="F441" s="1012"/>
      <c r="G441" s="1012"/>
      <c r="H441" s="1012"/>
      <c r="I441" s="1012"/>
      <c r="J441" s="1012"/>
      <c r="K441" s="1012"/>
      <c r="L441" s="1012"/>
      <c r="M441" s="1012"/>
      <c r="N441" s="1012"/>
      <c r="O441" s="1012"/>
      <c r="P441" s="1012"/>
      <c r="Q441" s="1012"/>
      <c r="R441" s="1012"/>
      <c r="S441" s="1012"/>
      <c r="T441" s="1012"/>
      <c r="U441" s="1012"/>
      <c r="V441" s="1012"/>
      <c r="W441" s="1012"/>
      <c r="X441" s="1012"/>
      <c r="Y441" s="1012"/>
      <c r="Z441" s="1012"/>
    </row>
    <row r="442" ht="15.75" customHeight="1">
      <c r="A442" s="1012"/>
      <c r="B442" s="1012"/>
      <c r="C442" s="1012"/>
      <c r="D442" s="1012"/>
      <c r="E442" s="1012"/>
      <c r="F442" s="1012"/>
      <c r="G442" s="1012"/>
      <c r="H442" s="1012"/>
      <c r="I442" s="1012"/>
      <c r="J442" s="1012"/>
      <c r="K442" s="1012"/>
      <c r="L442" s="1012"/>
      <c r="M442" s="1012"/>
      <c r="N442" s="1012"/>
      <c r="O442" s="1012"/>
      <c r="P442" s="1012"/>
      <c r="Q442" s="1012"/>
      <c r="R442" s="1012"/>
      <c r="S442" s="1012"/>
      <c r="T442" s="1012"/>
      <c r="U442" s="1012"/>
      <c r="V442" s="1012"/>
      <c r="W442" s="1012"/>
      <c r="X442" s="1012"/>
      <c r="Y442" s="1012"/>
      <c r="Z442" s="1012"/>
    </row>
    <row r="443" ht="15.75" customHeight="1">
      <c r="A443" s="1012"/>
      <c r="B443" s="1012"/>
      <c r="C443" s="1012"/>
      <c r="D443" s="1012"/>
      <c r="E443" s="1012"/>
      <c r="F443" s="1012"/>
      <c r="G443" s="1012"/>
      <c r="H443" s="1012"/>
      <c r="I443" s="1012"/>
      <c r="J443" s="1012"/>
      <c r="K443" s="1012"/>
      <c r="L443" s="1012"/>
      <c r="M443" s="1012"/>
      <c r="N443" s="1012"/>
      <c r="O443" s="1012"/>
      <c r="P443" s="1012"/>
      <c r="Q443" s="1012"/>
      <c r="R443" s="1012"/>
      <c r="S443" s="1012"/>
      <c r="T443" s="1012"/>
      <c r="U443" s="1012"/>
      <c r="V443" s="1012"/>
      <c r="W443" s="1012"/>
      <c r="X443" s="1012"/>
      <c r="Y443" s="1012"/>
      <c r="Z443" s="1012"/>
    </row>
    <row r="444" ht="15.75" customHeight="1">
      <c r="A444" s="1012"/>
      <c r="B444" s="1012"/>
      <c r="C444" s="1012"/>
      <c r="D444" s="1012"/>
      <c r="E444" s="1012"/>
      <c r="F444" s="1012"/>
      <c r="G444" s="1012"/>
      <c r="H444" s="1012"/>
      <c r="I444" s="1012"/>
      <c r="J444" s="1012"/>
      <c r="K444" s="1012"/>
      <c r="L444" s="1012"/>
      <c r="M444" s="1012"/>
      <c r="N444" s="1012"/>
      <c r="O444" s="1012"/>
      <c r="P444" s="1012"/>
      <c r="Q444" s="1012"/>
      <c r="R444" s="1012"/>
      <c r="S444" s="1012"/>
      <c r="T444" s="1012"/>
      <c r="U444" s="1012"/>
      <c r="V444" s="1012"/>
      <c r="W444" s="1012"/>
      <c r="X444" s="1012"/>
      <c r="Y444" s="1012"/>
      <c r="Z444" s="1012"/>
    </row>
    <row r="445" ht="15.75" customHeight="1">
      <c r="A445" s="1012"/>
      <c r="B445" s="1012"/>
      <c r="C445" s="1012"/>
      <c r="D445" s="1012"/>
      <c r="E445" s="1012"/>
      <c r="F445" s="1012"/>
      <c r="G445" s="1012"/>
      <c r="H445" s="1012"/>
      <c r="I445" s="1012"/>
      <c r="J445" s="1012"/>
      <c r="K445" s="1012"/>
      <c r="L445" s="1012"/>
      <c r="M445" s="1012"/>
      <c r="N445" s="1012"/>
      <c r="O445" s="1012"/>
      <c r="P445" s="1012"/>
      <c r="Q445" s="1012"/>
      <c r="R445" s="1012"/>
      <c r="S445" s="1012"/>
      <c r="T445" s="1012"/>
      <c r="U445" s="1012"/>
      <c r="V445" s="1012"/>
      <c r="W445" s="1012"/>
      <c r="X445" s="1012"/>
      <c r="Y445" s="1012"/>
      <c r="Z445" s="1012"/>
    </row>
    <row r="446" ht="15.75" customHeight="1">
      <c r="A446" s="1012"/>
      <c r="B446" s="1012"/>
      <c r="C446" s="1012"/>
      <c r="D446" s="1012"/>
      <c r="E446" s="1012"/>
      <c r="F446" s="1012"/>
      <c r="G446" s="1012"/>
      <c r="H446" s="1012"/>
      <c r="I446" s="1012"/>
      <c r="J446" s="1012"/>
      <c r="K446" s="1012"/>
      <c r="L446" s="1012"/>
      <c r="M446" s="1012"/>
      <c r="N446" s="1012"/>
      <c r="O446" s="1012"/>
      <c r="P446" s="1012"/>
      <c r="Q446" s="1012"/>
      <c r="R446" s="1012"/>
      <c r="S446" s="1012"/>
      <c r="T446" s="1012"/>
      <c r="U446" s="1012"/>
      <c r="V446" s="1012"/>
      <c r="W446" s="1012"/>
      <c r="X446" s="1012"/>
      <c r="Y446" s="1012"/>
      <c r="Z446" s="1012"/>
    </row>
    <row r="447" ht="15.75" customHeight="1">
      <c r="A447" s="1012"/>
      <c r="B447" s="1012"/>
      <c r="C447" s="1012"/>
      <c r="D447" s="1012"/>
      <c r="E447" s="1012"/>
      <c r="F447" s="1012"/>
      <c r="G447" s="1012"/>
      <c r="H447" s="1012"/>
      <c r="I447" s="1012"/>
      <c r="J447" s="1012"/>
      <c r="K447" s="1012"/>
      <c r="L447" s="1012"/>
      <c r="M447" s="1012"/>
      <c r="N447" s="1012"/>
      <c r="O447" s="1012"/>
      <c r="P447" s="1012"/>
      <c r="Q447" s="1012"/>
      <c r="R447" s="1012"/>
      <c r="S447" s="1012"/>
      <c r="T447" s="1012"/>
      <c r="U447" s="1012"/>
      <c r="V447" s="1012"/>
      <c r="W447" s="1012"/>
      <c r="X447" s="1012"/>
      <c r="Y447" s="1012"/>
      <c r="Z447" s="1012"/>
    </row>
    <row r="448" ht="15.75" customHeight="1">
      <c r="A448" s="1012"/>
      <c r="B448" s="1012"/>
      <c r="C448" s="1012"/>
      <c r="D448" s="1012"/>
      <c r="E448" s="1012"/>
      <c r="F448" s="1012"/>
      <c r="G448" s="1012"/>
      <c r="H448" s="1012"/>
      <c r="I448" s="1012"/>
      <c r="J448" s="1012"/>
      <c r="K448" s="1012"/>
      <c r="L448" s="1012"/>
      <c r="M448" s="1012"/>
      <c r="N448" s="1012"/>
      <c r="O448" s="1012"/>
      <c r="P448" s="1012"/>
      <c r="Q448" s="1012"/>
      <c r="R448" s="1012"/>
      <c r="S448" s="1012"/>
      <c r="T448" s="1012"/>
      <c r="U448" s="1012"/>
      <c r="V448" s="1012"/>
      <c r="W448" s="1012"/>
      <c r="X448" s="1012"/>
      <c r="Y448" s="1012"/>
      <c r="Z448" s="1012"/>
    </row>
    <row r="449" ht="15.75" customHeight="1">
      <c r="A449" s="1012"/>
      <c r="B449" s="1012"/>
      <c r="C449" s="1012"/>
      <c r="D449" s="1012"/>
      <c r="E449" s="1012"/>
      <c r="F449" s="1012"/>
      <c r="G449" s="1012"/>
      <c r="H449" s="1012"/>
      <c r="I449" s="1012"/>
      <c r="J449" s="1012"/>
      <c r="K449" s="1012"/>
      <c r="L449" s="1012"/>
      <c r="M449" s="1012"/>
      <c r="N449" s="1012"/>
      <c r="O449" s="1012"/>
      <c r="P449" s="1012"/>
      <c r="Q449" s="1012"/>
      <c r="R449" s="1012"/>
      <c r="S449" s="1012"/>
      <c r="T449" s="1012"/>
      <c r="U449" s="1012"/>
      <c r="V449" s="1012"/>
      <c r="W449" s="1012"/>
      <c r="X449" s="1012"/>
      <c r="Y449" s="1012"/>
      <c r="Z449" s="1012"/>
    </row>
    <row r="450" ht="15.75" customHeight="1">
      <c r="A450" s="1012"/>
      <c r="B450" s="1012"/>
      <c r="C450" s="1012"/>
      <c r="D450" s="1012"/>
      <c r="E450" s="1012"/>
      <c r="F450" s="1012"/>
      <c r="G450" s="1012"/>
      <c r="H450" s="1012"/>
      <c r="I450" s="1012"/>
      <c r="J450" s="1012"/>
      <c r="K450" s="1012"/>
      <c r="L450" s="1012"/>
      <c r="M450" s="1012"/>
      <c r="N450" s="1012"/>
      <c r="O450" s="1012"/>
      <c r="P450" s="1012"/>
      <c r="Q450" s="1012"/>
      <c r="R450" s="1012"/>
      <c r="S450" s="1012"/>
      <c r="T450" s="1012"/>
      <c r="U450" s="1012"/>
      <c r="V450" s="1012"/>
      <c r="W450" s="1012"/>
      <c r="X450" s="1012"/>
      <c r="Y450" s="1012"/>
      <c r="Z450" s="1012"/>
    </row>
    <row r="451" ht="15.75" customHeight="1">
      <c r="A451" s="1012"/>
      <c r="B451" s="1012"/>
      <c r="C451" s="1012"/>
      <c r="D451" s="1012"/>
      <c r="E451" s="1012"/>
      <c r="F451" s="1012"/>
      <c r="G451" s="1012"/>
      <c r="H451" s="1012"/>
      <c r="I451" s="1012"/>
      <c r="J451" s="1012"/>
      <c r="K451" s="1012"/>
      <c r="L451" s="1012"/>
      <c r="M451" s="1012"/>
      <c r="N451" s="1012"/>
      <c r="O451" s="1012"/>
      <c r="P451" s="1012"/>
      <c r="Q451" s="1012"/>
      <c r="R451" s="1012"/>
      <c r="S451" s="1012"/>
      <c r="T451" s="1012"/>
      <c r="U451" s="1012"/>
      <c r="V451" s="1012"/>
      <c r="W451" s="1012"/>
      <c r="X451" s="1012"/>
      <c r="Y451" s="1012"/>
      <c r="Z451" s="1012"/>
    </row>
    <row r="452" ht="15.75" customHeight="1">
      <c r="A452" s="1012"/>
      <c r="B452" s="1012"/>
      <c r="C452" s="1012"/>
      <c r="D452" s="1012"/>
      <c r="E452" s="1012"/>
      <c r="F452" s="1012"/>
      <c r="G452" s="1012"/>
      <c r="H452" s="1012"/>
      <c r="I452" s="1012"/>
      <c r="J452" s="1012"/>
      <c r="K452" s="1012"/>
      <c r="L452" s="1012"/>
      <c r="M452" s="1012"/>
      <c r="N452" s="1012"/>
      <c r="O452" s="1012"/>
      <c r="P452" s="1012"/>
      <c r="Q452" s="1012"/>
      <c r="R452" s="1012"/>
      <c r="S452" s="1012"/>
      <c r="T452" s="1012"/>
      <c r="U452" s="1012"/>
      <c r="V452" s="1012"/>
      <c r="W452" s="1012"/>
      <c r="X452" s="1012"/>
      <c r="Y452" s="1012"/>
      <c r="Z452" s="1012"/>
    </row>
    <row r="453" ht="15.75" customHeight="1">
      <c r="A453" s="1012"/>
      <c r="B453" s="1012"/>
      <c r="C453" s="1012"/>
      <c r="D453" s="1012"/>
      <c r="E453" s="1012"/>
      <c r="F453" s="1012"/>
      <c r="G453" s="1012"/>
      <c r="H453" s="1012"/>
      <c r="I453" s="1012"/>
      <c r="J453" s="1012"/>
      <c r="K453" s="1012"/>
      <c r="L453" s="1012"/>
      <c r="M453" s="1012"/>
      <c r="N453" s="1012"/>
      <c r="O453" s="1012"/>
      <c r="P453" s="1012"/>
      <c r="Q453" s="1012"/>
      <c r="R453" s="1012"/>
      <c r="S453" s="1012"/>
      <c r="T453" s="1012"/>
      <c r="U453" s="1012"/>
      <c r="V453" s="1012"/>
      <c r="W453" s="1012"/>
      <c r="X453" s="1012"/>
      <c r="Y453" s="1012"/>
      <c r="Z453" s="1012"/>
    </row>
    <row r="454" ht="15.75" customHeight="1">
      <c r="A454" s="1012"/>
      <c r="B454" s="1012"/>
      <c r="C454" s="1012"/>
      <c r="D454" s="1012"/>
      <c r="E454" s="1012"/>
      <c r="F454" s="1012"/>
      <c r="G454" s="1012"/>
      <c r="H454" s="1012"/>
      <c r="I454" s="1012"/>
      <c r="J454" s="1012"/>
      <c r="K454" s="1012"/>
      <c r="L454" s="1012"/>
      <c r="M454" s="1012"/>
      <c r="N454" s="1012"/>
      <c r="O454" s="1012"/>
      <c r="P454" s="1012"/>
      <c r="Q454" s="1012"/>
      <c r="R454" s="1012"/>
      <c r="S454" s="1012"/>
      <c r="T454" s="1012"/>
      <c r="U454" s="1012"/>
      <c r="V454" s="1012"/>
      <c r="W454" s="1012"/>
      <c r="X454" s="1012"/>
      <c r="Y454" s="1012"/>
      <c r="Z454" s="1012"/>
    </row>
    <row r="455" ht="15.75" customHeight="1">
      <c r="A455" s="1012"/>
      <c r="B455" s="1012"/>
      <c r="C455" s="1012"/>
      <c r="D455" s="1012"/>
      <c r="E455" s="1012"/>
      <c r="F455" s="1012"/>
      <c r="G455" s="1012"/>
      <c r="H455" s="1012"/>
      <c r="I455" s="1012"/>
      <c r="J455" s="1012"/>
      <c r="K455" s="1012"/>
      <c r="L455" s="1012"/>
      <c r="M455" s="1012"/>
      <c r="N455" s="1012"/>
      <c r="O455" s="1012"/>
      <c r="P455" s="1012"/>
      <c r="Q455" s="1012"/>
      <c r="R455" s="1012"/>
      <c r="S455" s="1012"/>
      <c r="T455" s="1012"/>
      <c r="U455" s="1012"/>
      <c r="V455" s="1012"/>
      <c r="W455" s="1012"/>
      <c r="X455" s="1012"/>
      <c r="Y455" s="1012"/>
      <c r="Z455" s="1012"/>
    </row>
    <row r="456" ht="15.75" customHeight="1">
      <c r="A456" s="1012"/>
      <c r="B456" s="1012"/>
      <c r="C456" s="1012"/>
      <c r="D456" s="1012"/>
      <c r="E456" s="1012"/>
      <c r="F456" s="1012"/>
      <c r="G456" s="1012"/>
      <c r="H456" s="1012"/>
      <c r="I456" s="1012"/>
      <c r="J456" s="1012"/>
      <c r="K456" s="1012"/>
      <c r="L456" s="1012"/>
      <c r="M456" s="1012"/>
      <c r="N456" s="1012"/>
      <c r="O456" s="1012"/>
      <c r="P456" s="1012"/>
      <c r="Q456" s="1012"/>
      <c r="R456" s="1012"/>
      <c r="S456" s="1012"/>
      <c r="T456" s="1012"/>
      <c r="U456" s="1012"/>
      <c r="V456" s="1012"/>
      <c r="W456" s="1012"/>
      <c r="X456" s="1012"/>
      <c r="Y456" s="1012"/>
      <c r="Z456" s="1012"/>
    </row>
    <row r="457" ht="15.75" customHeight="1">
      <c r="A457" s="1012"/>
      <c r="B457" s="1012"/>
      <c r="C457" s="1012"/>
      <c r="D457" s="1012"/>
      <c r="E457" s="1012"/>
      <c r="F457" s="1012"/>
      <c r="G457" s="1012"/>
      <c r="H457" s="1012"/>
      <c r="I457" s="1012"/>
      <c r="J457" s="1012"/>
      <c r="K457" s="1012"/>
      <c r="L457" s="1012"/>
      <c r="M457" s="1012"/>
      <c r="N457" s="1012"/>
      <c r="O457" s="1012"/>
      <c r="P457" s="1012"/>
      <c r="Q457" s="1012"/>
      <c r="R457" s="1012"/>
      <c r="S457" s="1012"/>
      <c r="T457" s="1012"/>
      <c r="U457" s="1012"/>
      <c r="V457" s="1012"/>
      <c r="W457" s="1012"/>
      <c r="X457" s="1012"/>
      <c r="Y457" s="1012"/>
      <c r="Z457" s="1012"/>
    </row>
    <row r="458" ht="15.75" customHeight="1">
      <c r="A458" s="1012"/>
      <c r="B458" s="1012"/>
      <c r="C458" s="1012"/>
      <c r="D458" s="1012"/>
      <c r="E458" s="1012"/>
      <c r="F458" s="1012"/>
      <c r="G458" s="1012"/>
      <c r="H458" s="1012"/>
      <c r="I458" s="1012"/>
      <c r="J458" s="1012"/>
      <c r="K458" s="1012"/>
      <c r="L458" s="1012"/>
      <c r="M458" s="1012"/>
      <c r="N458" s="1012"/>
      <c r="O458" s="1012"/>
      <c r="P458" s="1012"/>
      <c r="Q458" s="1012"/>
      <c r="R458" s="1012"/>
      <c r="S458" s="1012"/>
      <c r="T458" s="1012"/>
      <c r="U458" s="1012"/>
      <c r="V458" s="1012"/>
      <c r="W458" s="1012"/>
      <c r="X458" s="1012"/>
      <c r="Y458" s="1012"/>
      <c r="Z458" s="1012"/>
    </row>
    <row r="459" ht="15.75" customHeight="1">
      <c r="A459" s="1012"/>
      <c r="B459" s="1012"/>
      <c r="C459" s="1012"/>
      <c r="D459" s="1012"/>
      <c r="E459" s="1012"/>
      <c r="F459" s="1012"/>
      <c r="G459" s="1012"/>
      <c r="H459" s="1012"/>
      <c r="I459" s="1012"/>
      <c r="J459" s="1012"/>
      <c r="K459" s="1012"/>
      <c r="L459" s="1012"/>
      <c r="M459" s="1012"/>
      <c r="N459" s="1012"/>
      <c r="O459" s="1012"/>
      <c r="P459" s="1012"/>
      <c r="Q459" s="1012"/>
      <c r="R459" s="1012"/>
      <c r="S459" s="1012"/>
      <c r="T459" s="1012"/>
      <c r="U459" s="1012"/>
      <c r="V459" s="1012"/>
      <c r="W459" s="1012"/>
      <c r="X459" s="1012"/>
      <c r="Y459" s="1012"/>
      <c r="Z459" s="1012"/>
    </row>
    <row r="460" ht="15.75" customHeight="1">
      <c r="A460" s="1012"/>
      <c r="B460" s="1012"/>
      <c r="C460" s="1012"/>
      <c r="D460" s="1012"/>
      <c r="E460" s="1012"/>
      <c r="F460" s="1012"/>
      <c r="G460" s="1012"/>
      <c r="H460" s="1012"/>
      <c r="I460" s="1012"/>
      <c r="J460" s="1012"/>
      <c r="K460" s="1012"/>
      <c r="L460" s="1012"/>
      <c r="M460" s="1012"/>
      <c r="N460" s="1012"/>
      <c r="O460" s="1012"/>
      <c r="P460" s="1012"/>
      <c r="Q460" s="1012"/>
      <c r="R460" s="1012"/>
      <c r="S460" s="1012"/>
      <c r="T460" s="1012"/>
      <c r="U460" s="1012"/>
      <c r="V460" s="1012"/>
      <c r="W460" s="1012"/>
      <c r="X460" s="1012"/>
      <c r="Y460" s="1012"/>
      <c r="Z460" s="1012"/>
    </row>
    <row r="461" ht="15.75" customHeight="1">
      <c r="A461" s="1012"/>
      <c r="B461" s="1012"/>
      <c r="C461" s="1012"/>
      <c r="D461" s="1012"/>
      <c r="E461" s="1012"/>
      <c r="F461" s="1012"/>
      <c r="G461" s="1012"/>
      <c r="H461" s="1012"/>
      <c r="I461" s="1012"/>
      <c r="J461" s="1012"/>
      <c r="K461" s="1012"/>
      <c r="L461" s="1012"/>
      <c r="M461" s="1012"/>
      <c r="N461" s="1012"/>
      <c r="O461" s="1012"/>
      <c r="P461" s="1012"/>
      <c r="Q461" s="1012"/>
      <c r="R461" s="1012"/>
      <c r="S461" s="1012"/>
      <c r="T461" s="1012"/>
      <c r="U461" s="1012"/>
      <c r="V461" s="1012"/>
      <c r="W461" s="1012"/>
      <c r="X461" s="1012"/>
      <c r="Y461" s="1012"/>
      <c r="Z461" s="1012"/>
    </row>
    <row r="462" ht="15.75" customHeight="1">
      <c r="A462" s="1012"/>
      <c r="B462" s="1012"/>
      <c r="C462" s="1012"/>
      <c r="D462" s="1012"/>
      <c r="E462" s="1012"/>
      <c r="F462" s="1012"/>
      <c r="G462" s="1012"/>
      <c r="H462" s="1012"/>
      <c r="I462" s="1012"/>
      <c r="J462" s="1012"/>
      <c r="K462" s="1012"/>
      <c r="L462" s="1012"/>
      <c r="M462" s="1012"/>
      <c r="N462" s="1012"/>
      <c r="O462" s="1012"/>
      <c r="P462" s="1012"/>
      <c r="Q462" s="1012"/>
      <c r="R462" s="1012"/>
      <c r="S462" s="1012"/>
      <c r="T462" s="1012"/>
      <c r="U462" s="1012"/>
      <c r="V462" s="1012"/>
      <c r="W462" s="1012"/>
      <c r="X462" s="1012"/>
      <c r="Y462" s="1012"/>
      <c r="Z462" s="1012"/>
    </row>
    <row r="463" ht="15.75" customHeight="1">
      <c r="A463" s="1012"/>
      <c r="B463" s="1012"/>
      <c r="C463" s="1012"/>
      <c r="D463" s="1012"/>
      <c r="E463" s="1012"/>
      <c r="F463" s="1012"/>
      <c r="G463" s="1012"/>
      <c r="H463" s="1012"/>
      <c r="I463" s="1012"/>
      <c r="J463" s="1012"/>
      <c r="K463" s="1012"/>
      <c r="L463" s="1012"/>
      <c r="M463" s="1012"/>
      <c r="N463" s="1012"/>
      <c r="O463" s="1012"/>
      <c r="P463" s="1012"/>
      <c r="Q463" s="1012"/>
      <c r="R463" s="1012"/>
      <c r="S463" s="1012"/>
      <c r="T463" s="1012"/>
      <c r="U463" s="1012"/>
      <c r="V463" s="1012"/>
      <c r="W463" s="1012"/>
      <c r="X463" s="1012"/>
      <c r="Y463" s="1012"/>
      <c r="Z463" s="1012"/>
    </row>
    <row r="464" ht="15.75" customHeight="1">
      <c r="A464" s="1012"/>
      <c r="B464" s="1012"/>
      <c r="C464" s="1012"/>
      <c r="D464" s="1012"/>
      <c r="E464" s="1012"/>
      <c r="F464" s="1012"/>
      <c r="G464" s="1012"/>
      <c r="H464" s="1012"/>
      <c r="I464" s="1012"/>
      <c r="J464" s="1012"/>
      <c r="K464" s="1012"/>
      <c r="L464" s="1012"/>
      <c r="M464" s="1012"/>
      <c r="N464" s="1012"/>
      <c r="O464" s="1012"/>
      <c r="P464" s="1012"/>
      <c r="Q464" s="1012"/>
      <c r="R464" s="1012"/>
      <c r="S464" s="1012"/>
      <c r="T464" s="1012"/>
      <c r="U464" s="1012"/>
      <c r="V464" s="1012"/>
      <c r="W464" s="1012"/>
      <c r="X464" s="1012"/>
      <c r="Y464" s="1012"/>
      <c r="Z464" s="1012"/>
    </row>
    <row r="465" ht="15.75" customHeight="1">
      <c r="A465" s="1012"/>
      <c r="B465" s="1012"/>
      <c r="C465" s="1012"/>
      <c r="D465" s="1012"/>
      <c r="E465" s="1012"/>
      <c r="F465" s="1012"/>
      <c r="G465" s="1012"/>
      <c r="H465" s="1012"/>
      <c r="I465" s="1012"/>
      <c r="J465" s="1012"/>
      <c r="K465" s="1012"/>
      <c r="L465" s="1012"/>
      <c r="M465" s="1012"/>
      <c r="N465" s="1012"/>
      <c r="O465" s="1012"/>
      <c r="P465" s="1012"/>
      <c r="Q465" s="1012"/>
      <c r="R465" s="1012"/>
      <c r="S465" s="1012"/>
      <c r="T465" s="1012"/>
      <c r="U465" s="1012"/>
      <c r="V465" s="1012"/>
      <c r="W465" s="1012"/>
      <c r="X465" s="1012"/>
      <c r="Y465" s="1012"/>
      <c r="Z465" s="1012"/>
    </row>
    <row r="466" ht="15.75" customHeight="1">
      <c r="A466" s="1012"/>
      <c r="B466" s="1012"/>
      <c r="C466" s="1012"/>
      <c r="D466" s="1012"/>
      <c r="E466" s="1012"/>
      <c r="F466" s="1012"/>
      <c r="G466" s="1012"/>
      <c r="H466" s="1012"/>
      <c r="I466" s="1012"/>
      <c r="J466" s="1012"/>
      <c r="K466" s="1012"/>
      <c r="L466" s="1012"/>
      <c r="M466" s="1012"/>
      <c r="N466" s="1012"/>
      <c r="O466" s="1012"/>
      <c r="P466" s="1012"/>
      <c r="Q466" s="1012"/>
      <c r="R466" s="1012"/>
      <c r="S466" s="1012"/>
      <c r="T466" s="1012"/>
      <c r="U466" s="1012"/>
      <c r="V466" s="1012"/>
      <c r="W466" s="1012"/>
      <c r="X466" s="1012"/>
      <c r="Y466" s="1012"/>
      <c r="Z466" s="1012"/>
    </row>
    <row r="467" ht="15.75" customHeight="1">
      <c r="A467" s="1012"/>
      <c r="B467" s="1012"/>
      <c r="C467" s="1012"/>
      <c r="D467" s="1012"/>
      <c r="E467" s="1012"/>
      <c r="F467" s="1012"/>
      <c r="G467" s="1012"/>
      <c r="H467" s="1012"/>
      <c r="I467" s="1012"/>
      <c r="J467" s="1012"/>
      <c r="K467" s="1012"/>
      <c r="L467" s="1012"/>
      <c r="M467" s="1012"/>
      <c r="N467" s="1012"/>
      <c r="O467" s="1012"/>
      <c r="P467" s="1012"/>
      <c r="Q467" s="1012"/>
      <c r="R467" s="1012"/>
      <c r="S467" s="1012"/>
      <c r="T467" s="1012"/>
      <c r="U467" s="1012"/>
      <c r="V467" s="1012"/>
      <c r="W467" s="1012"/>
      <c r="X467" s="1012"/>
      <c r="Y467" s="1012"/>
      <c r="Z467" s="1012"/>
    </row>
    <row r="468" ht="15.75" customHeight="1">
      <c r="A468" s="1012"/>
      <c r="B468" s="1012"/>
      <c r="C468" s="1012"/>
      <c r="D468" s="1012"/>
      <c r="E468" s="1012"/>
      <c r="F468" s="1012"/>
      <c r="G468" s="1012"/>
      <c r="H468" s="1012"/>
      <c r="I468" s="1012"/>
      <c r="J468" s="1012"/>
      <c r="K468" s="1012"/>
      <c r="L468" s="1012"/>
      <c r="M468" s="1012"/>
      <c r="N468" s="1012"/>
      <c r="O468" s="1012"/>
      <c r="P468" s="1012"/>
      <c r="Q468" s="1012"/>
      <c r="R468" s="1012"/>
      <c r="S468" s="1012"/>
      <c r="T468" s="1012"/>
      <c r="U468" s="1012"/>
      <c r="V468" s="1012"/>
      <c r="W468" s="1012"/>
      <c r="X468" s="1012"/>
      <c r="Y468" s="1012"/>
      <c r="Z468" s="1012"/>
    </row>
    <row r="469" ht="15.75" customHeight="1">
      <c r="A469" s="1012"/>
      <c r="B469" s="1012"/>
      <c r="C469" s="1012"/>
      <c r="D469" s="1012"/>
      <c r="E469" s="1012"/>
      <c r="F469" s="1012"/>
      <c r="G469" s="1012"/>
      <c r="H469" s="1012"/>
      <c r="I469" s="1012"/>
      <c r="J469" s="1012"/>
      <c r="K469" s="1012"/>
      <c r="L469" s="1012"/>
      <c r="M469" s="1012"/>
      <c r="N469" s="1012"/>
      <c r="O469" s="1012"/>
      <c r="P469" s="1012"/>
      <c r="Q469" s="1012"/>
      <c r="R469" s="1012"/>
      <c r="S469" s="1012"/>
      <c r="T469" s="1012"/>
      <c r="U469" s="1012"/>
      <c r="V469" s="1012"/>
      <c r="W469" s="1012"/>
      <c r="X469" s="1012"/>
      <c r="Y469" s="1012"/>
      <c r="Z469" s="1012"/>
    </row>
    <row r="470" ht="15.75" customHeight="1">
      <c r="A470" s="1012"/>
      <c r="B470" s="1012"/>
      <c r="C470" s="1012"/>
      <c r="D470" s="1012"/>
      <c r="E470" s="1012"/>
      <c r="F470" s="1012"/>
      <c r="G470" s="1012"/>
      <c r="H470" s="1012"/>
      <c r="I470" s="1012"/>
      <c r="J470" s="1012"/>
      <c r="K470" s="1012"/>
      <c r="L470" s="1012"/>
      <c r="M470" s="1012"/>
      <c r="N470" s="1012"/>
      <c r="O470" s="1012"/>
      <c r="P470" s="1012"/>
      <c r="Q470" s="1012"/>
      <c r="R470" s="1012"/>
      <c r="S470" s="1012"/>
      <c r="T470" s="1012"/>
      <c r="U470" s="1012"/>
      <c r="V470" s="1012"/>
      <c r="W470" s="1012"/>
      <c r="X470" s="1012"/>
      <c r="Y470" s="1012"/>
      <c r="Z470" s="1012"/>
    </row>
    <row r="471" ht="15.75" customHeight="1">
      <c r="A471" s="1012"/>
      <c r="B471" s="1012"/>
      <c r="C471" s="1012"/>
      <c r="D471" s="1012"/>
      <c r="E471" s="1012"/>
      <c r="F471" s="1012"/>
      <c r="G471" s="1012"/>
      <c r="H471" s="1012"/>
      <c r="I471" s="1012"/>
      <c r="J471" s="1012"/>
      <c r="K471" s="1012"/>
      <c r="L471" s="1012"/>
      <c r="M471" s="1012"/>
      <c r="N471" s="1012"/>
      <c r="O471" s="1012"/>
      <c r="P471" s="1012"/>
      <c r="Q471" s="1012"/>
      <c r="R471" s="1012"/>
      <c r="S471" s="1012"/>
      <c r="T471" s="1012"/>
      <c r="U471" s="1012"/>
      <c r="V471" s="1012"/>
      <c r="W471" s="1012"/>
      <c r="X471" s="1012"/>
      <c r="Y471" s="1012"/>
      <c r="Z471" s="1012"/>
    </row>
    <row r="472" ht="15.75" customHeight="1">
      <c r="A472" s="1012"/>
      <c r="B472" s="1012"/>
      <c r="C472" s="1012"/>
      <c r="D472" s="1012"/>
      <c r="E472" s="1012"/>
      <c r="F472" s="1012"/>
      <c r="G472" s="1012"/>
      <c r="H472" s="1012"/>
      <c r="I472" s="1012"/>
      <c r="J472" s="1012"/>
      <c r="K472" s="1012"/>
      <c r="L472" s="1012"/>
      <c r="M472" s="1012"/>
      <c r="N472" s="1012"/>
      <c r="O472" s="1012"/>
      <c r="P472" s="1012"/>
      <c r="Q472" s="1012"/>
      <c r="R472" s="1012"/>
      <c r="S472" s="1012"/>
      <c r="T472" s="1012"/>
      <c r="U472" s="1012"/>
      <c r="V472" s="1012"/>
      <c r="W472" s="1012"/>
      <c r="X472" s="1012"/>
      <c r="Y472" s="1012"/>
      <c r="Z472" s="1012"/>
    </row>
    <row r="473" ht="15.75" customHeight="1">
      <c r="A473" s="1012"/>
      <c r="B473" s="1012"/>
      <c r="C473" s="1012"/>
      <c r="D473" s="1012"/>
      <c r="E473" s="1012"/>
      <c r="F473" s="1012"/>
      <c r="G473" s="1012"/>
      <c r="H473" s="1012"/>
      <c r="I473" s="1012"/>
      <c r="J473" s="1012"/>
      <c r="K473" s="1012"/>
      <c r="L473" s="1012"/>
      <c r="M473" s="1012"/>
      <c r="N473" s="1012"/>
      <c r="O473" s="1012"/>
      <c r="P473" s="1012"/>
      <c r="Q473" s="1012"/>
      <c r="R473" s="1012"/>
      <c r="S473" s="1012"/>
      <c r="T473" s="1012"/>
      <c r="U473" s="1012"/>
      <c r="V473" s="1012"/>
      <c r="W473" s="1012"/>
      <c r="X473" s="1012"/>
      <c r="Y473" s="1012"/>
      <c r="Z473" s="1012"/>
    </row>
    <row r="474" ht="15.75" customHeight="1">
      <c r="A474" s="1012"/>
      <c r="B474" s="1012"/>
      <c r="C474" s="1012"/>
      <c r="D474" s="1012"/>
      <c r="E474" s="1012"/>
      <c r="F474" s="1012"/>
      <c r="G474" s="1012"/>
      <c r="H474" s="1012"/>
      <c r="I474" s="1012"/>
      <c r="J474" s="1012"/>
      <c r="K474" s="1012"/>
      <c r="L474" s="1012"/>
      <c r="M474" s="1012"/>
      <c r="N474" s="1012"/>
      <c r="O474" s="1012"/>
      <c r="P474" s="1012"/>
      <c r="Q474" s="1012"/>
      <c r="R474" s="1012"/>
      <c r="S474" s="1012"/>
      <c r="T474" s="1012"/>
      <c r="U474" s="1012"/>
      <c r="V474" s="1012"/>
      <c r="W474" s="1012"/>
      <c r="X474" s="1012"/>
      <c r="Y474" s="1012"/>
      <c r="Z474" s="1012"/>
    </row>
    <row r="475" ht="15.75" customHeight="1">
      <c r="A475" s="1012"/>
      <c r="B475" s="1012"/>
      <c r="C475" s="1012"/>
      <c r="D475" s="1012"/>
      <c r="E475" s="1012"/>
      <c r="F475" s="1012"/>
      <c r="G475" s="1012"/>
      <c r="H475" s="1012"/>
      <c r="I475" s="1012"/>
      <c r="J475" s="1012"/>
      <c r="K475" s="1012"/>
      <c r="L475" s="1012"/>
      <c r="M475" s="1012"/>
      <c r="N475" s="1012"/>
      <c r="O475" s="1012"/>
      <c r="P475" s="1012"/>
      <c r="Q475" s="1012"/>
      <c r="R475" s="1012"/>
      <c r="S475" s="1012"/>
      <c r="T475" s="1012"/>
      <c r="U475" s="1012"/>
      <c r="V475" s="1012"/>
      <c r="W475" s="1012"/>
      <c r="X475" s="1012"/>
      <c r="Y475" s="1012"/>
      <c r="Z475" s="1012"/>
    </row>
    <row r="476" ht="15.75" customHeight="1">
      <c r="A476" s="1012"/>
      <c r="B476" s="1012"/>
      <c r="C476" s="1012"/>
      <c r="D476" s="1012"/>
      <c r="E476" s="1012"/>
      <c r="F476" s="1012"/>
      <c r="G476" s="1012"/>
      <c r="H476" s="1012"/>
      <c r="I476" s="1012"/>
      <c r="J476" s="1012"/>
      <c r="K476" s="1012"/>
      <c r="L476" s="1012"/>
      <c r="M476" s="1012"/>
      <c r="N476" s="1012"/>
      <c r="O476" s="1012"/>
      <c r="P476" s="1012"/>
      <c r="Q476" s="1012"/>
      <c r="R476" s="1012"/>
      <c r="S476" s="1012"/>
      <c r="T476" s="1012"/>
      <c r="U476" s="1012"/>
      <c r="V476" s="1012"/>
      <c r="W476" s="1012"/>
      <c r="X476" s="1012"/>
      <c r="Y476" s="1012"/>
      <c r="Z476" s="1012"/>
    </row>
    <row r="477" ht="15.75" customHeight="1">
      <c r="A477" s="1012"/>
      <c r="B477" s="1012"/>
      <c r="C477" s="1012"/>
      <c r="D477" s="1012"/>
      <c r="E477" s="1012"/>
      <c r="F477" s="1012"/>
      <c r="G477" s="1012"/>
      <c r="H477" s="1012"/>
      <c r="I477" s="1012"/>
      <c r="J477" s="1012"/>
      <c r="K477" s="1012"/>
      <c r="L477" s="1012"/>
      <c r="M477" s="1012"/>
      <c r="N477" s="1012"/>
      <c r="O477" s="1012"/>
      <c r="P477" s="1012"/>
      <c r="Q477" s="1012"/>
      <c r="R477" s="1012"/>
      <c r="S477" s="1012"/>
      <c r="T477" s="1012"/>
      <c r="U477" s="1012"/>
      <c r="V477" s="1012"/>
      <c r="W477" s="1012"/>
      <c r="X477" s="1012"/>
      <c r="Y477" s="1012"/>
      <c r="Z477" s="1012"/>
    </row>
    <row r="478" ht="15.75" customHeight="1">
      <c r="A478" s="1012"/>
      <c r="B478" s="1012"/>
      <c r="C478" s="1012"/>
      <c r="D478" s="1012"/>
      <c r="E478" s="1012"/>
      <c r="F478" s="1012"/>
      <c r="G478" s="1012"/>
      <c r="H478" s="1012"/>
      <c r="I478" s="1012"/>
      <c r="J478" s="1012"/>
      <c r="K478" s="1012"/>
      <c r="L478" s="1012"/>
      <c r="M478" s="1012"/>
      <c r="N478" s="1012"/>
      <c r="O478" s="1012"/>
      <c r="P478" s="1012"/>
      <c r="Q478" s="1012"/>
      <c r="R478" s="1012"/>
      <c r="S478" s="1012"/>
      <c r="T478" s="1012"/>
      <c r="U478" s="1012"/>
      <c r="V478" s="1012"/>
      <c r="W478" s="1012"/>
      <c r="X478" s="1012"/>
      <c r="Y478" s="1012"/>
      <c r="Z478" s="1012"/>
    </row>
    <row r="479" ht="15.75" customHeight="1">
      <c r="A479" s="1012"/>
      <c r="B479" s="1012"/>
      <c r="C479" s="1012"/>
      <c r="D479" s="1012"/>
      <c r="E479" s="1012"/>
      <c r="F479" s="1012"/>
      <c r="G479" s="1012"/>
      <c r="H479" s="1012"/>
      <c r="I479" s="1012"/>
      <c r="J479" s="1012"/>
      <c r="K479" s="1012"/>
      <c r="L479" s="1012"/>
      <c r="M479" s="1012"/>
      <c r="N479" s="1012"/>
      <c r="O479" s="1012"/>
      <c r="P479" s="1012"/>
      <c r="Q479" s="1012"/>
      <c r="R479" s="1012"/>
      <c r="S479" s="1012"/>
      <c r="T479" s="1012"/>
      <c r="U479" s="1012"/>
      <c r="V479" s="1012"/>
      <c r="W479" s="1012"/>
      <c r="X479" s="1012"/>
      <c r="Y479" s="1012"/>
      <c r="Z479" s="1012"/>
    </row>
    <row r="480" ht="15.75" customHeight="1">
      <c r="A480" s="1012"/>
      <c r="B480" s="1012"/>
      <c r="C480" s="1012"/>
      <c r="D480" s="1012"/>
      <c r="E480" s="1012"/>
      <c r="F480" s="1012"/>
      <c r="G480" s="1012"/>
      <c r="H480" s="1012"/>
      <c r="I480" s="1012"/>
      <c r="J480" s="1012"/>
      <c r="K480" s="1012"/>
      <c r="L480" s="1012"/>
      <c r="M480" s="1012"/>
      <c r="N480" s="1012"/>
      <c r="O480" s="1012"/>
      <c r="P480" s="1012"/>
      <c r="Q480" s="1012"/>
      <c r="R480" s="1012"/>
      <c r="S480" s="1012"/>
      <c r="T480" s="1012"/>
      <c r="U480" s="1012"/>
      <c r="V480" s="1012"/>
      <c r="W480" s="1012"/>
      <c r="X480" s="1012"/>
      <c r="Y480" s="1012"/>
      <c r="Z480" s="1012"/>
    </row>
    <row r="481" ht="15.75" customHeight="1">
      <c r="A481" s="1012"/>
      <c r="B481" s="1012"/>
      <c r="C481" s="1012"/>
      <c r="D481" s="1012"/>
      <c r="E481" s="1012"/>
      <c r="F481" s="1012"/>
      <c r="G481" s="1012"/>
      <c r="H481" s="1012"/>
      <c r="I481" s="1012"/>
      <c r="J481" s="1012"/>
      <c r="K481" s="1012"/>
      <c r="L481" s="1012"/>
      <c r="M481" s="1012"/>
      <c r="N481" s="1012"/>
      <c r="O481" s="1012"/>
      <c r="P481" s="1012"/>
      <c r="Q481" s="1012"/>
      <c r="R481" s="1012"/>
      <c r="S481" s="1012"/>
      <c r="T481" s="1012"/>
      <c r="U481" s="1012"/>
      <c r="V481" s="1012"/>
      <c r="W481" s="1012"/>
      <c r="X481" s="1012"/>
      <c r="Y481" s="1012"/>
      <c r="Z481" s="1012"/>
    </row>
    <row r="482" ht="15.75" customHeight="1">
      <c r="A482" s="1012"/>
      <c r="B482" s="1012"/>
      <c r="C482" s="1012"/>
      <c r="D482" s="1012"/>
      <c r="E482" s="1012"/>
      <c r="F482" s="1012"/>
      <c r="G482" s="1012"/>
      <c r="H482" s="1012"/>
      <c r="I482" s="1012"/>
      <c r="J482" s="1012"/>
      <c r="K482" s="1012"/>
      <c r="L482" s="1012"/>
      <c r="M482" s="1012"/>
      <c r="N482" s="1012"/>
      <c r="O482" s="1012"/>
      <c r="P482" s="1012"/>
      <c r="Q482" s="1012"/>
      <c r="R482" s="1012"/>
      <c r="S482" s="1012"/>
      <c r="T482" s="1012"/>
      <c r="U482" s="1012"/>
      <c r="V482" s="1012"/>
      <c r="W482" s="1012"/>
      <c r="X482" s="1012"/>
      <c r="Y482" s="1012"/>
      <c r="Z482" s="1012"/>
    </row>
    <row r="483" ht="15.75" customHeight="1">
      <c r="A483" s="1012"/>
      <c r="B483" s="1012"/>
      <c r="C483" s="1012"/>
      <c r="D483" s="1012"/>
      <c r="E483" s="1012"/>
      <c r="F483" s="1012"/>
      <c r="G483" s="1012"/>
      <c r="H483" s="1012"/>
      <c r="I483" s="1012"/>
      <c r="J483" s="1012"/>
      <c r="K483" s="1012"/>
      <c r="L483" s="1012"/>
      <c r="M483" s="1012"/>
      <c r="N483" s="1012"/>
      <c r="O483" s="1012"/>
      <c r="P483" s="1012"/>
      <c r="Q483" s="1012"/>
      <c r="R483" s="1012"/>
      <c r="S483" s="1012"/>
      <c r="T483" s="1012"/>
      <c r="U483" s="1012"/>
      <c r="V483" s="1012"/>
      <c r="W483" s="1012"/>
      <c r="X483" s="1012"/>
      <c r="Y483" s="1012"/>
      <c r="Z483" s="1012"/>
    </row>
    <row r="484" ht="15.75" customHeight="1">
      <c r="A484" s="1012"/>
      <c r="B484" s="1012"/>
      <c r="C484" s="1012"/>
      <c r="D484" s="1012"/>
      <c r="E484" s="1012"/>
      <c r="F484" s="1012"/>
      <c r="G484" s="1012"/>
      <c r="H484" s="1012"/>
      <c r="I484" s="1012"/>
      <c r="J484" s="1012"/>
      <c r="K484" s="1012"/>
      <c r="L484" s="1012"/>
      <c r="M484" s="1012"/>
      <c r="N484" s="1012"/>
      <c r="O484" s="1012"/>
      <c r="P484" s="1012"/>
      <c r="Q484" s="1012"/>
      <c r="R484" s="1012"/>
      <c r="S484" s="1012"/>
      <c r="T484" s="1012"/>
      <c r="U484" s="1012"/>
      <c r="V484" s="1012"/>
      <c r="W484" s="1012"/>
      <c r="X484" s="1012"/>
      <c r="Y484" s="1012"/>
      <c r="Z484" s="1012"/>
    </row>
    <row r="485" ht="15.75" customHeight="1">
      <c r="A485" s="1012"/>
      <c r="B485" s="1012"/>
      <c r="C485" s="1012"/>
      <c r="D485" s="1012"/>
      <c r="E485" s="1012"/>
      <c r="F485" s="1012"/>
      <c r="G485" s="1012"/>
      <c r="H485" s="1012"/>
      <c r="I485" s="1012"/>
      <c r="J485" s="1012"/>
      <c r="K485" s="1012"/>
      <c r="L485" s="1012"/>
      <c r="M485" s="1012"/>
      <c r="N485" s="1012"/>
      <c r="O485" s="1012"/>
      <c r="P485" s="1012"/>
      <c r="Q485" s="1012"/>
      <c r="R485" s="1012"/>
      <c r="S485" s="1012"/>
      <c r="T485" s="1012"/>
      <c r="U485" s="1012"/>
      <c r="V485" s="1012"/>
      <c r="W485" s="1012"/>
      <c r="X485" s="1012"/>
      <c r="Y485" s="1012"/>
      <c r="Z485" s="1012"/>
    </row>
    <row r="486" ht="15.75" customHeight="1">
      <c r="A486" s="1012"/>
      <c r="B486" s="1012"/>
      <c r="C486" s="1012"/>
      <c r="D486" s="1012"/>
      <c r="E486" s="1012"/>
      <c r="F486" s="1012"/>
      <c r="G486" s="1012"/>
      <c r="H486" s="1012"/>
      <c r="I486" s="1012"/>
      <c r="J486" s="1012"/>
      <c r="K486" s="1012"/>
      <c r="L486" s="1012"/>
      <c r="M486" s="1012"/>
      <c r="N486" s="1012"/>
      <c r="O486" s="1012"/>
      <c r="P486" s="1012"/>
      <c r="Q486" s="1012"/>
      <c r="R486" s="1012"/>
      <c r="S486" s="1012"/>
      <c r="T486" s="1012"/>
      <c r="U486" s="1012"/>
      <c r="V486" s="1012"/>
      <c r="W486" s="1012"/>
      <c r="X486" s="1012"/>
      <c r="Y486" s="1012"/>
      <c r="Z486" s="1012"/>
    </row>
    <row r="487" ht="15.75" customHeight="1">
      <c r="A487" s="1012"/>
      <c r="B487" s="1012"/>
      <c r="C487" s="1012"/>
      <c r="D487" s="1012"/>
      <c r="E487" s="1012"/>
      <c r="F487" s="1012"/>
      <c r="G487" s="1012"/>
      <c r="H487" s="1012"/>
      <c r="I487" s="1012"/>
      <c r="J487" s="1012"/>
      <c r="K487" s="1012"/>
      <c r="L487" s="1012"/>
      <c r="M487" s="1012"/>
      <c r="N487" s="1012"/>
      <c r="O487" s="1012"/>
      <c r="P487" s="1012"/>
      <c r="Q487" s="1012"/>
      <c r="R487" s="1012"/>
      <c r="S487" s="1012"/>
      <c r="T487" s="1012"/>
      <c r="U487" s="1012"/>
      <c r="V487" s="1012"/>
      <c r="W487" s="1012"/>
      <c r="X487" s="1012"/>
      <c r="Y487" s="1012"/>
      <c r="Z487" s="1012"/>
    </row>
    <row r="488" ht="15.75" customHeight="1">
      <c r="A488" s="1012"/>
      <c r="B488" s="1012"/>
      <c r="C488" s="1012"/>
      <c r="D488" s="1012"/>
      <c r="E488" s="1012"/>
      <c r="F488" s="1012"/>
      <c r="G488" s="1012"/>
      <c r="H488" s="1012"/>
      <c r="I488" s="1012"/>
      <c r="J488" s="1012"/>
      <c r="K488" s="1012"/>
      <c r="L488" s="1012"/>
      <c r="M488" s="1012"/>
      <c r="N488" s="1012"/>
      <c r="O488" s="1012"/>
      <c r="P488" s="1012"/>
      <c r="Q488" s="1012"/>
      <c r="R488" s="1012"/>
      <c r="S488" s="1012"/>
      <c r="T488" s="1012"/>
      <c r="U488" s="1012"/>
      <c r="V488" s="1012"/>
      <c r="W488" s="1012"/>
      <c r="X488" s="1012"/>
      <c r="Y488" s="1012"/>
      <c r="Z488" s="1012"/>
    </row>
    <row r="489" ht="15.75" customHeight="1">
      <c r="A489" s="1012"/>
      <c r="B489" s="1012"/>
      <c r="C489" s="1012"/>
      <c r="D489" s="1012"/>
      <c r="E489" s="1012"/>
      <c r="F489" s="1012"/>
      <c r="G489" s="1012"/>
      <c r="H489" s="1012"/>
      <c r="I489" s="1012"/>
      <c r="J489" s="1012"/>
      <c r="K489" s="1012"/>
      <c r="L489" s="1012"/>
      <c r="M489" s="1012"/>
      <c r="N489" s="1012"/>
      <c r="O489" s="1012"/>
      <c r="P489" s="1012"/>
      <c r="Q489" s="1012"/>
      <c r="R489" s="1012"/>
      <c r="S489" s="1012"/>
      <c r="T489" s="1012"/>
      <c r="U489" s="1012"/>
      <c r="V489" s="1012"/>
      <c r="W489" s="1012"/>
      <c r="X489" s="1012"/>
      <c r="Y489" s="1012"/>
      <c r="Z489" s="1012"/>
    </row>
    <row r="490" ht="15.75" customHeight="1">
      <c r="A490" s="1012"/>
      <c r="B490" s="1012"/>
      <c r="C490" s="1012"/>
      <c r="D490" s="1012"/>
      <c r="E490" s="1012"/>
      <c r="F490" s="1012"/>
      <c r="G490" s="1012"/>
      <c r="H490" s="1012"/>
      <c r="I490" s="1012"/>
      <c r="J490" s="1012"/>
      <c r="K490" s="1012"/>
      <c r="L490" s="1012"/>
      <c r="M490" s="1012"/>
      <c r="N490" s="1012"/>
      <c r="O490" s="1012"/>
      <c r="P490" s="1012"/>
      <c r="Q490" s="1012"/>
      <c r="R490" s="1012"/>
      <c r="S490" s="1012"/>
      <c r="T490" s="1012"/>
      <c r="U490" s="1012"/>
      <c r="V490" s="1012"/>
      <c r="W490" s="1012"/>
      <c r="X490" s="1012"/>
      <c r="Y490" s="1012"/>
      <c r="Z490" s="1012"/>
    </row>
    <row r="491" ht="15.75" customHeight="1">
      <c r="A491" s="1012"/>
      <c r="B491" s="1012"/>
      <c r="C491" s="1012"/>
      <c r="D491" s="1012"/>
      <c r="E491" s="1012"/>
      <c r="F491" s="1012"/>
      <c r="G491" s="1012"/>
      <c r="H491" s="1012"/>
      <c r="I491" s="1012"/>
      <c r="J491" s="1012"/>
      <c r="K491" s="1012"/>
      <c r="L491" s="1012"/>
      <c r="M491" s="1012"/>
      <c r="N491" s="1012"/>
      <c r="O491" s="1012"/>
      <c r="P491" s="1012"/>
      <c r="Q491" s="1012"/>
      <c r="R491" s="1012"/>
      <c r="S491" s="1012"/>
      <c r="T491" s="1012"/>
      <c r="U491" s="1012"/>
      <c r="V491" s="1012"/>
      <c r="W491" s="1012"/>
      <c r="X491" s="1012"/>
      <c r="Y491" s="1012"/>
      <c r="Z491" s="1012"/>
    </row>
    <row r="492" ht="15.75" customHeight="1">
      <c r="A492" s="1012"/>
      <c r="B492" s="1012"/>
      <c r="C492" s="1012"/>
      <c r="D492" s="1012"/>
      <c r="E492" s="1012"/>
      <c r="F492" s="1012"/>
      <c r="G492" s="1012"/>
      <c r="H492" s="1012"/>
      <c r="I492" s="1012"/>
      <c r="J492" s="1012"/>
      <c r="K492" s="1012"/>
      <c r="L492" s="1012"/>
      <c r="M492" s="1012"/>
      <c r="N492" s="1012"/>
      <c r="O492" s="1012"/>
      <c r="P492" s="1012"/>
      <c r="Q492" s="1012"/>
      <c r="R492" s="1012"/>
      <c r="S492" s="1012"/>
      <c r="T492" s="1012"/>
      <c r="U492" s="1012"/>
      <c r="V492" s="1012"/>
      <c r="W492" s="1012"/>
      <c r="X492" s="1012"/>
      <c r="Y492" s="1012"/>
      <c r="Z492" s="1012"/>
    </row>
    <row r="493" ht="15.75" customHeight="1">
      <c r="A493" s="1012"/>
      <c r="B493" s="1012"/>
      <c r="C493" s="1012"/>
      <c r="D493" s="1012"/>
      <c r="E493" s="1012"/>
      <c r="F493" s="1012"/>
      <c r="G493" s="1012"/>
      <c r="H493" s="1012"/>
      <c r="I493" s="1012"/>
      <c r="J493" s="1012"/>
      <c r="K493" s="1012"/>
      <c r="L493" s="1012"/>
      <c r="M493" s="1012"/>
      <c r="N493" s="1012"/>
      <c r="O493" s="1012"/>
      <c r="P493" s="1012"/>
      <c r="Q493" s="1012"/>
      <c r="R493" s="1012"/>
      <c r="S493" s="1012"/>
      <c r="T493" s="1012"/>
      <c r="U493" s="1012"/>
      <c r="V493" s="1012"/>
      <c r="W493" s="1012"/>
      <c r="X493" s="1012"/>
      <c r="Y493" s="1012"/>
      <c r="Z493" s="1012"/>
    </row>
    <row r="494" ht="15.75" customHeight="1">
      <c r="A494" s="1012"/>
      <c r="B494" s="1012"/>
      <c r="C494" s="1012"/>
      <c r="D494" s="1012"/>
      <c r="E494" s="1012"/>
      <c r="F494" s="1012"/>
      <c r="G494" s="1012"/>
      <c r="H494" s="1012"/>
      <c r="I494" s="1012"/>
      <c r="J494" s="1012"/>
      <c r="K494" s="1012"/>
      <c r="L494" s="1012"/>
      <c r="M494" s="1012"/>
      <c r="N494" s="1012"/>
      <c r="O494" s="1012"/>
      <c r="P494" s="1012"/>
      <c r="Q494" s="1012"/>
      <c r="R494" s="1012"/>
      <c r="S494" s="1012"/>
      <c r="T494" s="1012"/>
      <c r="U494" s="1012"/>
      <c r="V494" s="1012"/>
      <c r="W494" s="1012"/>
      <c r="X494" s="1012"/>
      <c r="Y494" s="1012"/>
      <c r="Z494" s="1012"/>
    </row>
    <row r="495" ht="15.75" customHeight="1">
      <c r="A495" s="1012"/>
      <c r="B495" s="1012"/>
      <c r="C495" s="1012"/>
      <c r="D495" s="1012"/>
      <c r="E495" s="1012"/>
      <c r="F495" s="1012"/>
      <c r="G495" s="1012"/>
      <c r="H495" s="1012"/>
      <c r="I495" s="1012"/>
      <c r="J495" s="1012"/>
      <c r="K495" s="1012"/>
      <c r="L495" s="1012"/>
      <c r="M495" s="1012"/>
      <c r="N495" s="1012"/>
      <c r="O495" s="1012"/>
      <c r="P495" s="1012"/>
      <c r="Q495" s="1012"/>
      <c r="R495" s="1012"/>
      <c r="S495" s="1012"/>
      <c r="T495" s="1012"/>
      <c r="U495" s="1012"/>
      <c r="V495" s="1012"/>
      <c r="W495" s="1012"/>
      <c r="X495" s="1012"/>
      <c r="Y495" s="1012"/>
      <c r="Z495" s="1012"/>
    </row>
    <row r="496" ht="15.75" customHeight="1">
      <c r="A496" s="1012"/>
      <c r="B496" s="1012"/>
      <c r="C496" s="1012"/>
      <c r="D496" s="1012"/>
      <c r="E496" s="1012"/>
      <c r="F496" s="1012"/>
      <c r="G496" s="1012"/>
      <c r="H496" s="1012"/>
      <c r="I496" s="1012"/>
      <c r="J496" s="1012"/>
      <c r="K496" s="1012"/>
      <c r="L496" s="1012"/>
      <c r="M496" s="1012"/>
      <c r="N496" s="1012"/>
      <c r="O496" s="1012"/>
      <c r="P496" s="1012"/>
      <c r="Q496" s="1012"/>
      <c r="R496" s="1012"/>
      <c r="S496" s="1012"/>
      <c r="T496" s="1012"/>
      <c r="U496" s="1012"/>
      <c r="V496" s="1012"/>
      <c r="W496" s="1012"/>
      <c r="X496" s="1012"/>
      <c r="Y496" s="1012"/>
      <c r="Z496" s="1012"/>
    </row>
    <row r="497" ht="15.75" customHeight="1">
      <c r="A497" s="1012"/>
      <c r="B497" s="1012"/>
      <c r="C497" s="1012"/>
      <c r="D497" s="1012"/>
      <c r="E497" s="1012"/>
      <c r="F497" s="1012"/>
      <c r="G497" s="1012"/>
      <c r="H497" s="1012"/>
      <c r="I497" s="1012"/>
      <c r="J497" s="1012"/>
      <c r="K497" s="1012"/>
      <c r="L497" s="1012"/>
      <c r="M497" s="1012"/>
      <c r="N497" s="1012"/>
      <c r="O497" s="1012"/>
      <c r="P497" s="1012"/>
      <c r="Q497" s="1012"/>
      <c r="R497" s="1012"/>
      <c r="S497" s="1012"/>
      <c r="T497" s="1012"/>
      <c r="U497" s="1012"/>
      <c r="V497" s="1012"/>
      <c r="W497" s="1012"/>
      <c r="X497" s="1012"/>
      <c r="Y497" s="1012"/>
      <c r="Z497" s="1012"/>
    </row>
    <row r="498" ht="15.75" customHeight="1">
      <c r="A498" s="1012"/>
      <c r="B498" s="1012"/>
      <c r="C498" s="1012"/>
      <c r="D498" s="1012"/>
      <c r="E498" s="1012"/>
      <c r="F498" s="1012"/>
      <c r="G498" s="1012"/>
      <c r="H498" s="1012"/>
      <c r="I498" s="1012"/>
      <c r="J498" s="1012"/>
      <c r="K498" s="1012"/>
      <c r="L498" s="1012"/>
      <c r="M498" s="1012"/>
      <c r="N498" s="1012"/>
      <c r="O498" s="1012"/>
      <c r="P498" s="1012"/>
      <c r="Q498" s="1012"/>
      <c r="R498" s="1012"/>
      <c r="S498" s="1012"/>
      <c r="T498" s="1012"/>
      <c r="U498" s="1012"/>
      <c r="V498" s="1012"/>
      <c r="W498" s="1012"/>
      <c r="X498" s="1012"/>
      <c r="Y498" s="1012"/>
      <c r="Z498" s="1012"/>
    </row>
    <row r="499" ht="15.75" customHeight="1">
      <c r="A499" s="1012"/>
      <c r="B499" s="1012"/>
      <c r="C499" s="1012"/>
      <c r="D499" s="1012"/>
      <c r="E499" s="1012"/>
      <c r="F499" s="1012"/>
      <c r="G499" s="1012"/>
      <c r="H499" s="1012"/>
      <c r="I499" s="1012"/>
      <c r="J499" s="1012"/>
      <c r="K499" s="1012"/>
      <c r="L499" s="1012"/>
      <c r="M499" s="1012"/>
      <c r="N499" s="1012"/>
      <c r="O499" s="1012"/>
      <c r="P499" s="1012"/>
      <c r="Q499" s="1012"/>
      <c r="R499" s="1012"/>
      <c r="S499" s="1012"/>
      <c r="T499" s="1012"/>
      <c r="U499" s="1012"/>
      <c r="V499" s="1012"/>
      <c r="W499" s="1012"/>
      <c r="X499" s="1012"/>
      <c r="Y499" s="1012"/>
      <c r="Z499" s="1012"/>
    </row>
    <row r="500" ht="15.75" customHeight="1">
      <c r="A500" s="1012"/>
      <c r="B500" s="1012"/>
      <c r="C500" s="1012"/>
      <c r="D500" s="1012"/>
      <c r="E500" s="1012"/>
      <c r="F500" s="1012"/>
      <c r="G500" s="1012"/>
      <c r="H500" s="1012"/>
      <c r="I500" s="1012"/>
      <c r="J500" s="1012"/>
      <c r="K500" s="1012"/>
      <c r="L500" s="1012"/>
      <c r="M500" s="1012"/>
      <c r="N500" s="1012"/>
      <c r="O500" s="1012"/>
      <c r="P500" s="1012"/>
      <c r="Q500" s="1012"/>
      <c r="R500" s="1012"/>
      <c r="S500" s="1012"/>
      <c r="T500" s="1012"/>
      <c r="U500" s="1012"/>
      <c r="V500" s="1012"/>
      <c r="W500" s="1012"/>
      <c r="X500" s="1012"/>
      <c r="Y500" s="1012"/>
      <c r="Z500" s="1012"/>
    </row>
    <row r="501" ht="15.75" customHeight="1">
      <c r="A501" s="1012"/>
      <c r="B501" s="1012"/>
      <c r="C501" s="1012"/>
      <c r="D501" s="1012"/>
      <c r="E501" s="1012"/>
      <c r="F501" s="1012"/>
      <c r="G501" s="1012"/>
      <c r="H501" s="1012"/>
      <c r="I501" s="1012"/>
      <c r="J501" s="1012"/>
      <c r="K501" s="1012"/>
      <c r="L501" s="1012"/>
      <c r="M501" s="1012"/>
      <c r="N501" s="1012"/>
      <c r="O501" s="1012"/>
      <c r="P501" s="1012"/>
      <c r="Q501" s="1012"/>
      <c r="R501" s="1012"/>
      <c r="S501" s="1012"/>
      <c r="T501" s="1012"/>
      <c r="U501" s="1012"/>
      <c r="V501" s="1012"/>
      <c r="W501" s="1012"/>
      <c r="X501" s="1012"/>
      <c r="Y501" s="1012"/>
      <c r="Z501" s="1012"/>
    </row>
    <row r="502" ht="15.75" customHeight="1">
      <c r="A502" s="1012"/>
      <c r="B502" s="1012"/>
      <c r="C502" s="1012"/>
      <c r="D502" s="1012"/>
      <c r="E502" s="1012"/>
      <c r="F502" s="1012"/>
      <c r="G502" s="1012"/>
      <c r="H502" s="1012"/>
      <c r="I502" s="1012"/>
      <c r="J502" s="1012"/>
      <c r="K502" s="1012"/>
      <c r="L502" s="1012"/>
      <c r="M502" s="1012"/>
      <c r="N502" s="1012"/>
      <c r="O502" s="1012"/>
      <c r="P502" s="1012"/>
      <c r="Q502" s="1012"/>
      <c r="R502" s="1012"/>
      <c r="S502" s="1012"/>
      <c r="T502" s="1012"/>
      <c r="U502" s="1012"/>
      <c r="V502" s="1012"/>
      <c r="W502" s="1012"/>
      <c r="X502" s="1012"/>
      <c r="Y502" s="1012"/>
      <c r="Z502" s="1012"/>
    </row>
    <row r="503" ht="15.75" customHeight="1">
      <c r="A503" s="1012"/>
      <c r="B503" s="1012"/>
      <c r="C503" s="1012"/>
      <c r="D503" s="1012"/>
      <c r="E503" s="1012"/>
      <c r="F503" s="1012"/>
      <c r="G503" s="1012"/>
      <c r="H503" s="1012"/>
      <c r="I503" s="1012"/>
      <c r="J503" s="1012"/>
      <c r="K503" s="1012"/>
      <c r="L503" s="1012"/>
      <c r="M503" s="1012"/>
      <c r="N503" s="1012"/>
      <c r="O503" s="1012"/>
      <c r="P503" s="1012"/>
      <c r="Q503" s="1012"/>
      <c r="R503" s="1012"/>
      <c r="S503" s="1012"/>
      <c r="T503" s="1012"/>
      <c r="U503" s="1012"/>
      <c r="V503" s="1012"/>
      <c r="W503" s="1012"/>
      <c r="X503" s="1012"/>
      <c r="Y503" s="1012"/>
      <c r="Z503" s="1012"/>
    </row>
    <row r="504" ht="15.75" customHeight="1">
      <c r="A504" s="1012"/>
      <c r="B504" s="1012"/>
      <c r="C504" s="1012"/>
      <c r="D504" s="1012"/>
      <c r="E504" s="1012"/>
      <c r="F504" s="1012"/>
      <c r="G504" s="1012"/>
      <c r="H504" s="1012"/>
      <c r="I504" s="1012"/>
      <c r="J504" s="1012"/>
      <c r="K504" s="1012"/>
      <c r="L504" s="1012"/>
      <c r="M504" s="1012"/>
      <c r="N504" s="1012"/>
      <c r="O504" s="1012"/>
      <c r="P504" s="1012"/>
      <c r="Q504" s="1012"/>
      <c r="R504" s="1012"/>
      <c r="S504" s="1012"/>
      <c r="T504" s="1012"/>
      <c r="U504" s="1012"/>
      <c r="V504" s="1012"/>
      <c r="W504" s="1012"/>
      <c r="X504" s="1012"/>
      <c r="Y504" s="1012"/>
      <c r="Z504" s="1012"/>
    </row>
    <row r="505" ht="15.75" customHeight="1">
      <c r="A505" s="1012"/>
      <c r="B505" s="1012"/>
      <c r="C505" s="1012"/>
      <c r="D505" s="1012"/>
      <c r="E505" s="1012"/>
      <c r="F505" s="1012"/>
      <c r="G505" s="1012"/>
      <c r="H505" s="1012"/>
      <c r="I505" s="1012"/>
      <c r="J505" s="1012"/>
      <c r="K505" s="1012"/>
      <c r="L505" s="1012"/>
      <c r="M505" s="1012"/>
      <c r="N505" s="1012"/>
      <c r="O505" s="1012"/>
      <c r="P505" s="1012"/>
      <c r="Q505" s="1012"/>
      <c r="R505" s="1012"/>
      <c r="S505" s="1012"/>
      <c r="T505" s="1012"/>
      <c r="U505" s="1012"/>
      <c r="V505" s="1012"/>
      <c r="W505" s="1012"/>
      <c r="X505" s="1012"/>
      <c r="Y505" s="1012"/>
      <c r="Z505" s="1012"/>
    </row>
    <row r="506" ht="15.75" customHeight="1">
      <c r="A506" s="1012"/>
      <c r="B506" s="1012"/>
      <c r="C506" s="1012"/>
      <c r="D506" s="1012"/>
      <c r="E506" s="1012"/>
      <c r="F506" s="1012"/>
      <c r="G506" s="1012"/>
      <c r="H506" s="1012"/>
      <c r="I506" s="1012"/>
      <c r="J506" s="1012"/>
      <c r="K506" s="1012"/>
      <c r="L506" s="1012"/>
      <c r="M506" s="1012"/>
      <c r="N506" s="1012"/>
      <c r="O506" s="1012"/>
      <c r="P506" s="1012"/>
      <c r="Q506" s="1012"/>
      <c r="R506" s="1012"/>
      <c r="S506" s="1012"/>
      <c r="T506" s="1012"/>
      <c r="U506" s="1012"/>
      <c r="V506" s="1012"/>
      <c r="W506" s="1012"/>
      <c r="X506" s="1012"/>
      <c r="Y506" s="1012"/>
      <c r="Z506" s="1012"/>
    </row>
    <row r="507" ht="15.75" customHeight="1">
      <c r="A507" s="1012"/>
      <c r="B507" s="1012"/>
      <c r="C507" s="1012"/>
      <c r="D507" s="1012"/>
      <c r="E507" s="1012"/>
      <c r="F507" s="1012"/>
      <c r="G507" s="1012"/>
      <c r="H507" s="1012"/>
      <c r="I507" s="1012"/>
      <c r="J507" s="1012"/>
      <c r="K507" s="1012"/>
      <c r="L507" s="1012"/>
      <c r="M507" s="1012"/>
      <c r="N507" s="1012"/>
      <c r="O507" s="1012"/>
      <c r="P507" s="1012"/>
      <c r="Q507" s="1012"/>
      <c r="R507" s="1012"/>
      <c r="S507" s="1012"/>
      <c r="T507" s="1012"/>
      <c r="U507" s="1012"/>
      <c r="V507" s="1012"/>
      <c r="W507" s="1012"/>
      <c r="X507" s="1012"/>
      <c r="Y507" s="1012"/>
      <c r="Z507" s="1012"/>
    </row>
    <row r="508" ht="15.75" customHeight="1">
      <c r="A508" s="1012"/>
      <c r="B508" s="1012"/>
      <c r="C508" s="1012"/>
      <c r="D508" s="1012"/>
      <c r="E508" s="1012"/>
      <c r="F508" s="1012"/>
      <c r="G508" s="1012"/>
      <c r="H508" s="1012"/>
      <c r="I508" s="1012"/>
      <c r="J508" s="1012"/>
      <c r="K508" s="1012"/>
      <c r="L508" s="1012"/>
      <c r="M508" s="1012"/>
      <c r="N508" s="1012"/>
      <c r="O508" s="1012"/>
      <c r="P508" s="1012"/>
      <c r="Q508" s="1012"/>
      <c r="R508" s="1012"/>
      <c r="S508" s="1012"/>
      <c r="T508" s="1012"/>
      <c r="U508" s="1012"/>
      <c r="V508" s="1012"/>
      <c r="W508" s="1012"/>
      <c r="X508" s="1012"/>
      <c r="Y508" s="1012"/>
      <c r="Z508" s="1012"/>
    </row>
    <row r="509" ht="15.75" customHeight="1">
      <c r="A509" s="1012"/>
      <c r="B509" s="1012"/>
      <c r="C509" s="1012"/>
      <c r="D509" s="1012"/>
      <c r="E509" s="1012"/>
      <c r="F509" s="1012"/>
      <c r="G509" s="1012"/>
      <c r="H509" s="1012"/>
      <c r="I509" s="1012"/>
      <c r="J509" s="1012"/>
      <c r="K509" s="1012"/>
      <c r="L509" s="1012"/>
      <c r="M509" s="1012"/>
      <c r="N509" s="1012"/>
      <c r="O509" s="1012"/>
      <c r="P509" s="1012"/>
      <c r="Q509" s="1012"/>
      <c r="R509" s="1012"/>
      <c r="S509" s="1012"/>
      <c r="T509" s="1012"/>
      <c r="U509" s="1012"/>
      <c r="V509" s="1012"/>
      <c r="W509" s="1012"/>
      <c r="X509" s="1012"/>
      <c r="Y509" s="1012"/>
      <c r="Z509" s="1012"/>
    </row>
    <row r="510" ht="15.75" customHeight="1">
      <c r="A510" s="1012"/>
      <c r="B510" s="1012"/>
      <c r="C510" s="1012"/>
      <c r="D510" s="1012"/>
      <c r="E510" s="1012"/>
      <c r="F510" s="1012"/>
      <c r="G510" s="1012"/>
      <c r="H510" s="1012"/>
      <c r="I510" s="1012"/>
      <c r="J510" s="1012"/>
      <c r="K510" s="1012"/>
      <c r="L510" s="1012"/>
      <c r="M510" s="1012"/>
      <c r="N510" s="1012"/>
      <c r="O510" s="1012"/>
      <c r="P510" s="1012"/>
      <c r="Q510" s="1012"/>
      <c r="R510" s="1012"/>
      <c r="S510" s="1012"/>
      <c r="T510" s="1012"/>
      <c r="U510" s="1012"/>
      <c r="V510" s="1012"/>
      <c r="W510" s="1012"/>
      <c r="X510" s="1012"/>
      <c r="Y510" s="1012"/>
      <c r="Z510" s="1012"/>
    </row>
    <row r="511" ht="15.75" customHeight="1">
      <c r="A511" s="1012"/>
      <c r="B511" s="1012"/>
      <c r="C511" s="1012"/>
      <c r="D511" s="1012"/>
      <c r="E511" s="1012"/>
      <c r="F511" s="1012"/>
      <c r="G511" s="1012"/>
      <c r="H511" s="1012"/>
      <c r="I511" s="1012"/>
      <c r="J511" s="1012"/>
      <c r="K511" s="1012"/>
      <c r="L511" s="1012"/>
      <c r="M511" s="1012"/>
      <c r="N511" s="1012"/>
      <c r="O511" s="1012"/>
      <c r="P511" s="1012"/>
      <c r="Q511" s="1012"/>
      <c r="R511" s="1012"/>
      <c r="S511" s="1012"/>
      <c r="T511" s="1012"/>
      <c r="U511" s="1012"/>
      <c r="V511" s="1012"/>
      <c r="W511" s="1012"/>
      <c r="X511" s="1012"/>
      <c r="Y511" s="1012"/>
      <c r="Z511" s="1012"/>
    </row>
    <row r="512" ht="15.75" customHeight="1">
      <c r="A512" s="1012"/>
      <c r="B512" s="1012"/>
      <c r="C512" s="1012"/>
      <c r="D512" s="1012"/>
      <c r="E512" s="1012"/>
      <c r="F512" s="1012"/>
      <c r="G512" s="1012"/>
      <c r="H512" s="1012"/>
      <c r="I512" s="1012"/>
      <c r="J512" s="1012"/>
      <c r="K512" s="1012"/>
      <c r="L512" s="1012"/>
      <c r="M512" s="1012"/>
      <c r="N512" s="1012"/>
      <c r="O512" s="1012"/>
      <c r="P512" s="1012"/>
      <c r="Q512" s="1012"/>
      <c r="R512" s="1012"/>
      <c r="S512" s="1012"/>
      <c r="T512" s="1012"/>
      <c r="U512" s="1012"/>
      <c r="V512" s="1012"/>
      <c r="W512" s="1012"/>
      <c r="X512" s="1012"/>
      <c r="Y512" s="1012"/>
      <c r="Z512" s="1012"/>
    </row>
    <row r="513" ht="15.75" customHeight="1">
      <c r="A513" s="1012"/>
      <c r="B513" s="1012"/>
      <c r="C513" s="1012"/>
      <c r="D513" s="1012"/>
      <c r="E513" s="1012"/>
      <c r="F513" s="1012"/>
      <c r="G513" s="1012"/>
      <c r="H513" s="1012"/>
      <c r="I513" s="1012"/>
      <c r="J513" s="1012"/>
      <c r="K513" s="1012"/>
      <c r="L513" s="1012"/>
      <c r="M513" s="1012"/>
      <c r="N513" s="1012"/>
      <c r="O513" s="1012"/>
      <c r="P513" s="1012"/>
      <c r="Q513" s="1012"/>
      <c r="R513" s="1012"/>
      <c r="S513" s="1012"/>
      <c r="T513" s="1012"/>
      <c r="U513" s="1012"/>
      <c r="V513" s="1012"/>
      <c r="W513" s="1012"/>
      <c r="X513" s="1012"/>
      <c r="Y513" s="1012"/>
      <c r="Z513" s="1012"/>
    </row>
    <row r="514" ht="15.75" customHeight="1">
      <c r="A514" s="1012"/>
      <c r="B514" s="1012"/>
      <c r="C514" s="1012"/>
      <c r="D514" s="1012"/>
      <c r="E514" s="1012"/>
      <c r="F514" s="1012"/>
      <c r="G514" s="1012"/>
      <c r="H514" s="1012"/>
      <c r="I514" s="1012"/>
      <c r="J514" s="1012"/>
      <c r="K514" s="1012"/>
      <c r="L514" s="1012"/>
      <c r="M514" s="1012"/>
      <c r="N514" s="1012"/>
      <c r="O514" s="1012"/>
      <c r="P514" s="1012"/>
      <c r="Q514" s="1012"/>
      <c r="R514" s="1012"/>
      <c r="S514" s="1012"/>
      <c r="T514" s="1012"/>
      <c r="U514" s="1012"/>
      <c r="V514" s="1012"/>
      <c r="W514" s="1012"/>
      <c r="X514" s="1012"/>
      <c r="Y514" s="1012"/>
      <c r="Z514" s="1012"/>
    </row>
    <row r="515" ht="15.75" customHeight="1">
      <c r="A515" s="1012"/>
      <c r="B515" s="1012"/>
      <c r="C515" s="1012"/>
      <c r="D515" s="1012"/>
      <c r="E515" s="1012"/>
      <c r="F515" s="1012"/>
      <c r="G515" s="1012"/>
      <c r="H515" s="1012"/>
      <c r="I515" s="1012"/>
      <c r="J515" s="1012"/>
      <c r="K515" s="1012"/>
      <c r="L515" s="1012"/>
      <c r="M515" s="1012"/>
      <c r="N515" s="1012"/>
      <c r="O515" s="1012"/>
      <c r="P515" s="1012"/>
      <c r="Q515" s="1012"/>
      <c r="R515" s="1012"/>
      <c r="S515" s="1012"/>
      <c r="T515" s="1012"/>
      <c r="U515" s="1012"/>
      <c r="V515" s="1012"/>
      <c r="W515" s="1012"/>
      <c r="X515" s="1012"/>
      <c r="Y515" s="1012"/>
      <c r="Z515" s="1012"/>
    </row>
    <row r="516" ht="15.75" customHeight="1">
      <c r="A516" s="1012"/>
      <c r="B516" s="1012"/>
      <c r="C516" s="1012"/>
      <c r="D516" s="1012"/>
      <c r="E516" s="1012"/>
      <c r="F516" s="1012"/>
      <c r="G516" s="1012"/>
      <c r="H516" s="1012"/>
      <c r="I516" s="1012"/>
      <c r="J516" s="1012"/>
      <c r="K516" s="1012"/>
      <c r="L516" s="1012"/>
      <c r="M516" s="1012"/>
      <c r="N516" s="1012"/>
      <c r="O516" s="1012"/>
      <c r="P516" s="1012"/>
      <c r="Q516" s="1012"/>
      <c r="R516" s="1012"/>
      <c r="S516" s="1012"/>
      <c r="T516" s="1012"/>
      <c r="U516" s="1012"/>
      <c r="V516" s="1012"/>
      <c r="W516" s="1012"/>
      <c r="X516" s="1012"/>
      <c r="Y516" s="1012"/>
      <c r="Z516" s="1012"/>
    </row>
    <row r="517" ht="15.75" customHeight="1">
      <c r="A517" s="1012"/>
      <c r="B517" s="1012"/>
      <c r="C517" s="1012"/>
      <c r="D517" s="1012"/>
      <c r="E517" s="1012"/>
      <c r="F517" s="1012"/>
      <c r="G517" s="1012"/>
      <c r="H517" s="1012"/>
      <c r="I517" s="1012"/>
      <c r="J517" s="1012"/>
      <c r="K517" s="1012"/>
      <c r="L517" s="1012"/>
      <c r="M517" s="1012"/>
      <c r="N517" s="1012"/>
      <c r="O517" s="1012"/>
      <c r="P517" s="1012"/>
      <c r="Q517" s="1012"/>
      <c r="R517" s="1012"/>
      <c r="S517" s="1012"/>
      <c r="T517" s="1012"/>
      <c r="U517" s="1012"/>
      <c r="V517" s="1012"/>
      <c r="W517" s="1012"/>
      <c r="X517" s="1012"/>
      <c r="Y517" s="1012"/>
      <c r="Z517" s="1012"/>
    </row>
    <row r="518" ht="15.75" customHeight="1">
      <c r="A518" s="1012"/>
      <c r="B518" s="1012"/>
      <c r="C518" s="1012"/>
      <c r="D518" s="1012"/>
      <c r="E518" s="1012"/>
      <c r="F518" s="1012"/>
      <c r="G518" s="1012"/>
      <c r="H518" s="1012"/>
      <c r="I518" s="1012"/>
      <c r="J518" s="1012"/>
      <c r="K518" s="1012"/>
      <c r="L518" s="1012"/>
      <c r="M518" s="1012"/>
      <c r="N518" s="1012"/>
      <c r="O518" s="1012"/>
      <c r="P518" s="1012"/>
      <c r="Q518" s="1012"/>
      <c r="R518" s="1012"/>
      <c r="S518" s="1012"/>
      <c r="T518" s="1012"/>
      <c r="U518" s="1012"/>
      <c r="V518" s="1012"/>
      <c r="W518" s="1012"/>
      <c r="X518" s="1012"/>
      <c r="Y518" s="1012"/>
      <c r="Z518" s="1012"/>
    </row>
    <row r="519" ht="15.75" customHeight="1">
      <c r="A519" s="1012"/>
      <c r="B519" s="1012"/>
      <c r="C519" s="1012"/>
      <c r="D519" s="1012"/>
      <c r="E519" s="1012"/>
      <c r="F519" s="1012"/>
      <c r="G519" s="1012"/>
      <c r="H519" s="1012"/>
      <c r="I519" s="1012"/>
      <c r="J519" s="1012"/>
      <c r="K519" s="1012"/>
      <c r="L519" s="1012"/>
      <c r="M519" s="1012"/>
      <c r="N519" s="1012"/>
      <c r="O519" s="1012"/>
      <c r="P519" s="1012"/>
      <c r="Q519" s="1012"/>
      <c r="R519" s="1012"/>
      <c r="S519" s="1012"/>
      <c r="T519" s="1012"/>
      <c r="U519" s="1012"/>
      <c r="V519" s="1012"/>
      <c r="W519" s="1012"/>
      <c r="X519" s="1012"/>
      <c r="Y519" s="1012"/>
      <c r="Z519" s="1012"/>
    </row>
    <row r="520" ht="15.75" customHeight="1">
      <c r="A520" s="1012"/>
      <c r="B520" s="1012"/>
      <c r="C520" s="1012"/>
      <c r="D520" s="1012"/>
      <c r="E520" s="1012"/>
      <c r="F520" s="1012"/>
      <c r="G520" s="1012"/>
      <c r="H520" s="1012"/>
      <c r="I520" s="1012"/>
      <c r="J520" s="1012"/>
      <c r="K520" s="1012"/>
      <c r="L520" s="1012"/>
      <c r="M520" s="1012"/>
      <c r="N520" s="1012"/>
      <c r="O520" s="1012"/>
      <c r="P520" s="1012"/>
      <c r="Q520" s="1012"/>
      <c r="R520" s="1012"/>
      <c r="S520" s="1012"/>
      <c r="T520" s="1012"/>
      <c r="U520" s="1012"/>
      <c r="V520" s="1012"/>
      <c r="W520" s="1012"/>
      <c r="X520" s="1012"/>
      <c r="Y520" s="1012"/>
      <c r="Z520" s="1012"/>
    </row>
    <row r="521" ht="15.75" customHeight="1">
      <c r="A521" s="1012"/>
      <c r="B521" s="1012"/>
      <c r="C521" s="1012"/>
      <c r="D521" s="1012"/>
      <c r="E521" s="1012"/>
      <c r="F521" s="1012"/>
      <c r="G521" s="1012"/>
      <c r="H521" s="1012"/>
      <c r="I521" s="1012"/>
      <c r="J521" s="1012"/>
      <c r="K521" s="1012"/>
      <c r="L521" s="1012"/>
      <c r="M521" s="1012"/>
      <c r="N521" s="1012"/>
      <c r="O521" s="1012"/>
      <c r="P521" s="1012"/>
      <c r="Q521" s="1012"/>
      <c r="R521" s="1012"/>
      <c r="S521" s="1012"/>
      <c r="T521" s="1012"/>
      <c r="U521" s="1012"/>
      <c r="V521" s="1012"/>
      <c r="W521" s="1012"/>
      <c r="X521" s="1012"/>
      <c r="Y521" s="1012"/>
      <c r="Z521" s="1012"/>
    </row>
    <row r="522" ht="15.75" customHeight="1">
      <c r="A522" s="1012"/>
      <c r="B522" s="1012"/>
      <c r="C522" s="1012"/>
      <c r="D522" s="1012"/>
      <c r="E522" s="1012"/>
      <c r="F522" s="1012"/>
      <c r="G522" s="1012"/>
      <c r="H522" s="1012"/>
      <c r="I522" s="1012"/>
      <c r="J522" s="1012"/>
      <c r="K522" s="1012"/>
      <c r="L522" s="1012"/>
      <c r="M522" s="1012"/>
      <c r="N522" s="1012"/>
      <c r="O522" s="1012"/>
      <c r="P522" s="1012"/>
      <c r="Q522" s="1012"/>
      <c r="R522" s="1012"/>
      <c r="S522" s="1012"/>
      <c r="T522" s="1012"/>
      <c r="U522" s="1012"/>
      <c r="V522" s="1012"/>
      <c r="W522" s="1012"/>
      <c r="X522" s="1012"/>
      <c r="Y522" s="1012"/>
      <c r="Z522" s="1012"/>
    </row>
    <row r="523" ht="15.75" customHeight="1">
      <c r="A523" s="1012"/>
      <c r="B523" s="1012"/>
      <c r="C523" s="1012"/>
      <c r="D523" s="1012"/>
      <c r="E523" s="1012"/>
      <c r="F523" s="1012"/>
      <c r="G523" s="1012"/>
      <c r="H523" s="1012"/>
      <c r="I523" s="1012"/>
      <c r="J523" s="1012"/>
      <c r="K523" s="1012"/>
      <c r="L523" s="1012"/>
      <c r="M523" s="1012"/>
      <c r="N523" s="1012"/>
      <c r="O523" s="1012"/>
      <c r="P523" s="1012"/>
      <c r="Q523" s="1012"/>
      <c r="R523" s="1012"/>
      <c r="S523" s="1012"/>
      <c r="T523" s="1012"/>
      <c r="U523" s="1012"/>
      <c r="V523" s="1012"/>
      <c r="W523" s="1012"/>
      <c r="X523" s="1012"/>
      <c r="Y523" s="1012"/>
      <c r="Z523" s="1012"/>
    </row>
    <row r="524" ht="15.75" customHeight="1">
      <c r="A524" s="1012"/>
      <c r="B524" s="1012"/>
      <c r="C524" s="1012"/>
      <c r="D524" s="1012"/>
      <c r="E524" s="1012"/>
      <c r="F524" s="1012"/>
      <c r="G524" s="1012"/>
      <c r="H524" s="1012"/>
      <c r="I524" s="1012"/>
      <c r="J524" s="1012"/>
      <c r="K524" s="1012"/>
      <c r="L524" s="1012"/>
      <c r="M524" s="1012"/>
      <c r="N524" s="1012"/>
      <c r="O524" s="1012"/>
      <c r="P524" s="1012"/>
      <c r="Q524" s="1012"/>
      <c r="R524" s="1012"/>
      <c r="S524" s="1012"/>
      <c r="T524" s="1012"/>
      <c r="U524" s="1012"/>
      <c r="V524" s="1012"/>
      <c r="W524" s="1012"/>
      <c r="X524" s="1012"/>
      <c r="Y524" s="1012"/>
      <c r="Z524" s="1012"/>
    </row>
    <row r="525" ht="15.75" customHeight="1">
      <c r="A525" s="1012"/>
      <c r="B525" s="1012"/>
      <c r="C525" s="1012"/>
      <c r="D525" s="1012"/>
      <c r="E525" s="1012"/>
      <c r="F525" s="1012"/>
      <c r="G525" s="1012"/>
      <c r="H525" s="1012"/>
      <c r="I525" s="1012"/>
      <c r="J525" s="1012"/>
      <c r="K525" s="1012"/>
      <c r="L525" s="1012"/>
      <c r="M525" s="1012"/>
      <c r="N525" s="1012"/>
      <c r="O525" s="1012"/>
      <c r="P525" s="1012"/>
      <c r="Q525" s="1012"/>
      <c r="R525" s="1012"/>
      <c r="S525" s="1012"/>
      <c r="T525" s="1012"/>
      <c r="U525" s="1012"/>
      <c r="V525" s="1012"/>
      <c r="W525" s="1012"/>
      <c r="X525" s="1012"/>
      <c r="Y525" s="1012"/>
      <c r="Z525" s="1012"/>
    </row>
    <row r="526" ht="15.75" customHeight="1">
      <c r="A526" s="1012"/>
      <c r="B526" s="1012"/>
      <c r="C526" s="1012"/>
      <c r="D526" s="1012"/>
      <c r="E526" s="1012"/>
      <c r="F526" s="1012"/>
      <c r="G526" s="1012"/>
      <c r="H526" s="1012"/>
      <c r="I526" s="1012"/>
      <c r="J526" s="1012"/>
      <c r="K526" s="1012"/>
      <c r="L526" s="1012"/>
      <c r="M526" s="1012"/>
      <c r="N526" s="1012"/>
      <c r="O526" s="1012"/>
      <c r="P526" s="1012"/>
      <c r="Q526" s="1012"/>
      <c r="R526" s="1012"/>
      <c r="S526" s="1012"/>
      <c r="T526" s="1012"/>
      <c r="U526" s="1012"/>
      <c r="V526" s="1012"/>
      <c r="W526" s="1012"/>
      <c r="X526" s="1012"/>
      <c r="Y526" s="1012"/>
      <c r="Z526" s="1012"/>
    </row>
    <row r="527" ht="15.75" customHeight="1">
      <c r="A527" s="1012"/>
      <c r="B527" s="1012"/>
      <c r="C527" s="1012"/>
      <c r="D527" s="1012"/>
      <c r="E527" s="1012"/>
      <c r="F527" s="1012"/>
      <c r="G527" s="1012"/>
      <c r="H527" s="1012"/>
      <c r="I527" s="1012"/>
      <c r="J527" s="1012"/>
      <c r="K527" s="1012"/>
      <c r="L527" s="1012"/>
      <c r="M527" s="1012"/>
      <c r="N527" s="1012"/>
      <c r="O527" s="1012"/>
      <c r="P527" s="1012"/>
      <c r="Q527" s="1012"/>
      <c r="R527" s="1012"/>
      <c r="S527" s="1012"/>
      <c r="T527" s="1012"/>
      <c r="U527" s="1012"/>
      <c r="V527" s="1012"/>
      <c r="W527" s="1012"/>
      <c r="X527" s="1012"/>
      <c r="Y527" s="1012"/>
      <c r="Z527" s="1012"/>
    </row>
    <row r="528" ht="15.75" customHeight="1">
      <c r="A528" s="1012"/>
      <c r="B528" s="1012"/>
      <c r="C528" s="1012"/>
      <c r="D528" s="1012"/>
      <c r="E528" s="1012"/>
      <c r="F528" s="1012"/>
      <c r="G528" s="1012"/>
      <c r="H528" s="1012"/>
      <c r="I528" s="1012"/>
      <c r="J528" s="1012"/>
      <c r="K528" s="1012"/>
      <c r="L528" s="1012"/>
      <c r="M528" s="1012"/>
      <c r="N528" s="1012"/>
      <c r="O528" s="1012"/>
      <c r="P528" s="1012"/>
      <c r="Q528" s="1012"/>
      <c r="R528" s="1012"/>
      <c r="S528" s="1012"/>
      <c r="T528" s="1012"/>
      <c r="U528" s="1012"/>
      <c r="V528" s="1012"/>
      <c r="W528" s="1012"/>
      <c r="X528" s="1012"/>
      <c r="Y528" s="1012"/>
      <c r="Z528" s="1012"/>
    </row>
    <row r="529" ht="15.75" customHeight="1">
      <c r="A529" s="1012"/>
      <c r="B529" s="1012"/>
      <c r="C529" s="1012"/>
      <c r="D529" s="1012"/>
      <c r="E529" s="1012"/>
      <c r="F529" s="1012"/>
      <c r="G529" s="1012"/>
      <c r="H529" s="1012"/>
      <c r="I529" s="1012"/>
      <c r="J529" s="1012"/>
      <c r="K529" s="1012"/>
      <c r="L529" s="1012"/>
      <c r="M529" s="1012"/>
      <c r="N529" s="1012"/>
      <c r="O529" s="1012"/>
      <c r="P529" s="1012"/>
      <c r="Q529" s="1012"/>
      <c r="R529" s="1012"/>
      <c r="S529" s="1012"/>
      <c r="T529" s="1012"/>
      <c r="U529" s="1012"/>
      <c r="V529" s="1012"/>
      <c r="W529" s="1012"/>
      <c r="X529" s="1012"/>
      <c r="Y529" s="1012"/>
      <c r="Z529" s="1012"/>
    </row>
    <row r="530" ht="15.75" customHeight="1">
      <c r="A530" s="1012"/>
      <c r="B530" s="1012"/>
      <c r="C530" s="1012"/>
      <c r="D530" s="1012"/>
      <c r="E530" s="1012"/>
      <c r="F530" s="1012"/>
      <c r="G530" s="1012"/>
      <c r="H530" s="1012"/>
      <c r="I530" s="1012"/>
      <c r="J530" s="1012"/>
      <c r="K530" s="1012"/>
      <c r="L530" s="1012"/>
      <c r="M530" s="1012"/>
      <c r="N530" s="1012"/>
      <c r="O530" s="1012"/>
      <c r="P530" s="1012"/>
      <c r="Q530" s="1012"/>
      <c r="R530" s="1012"/>
      <c r="S530" s="1012"/>
      <c r="T530" s="1012"/>
      <c r="U530" s="1012"/>
      <c r="V530" s="1012"/>
      <c r="W530" s="1012"/>
      <c r="X530" s="1012"/>
      <c r="Y530" s="1012"/>
      <c r="Z530" s="1012"/>
    </row>
    <row r="531" ht="15.75" customHeight="1">
      <c r="A531" s="1012"/>
      <c r="B531" s="1012"/>
      <c r="C531" s="1012"/>
      <c r="D531" s="1012"/>
      <c r="E531" s="1012"/>
      <c r="F531" s="1012"/>
      <c r="G531" s="1012"/>
      <c r="H531" s="1012"/>
      <c r="I531" s="1012"/>
      <c r="J531" s="1012"/>
      <c r="K531" s="1012"/>
      <c r="L531" s="1012"/>
      <c r="M531" s="1012"/>
      <c r="N531" s="1012"/>
      <c r="O531" s="1012"/>
      <c r="P531" s="1012"/>
      <c r="Q531" s="1012"/>
      <c r="R531" s="1012"/>
      <c r="S531" s="1012"/>
      <c r="T531" s="1012"/>
      <c r="U531" s="1012"/>
      <c r="V531" s="1012"/>
      <c r="W531" s="1012"/>
      <c r="X531" s="1012"/>
      <c r="Y531" s="1012"/>
      <c r="Z531" s="1012"/>
    </row>
    <row r="532" ht="15.75" customHeight="1">
      <c r="A532" s="1012"/>
      <c r="B532" s="1012"/>
      <c r="C532" s="1012"/>
      <c r="D532" s="1012"/>
      <c r="E532" s="1012"/>
      <c r="F532" s="1012"/>
      <c r="G532" s="1012"/>
      <c r="H532" s="1012"/>
      <c r="I532" s="1012"/>
      <c r="J532" s="1012"/>
      <c r="K532" s="1012"/>
      <c r="L532" s="1012"/>
      <c r="M532" s="1012"/>
      <c r="N532" s="1012"/>
      <c r="O532" s="1012"/>
      <c r="P532" s="1012"/>
      <c r="Q532" s="1012"/>
      <c r="R532" s="1012"/>
      <c r="S532" s="1012"/>
      <c r="T532" s="1012"/>
      <c r="U532" s="1012"/>
      <c r="V532" s="1012"/>
      <c r="W532" s="1012"/>
      <c r="X532" s="1012"/>
      <c r="Y532" s="1012"/>
      <c r="Z532" s="1012"/>
    </row>
    <row r="533" ht="15.75" customHeight="1">
      <c r="A533" s="1012"/>
      <c r="B533" s="1012"/>
      <c r="C533" s="1012"/>
      <c r="D533" s="1012"/>
      <c r="E533" s="1012"/>
      <c r="F533" s="1012"/>
      <c r="G533" s="1012"/>
      <c r="H533" s="1012"/>
      <c r="I533" s="1012"/>
      <c r="J533" s="1012"/>
      <c r="K533" s="1012"/>
      <c r="L533" s="1012"/>
      <c r="M533" s="1012"/>
      <c r="N533" s="1012"/>
      <c r="O533" s="1012"/>
      <c r="P533" s="1012"/>
      <c r="Q533" s="1012"/>
      <c r="R533" s="1012"/>
      <c r="S533" s="1012"/>
      <c r="T533" s="1012"/>
      <c r="U533" s="1012"/>
      <c r="V533" s="1012"/>
      <c r="W533" s="1012"/>
      <c r="X533" s="1012"/>
      <c r="Y533" s="1012"/>
      <c r="Z533" s="1012"/>
    </row>
    <row r="534" ht="15.75" customHeight="1">
      <c r="A534" s="1012"/>
      <c r="B534" s="1012"/>
      <c r="C534" s="1012"/>
      <c r="D534" s="1012"/>
      <c r="E534" s="1012"/>
      <c r="F534" s="1012"/>
      <c r="G534" s="1012"/>
      <c r="H534" s="1012"/>
      <c r="I534" s="1012"/>
      <c r="J534" s="1012"/>
      <c r="K534" s="1012"/>
      <c r="L534" s="1012"/>
      <c r="M534" s="1012"/>
      <c r="N534" s="1012"/>
      <c r="O534" s="1012"/>
      <c r="P534" s="1012"/>
      <c r="Q534" s="1012"/>
      <c r="R534" s="1012"/>
      <c r="S534" s="1012"/>
      <c r="T534" s="1012"/>
      <c r="U534" s="1012"/>
      <c r="V534" s="1012"/>
      <c r="W534" s="1012"/>
      <c r="X534" s="1012"/>
      <c r="Y534" s="1012"/>
      <c r="Z534" s="1012"/>
    </row>
    <row r="535" ht="15.75" customHeight="1">
      <c r="A535" s="1012"/>
      <c r="B535" s="1012"/>
      <c r="C535" s="1012"/>
      <c r="D535" s="1012"/>
      <c r="E535" s="1012"/>
      <c r="F535" s="1012"/>
      <c r="G535" s="1012"/>
      <c r="H535" s="1012"/>
      <c r="I535" s="1012"/>
      <c r="J535" s="1012"/>
      <c r="K535" s="1012"/>
      <c r="L535" s="1012"/>
      <c r="M535" s="1012"/>
      <c r="N535" s="1012"/>
      <c r="O535" s="1012"/>
      <c r="P535" s="1012"/>
      <c r="Q535" s="1012"/>
      <c r="R535" s="1012"/>
      <c r="S535" s="1012"/>
      <c r="T535" s="1012"/>
      <c r="U535" s="1012"/>
      <c r="V535" s="1012"/>
      <c r="W535" s="1012"/>
      <c r="X535" s="1012"/>
      <c r="Y535" s="1012"/>
      <c r="Z535" s="1012"/>
    </row>
    <row r="536" ht="15.75" customHeight="1">
      <c r="A536" s="1012"/>
      <c r="B536" s="1012"/>
      <c r="C536" s="1012"/>
      <c r="D536" s="1012"/>
      <c r="E536" s="1012"/>
      <c r="F536" s="1012"/>
      <c r="G536" s="1012"/>
      <c r="H536" s="1012"/>
      <c r="I536" s="1012"/>
      <c r="J536" s="1012"/>
      <c r="K536" s="1012"/>
      <c r="L536" s="1012"/>
      <c r="M536" s="1012"/>
      <c r="N536" s="1012"/>
      <c r="O536" s="1012"/>
      <c r="P536" s="1012"/>
      <c r="Q536" s="1012"/>
      <c r="R536" s="1012"/>
      <c r="S536" s="1012"/>
      <c r="T536" s="1012"/>
      <c r="U536" s="1012"/>
      <c r="V536" s="1012"/>
      <c r="W536" s="1012"/>
      <c r="X536" s="1012"/>
      <c r="Y536" s="1012"/>
      <c r="Z536" s="1012"/>
    </row>
    <row r="537" ht="15.75" customHeight="1">
      <c r="A537" s="1012"/>
      <c r="B537" s="1012"/>
      <c r="C537" s="1012"/>
      <c r="D537" s="1012"/>
      <c r="E537" s="1012"/>
      <c r="F537" s="1012"/>
      <c r="G537" s="1012"/>
      <c r="H537" s="1012"/>
      <c r="I537" s="1012"/>
      <c r="J537" s="1012"/>
      <c r="K537" s="1012"/>
      <c r="L537" s="1012"/>
      <c r="M537" s="1012"/>
      <c r="N537" s="1012"/>
      <c r="O537" s="1012"/>
      <c r="P537" s="1012"/>
      <c r="Q537" s="1012"/>
      <c r="R537" s="1012"/>
      <c r="S537" s="1012"/>
      <c r="T537" s="1012"/>
      <c r="U537" s="1012"/>
      <c r="V537" s="1012"/>
      <c r="W537" s="1012"/>
      <c r="X537" s="1012"/>
      <c r="Y537" s="1012"/>
      <c r="Z537" s="1012"/>
    </row>
    <row r="538" ht="15.75" customHeight="1">
      <c r="A538" s="1012"/>
      <c r="B538" s="1012"/>
      <c r="C538" s="1012"/>
      <c r="D538" s="1012"/>
      <c r="E538" s="1012"/>
      <c r="F538" s="1012"/>
      <c r="G538" s="1012"/>
      <c r="H538" s="1012"/>
      <c r="I538" s="1012"/>
      <c r="J538" s="1012"/>
      <c r="K538" s="1012"/>
      <c r="L538" s="1012"/>
      <c r="M538" s="1012"/>
      <c r="N538" s="1012"/>
      <c r="O538" s="1012"/>
      <c r="P538" s="1012"/>
      <c r="Q538" s="1012"/>
      <c r="R538" s="1012"/>
      <c r="S538" s="1012"/>
      <c r="T538" s="1012"/>
      <c r="U538" s="1012"/>
      <c r="V538" s="1012"/>
      <c r="W538" s="1012"/>
      <c r="X538" s="1012"/>
      <c r="Y538" s="1012"/>
      <c r="Z538" s="1012"/>
    </row>
    <row r="539" ht="15.75" customHeight="1">
      <c r="A539" s="1012"/>
      <c r="B539" s="1012"/>
      <c r="C539" s="1012"/>
      <c r="D539" s="1012"/>
      <c r="E539" s="1012"/>
      <c r="F539" s="1012"/>
      <c r="G539" s="1012"/>
      <c r="H539" s="1012"/>
      <c r="I539" s="1012"/>
      <c r="J539" s="1012"/>
      <c r="K539" s="1012"/>
      <c r="L539" s="1012"/>
      <c r="M539" s="1012"/>
      <c r="N539" s="1012"/>
      <c r="O539" s="1012"/>
      <c r="P539" s="1012"/>
      <c r="Q539" s="1012"/>
      <c r="R539" s="1012"/>
      <c r="S539" s="1012"/>
      <c r="T539" s="1012"/>
      <c r="U539" s="1012"/>
      <c r="V539" s="1012"/>
      <c r="W539" s="1012"/>
      <c r="X539" s="1012"/>
      <c r="Y539" s="1012"/>
      <c r="Z539" s="1012"/>
    </row>
    <row r="540" ht="15.75" customHeight="1">
      <c r="A540" s="1012"/>
      <c r="B540" s="1012"/>
      <c r="C540" s="1012"/>
      <c r="D540" s="1012"/>
      <c r="E540" s="1012"/>
      <c r="F540" s="1012"/>
      <c r="G540" s="1012"/>
      <c r="H540" s="1012"/>
      <c r="I540" s="1012"/>
      <c r="J540" s="1012"/>
      <c r="K540" s="1012"/>
      <c r="L540" s="1012"/>
      <c r="M540" s="1012"/>
      <c r="N540" s="1012"/>
      <c r="O540" s="1012"/>
      <c r="P540" s="1012"/>
      <c r="Q540" s="1012"/>
      <c r="R540" s="1012"/>
      <c r="S540" s="1012"/>
      <c r="T540" s="1012"/>
      <c r="U540" s="1012"/>
      <c r="V540" s="1012"/>
      <c r="W540" s="1012"/>
      <c r="X540" s="1012"/>
      <c r="Y540" s="1012"/>
      <c r="Z540" s="1012"/>
    </row>
    <row r="541" ht="15.75" customHeight="1">
      <c r="A541" s="1012"/>
      <c r="B541" s="1012"/>
      <c r="C541" s="1012"/>
      <c r="D541" s="1012"/>
      <c r="E541" s="1012"/>
      <c r="F541" s="1012"/>
      <c r="G541" s="1012"/>
      <c r="H541" s="1012"/>
      <c r="I541" s="1012"/>
      <c r="J541" s="1012"/>
      <c r="K541" s="1012"/>
      <c r="L541" s="1012"/>
      <c r="M541" s="1012"/>
      <c r="N541" s="1012"/>
      <c r="O541" s="1012"/>
      <c r="P541" s="1012"/>
      <c r="Q541" s="1012"/>
      <c r="R541" s="1012"/>
      <c r="S541" s="1012"/>
      <c r="T541" s="1012"/>
      <c r="U541" s="1012"/>
      <c r="V541" s="1012"/>
      <c r="W541" s="1012"/>
      <c r="X541" s="1012"/>
      <c r="Y541" s="1012"/>
      <c r="Z541" s="1012"/>
    </row>
    <row r="542" ht="15.75" customHeight="1">
      <c r="A542" s="1012"/>
      <c r="B542" s="1012"/>
      <c r="C542" s="1012"/>
      <c r="D542" s="1012"/>
      <c r="E542" s="1012"/>
      <c r="F542" s="1012"/>
      <c r="G542" s="1012"/>
      <c r="H542" s="1012"/>
      <c r="I542" s="1012"/>
      <c r="J542" s="1012"/>
      <c r="K542" s="1012"/>
      <c r="L542" s="1012"/>
      <c r="M542" s="1012"/>
      <c r="N542" s="1012"/>
      <c r="O542" s="1012"/>
      <c r="P542" s="1012"/>
      <c r="Q542" s="1012"/>
      <c r="R542" s="1012"/>
      <c r="S542" s="1012"/>
      <c r="T542" s="1012"/>
      <c r="U542" s="1012"/>
      <c r="V542" s="1012"/>
      <c r="W542" s="1012"/>
      <c r="X542" s="1012"/>
      <c r="Y542" s="1012"/>
      <c r="Z542" s="1012"/>
    </row>
    <row r="543" ht="15.75" customHeight="1">
      <c r="A543" s="1012"/>
      <c r="B543" s="1012"/>
      <c r="C543" s="1012"/>
      <c r="D543" s="1012"/>
      <c r="E543" s="1012"/>
      <c r="F543" s="1012"/>
      <c r="G543" s="1012"/>
      <c r="H543" s="1012"/>
      <c r="I543" s="1012"/>
      <c r="J543" s="1012"/>
      <c r="K543" s="1012"/>
      <c r="L543" s="1012"/>
      <c r="M543" s="1012"/>
      <c r="N543" s="1012"/>
      <c r="O543" s="1012"/>
      <c r="P543" s="1012"/>
      <c r="Q543" s="1012"/>
      <c r="R543" s="1012"/>
      <c r="S543" s="1012"/>
      <c r="T543" s="1012"/>
      <c r="U543" s="1012"/>
      <c r="V543" s="1012"/>
      <c r="W543" s="1012"/>
      <c r="X543" s="1012"/>
      <c r="Y543" s="1012"/>
      <c r="Z543" s="1012"/>
    </row>
    <row r="544" ht="15.75" customHeight="1">
      <c r="A544" s="1012"/>
      <c r="B544" s="1012"/>
      <c r="C544" s="1012"/>
      <c r="D544" s="1012"/>
      <c r="E544" s="1012"/>
      <c r="F544" s="1012"/>
      <c r="G544" s="1012"/>
      <c r="H544" s="1012"/>
      <c r="I544" s="1012"/>
      <c r="J544" s="1012"/>
      <c r="K544" s="1012"/>
      <c r="L544" s="1012"/>
      <c r="M544" s="1012"/>
      <c r="N544" s="1012"/>
      <c r="O544" s="1012"/>
      <c r="P544" s="1012"/>
      <c r="Q544" s="1012"/>
      <c r="R544" s="1012"/>
      <c r="S544" s="1012"/>
      <c r="T544" s="1012"/>
      <c r="U544" s="1012"/>
      <c r="V544" s="1012"/>
      <c r="W544" s="1012"/>
      <c r="X544" s="1012"/>
      <c r="Y544" s="1012"/>
      <c r="Z544" s="1012"/>
    </row>
    <row r="545" ht="15.75" customHeight="1">
      <c r="A545" s="1012"/>
      <c r="B545" s="1012"/>
      <c r="C545" s="1012"/>
      <c r="D545" s="1012"/>
      <c r="E545" s="1012"/>
      <c r="F545" s="1012"/>
      <c r="G545" s="1012"/>
      <c r="H545" s="1012"/>
      <c r="I545" s="1012"/>
      <c r="J545" s="1012"/>
      <c r="K545" s="1012"/>
      <c r="L545" s="1012"/>
      <c r="M545" s="1012"/>
      <c r="N545" s="1012"/>
      <c r="O545" s="1012"/>
      <c r="P545" s="1012"/>
      <c r="Q545" s="1012"/>
      <c r="R545" s="1012"/>
      <c r="S545" s="1012"/>
      <c r="T545" s="1012"/>
      <c r="U545" s="1012"/>
      <c r="V545" s="1012"/>
      <c r="W545" s="1012"/>
      <c r="X545" s="1012"/>
      <c r="Y545" s="1012"/>
      <c r="Z545" s="1012"/>
    </row>
    <row r="546" ht="15.75" customHeight="1">
      <c r="A546" s="1012"/>
      <c r="B546" s="1012"/>
      <c r="C546" s="1012"/>
      <c r="D546" s="1012"/>
      <c r="E546" s="1012"/>
      <c r="F546" s="1012"/>
      <c r="G546" s="1012"/>
      <c r="H546" s="1012"/>
      <c r="I546" s="1012"/>
      <c r="J546" s="1012"/>
      <c r="K546" s="1012"/>
      <c r="L546" s="1012"/>
      <c r="M546" s="1012"/>
      <c r="N546" s="1012"/>
      <c r="O546" s="1012"/>
      <c r="P546" s="1012"/>
      <c r="Q546" s="1012"/>
      <c r="R546" s="1012"/>
      <c r="S546" s="1012"/>
      <c r="T546" s="1012"/>
      <c r="U546" s="1012"/>
      <c r="V546" s="1012"/>
      <c r="W546" s="1012"/>
      <c r="X546" s="1012"/>
      <c r="Y546" s="1012"/>
      <c r="Z546" s="1012"/>
    </row>
    <row r="547" ht="15.75" customHeight="1">
      <c r="A547" s="1012"/>
      <c r="B547" s="1012"/>
      <c r="C547" s="1012"/>
      <c r="D547" s="1012"/>
      <c r="E547" s="1012"/>
      <c r="F547" s="1012"/>
      <c r="G547" s="1012"/>
      <c r="H547" s="1012"/>
      <c r="I547" s="1012"/>
      <c r="J547" s="1012"/>
      <c r="K547" s="1012"/>
      <c r="L547" s="1012"/>
      <c r="M547" s="1012"/>
      <c r="N547" s="1012"/>
      <c r="O547" s="1012"/>
      <c r="P547" s="1012"/>
      <c r="Q547" s="1012"/>
      <c r="R547" s="1012"/>
      <c r="S547" s="1012"/>
      <c r="T547" s="1012"/>
      <c r="U547" s="1012"/>
      <c r="V547" s="1012"/>
      <c r="W547" s="1012"/>
      <c r="X547" s="1012"/>
      <c r="Y547" s="1012"/>
      <c r="Z547" s="1012"/>
    </row>
    <row r="548" ht="15.75" customHeight="1">
      <c r="A548" s="1012"/>
      <c r="B548" s="1012"/>
      <c r="C548" s="1012"/>
      <c r="D548" s="1012"/>
      <c r="E548" s="1012"/>
      <c r="F548" s="1012"/>
      <c r="G548" s="1012"/>
      <c r="H548" s="1012"/>
      <c r="I548" s="1012"/>
      <c r="J548" s="1012"/>
      <c r="K548" s="1012"/>
      <c r="L548" s="1012"/>
      <c r="M548" s="1012"/>
      <c r="N548" s="1012"/>
      <c r="O548" s="1012"/>
      <c r="P548" s="1012"/>
      <c r="Q548" s="1012"/>
      <c r="R548" s="1012"/>
      <c r="S548" s="1012"/>
      <c r="T548" s="1012"/>
      <c r="U548" s="1012"/>
      <c r="V548" s="1012"/>
      <c r="W548" s="1012"/>
      <c r="X548" s="1012"/>
      <c r="Y548" s="1012"/>
      <c r="Z548" s="1012"/>
    </row>
    <row r="549" ht="15.75" customHeight="1">
      <c r="A549" s="1012"/>
      <c r="B549" s="1012"/>
      <c r="C549" s="1012"/>
      <c r="D549" s="1012"/>
      <c r="E549" s="1012"/>
      <c r="F549" s="1012"/>
      <c r="G549" s="1012"/>
      <c r="H549" s="1012"/>
      <c r="I549" s="1012"/>
      <c r="J549" s="1012"/>
      <c r="K549" s="1012"/>
      <c r="L549" s="1012"/>
      <c r="M549" s="1012"/>
      <c r="N549" s="1012"/>
      <c r="O549" s="1012"/>
      <c r="P549" s="1012"/>
      <c r="Q549" s="1012"/>
      <c r="R549" s="1012"/>
      <c r="S549" s="1012"/>
      <c r="T549" s="1012"/>
      <c r="U549" s="1012"/>
      <c r="V549" s="1012"/>
      <c r="W549" s="1012"/>
      <c r="X549" s="1012"/>
      <c r="Y549" s="1012"/>
      <c r="Z549" s="1012"/>
    </row>
    <row r="550" ht="15.75" customHeight="1">
      <c r="A550" s="1012"/>
      <c r="B550" s="1012"/>
      <c r="C550" s="1012"/>
      <c r="D550" s="1012"/>
      <c r="E550" s="1012"/>
      <c r="F550" s="1012"/>
      <c r="G550" s="1012"/>
      <c r="H550" s="1012"/>
      <c r="I550" s="1012"/>
      <c r="J550" s="1012"/>
      <c r="K550" s="1012"/>
      <c r="L550" s="1012"/>
      <c r="M550" s="1012"/>
      <c r="N550" s="1012"/>
      <c r="O550" s="1012"/>
      <c r="P550" s="1012"/>
      <c r="Q550" s="1012"/>
      <c r="R550" s="1012"/>
      <c r="S550" s="1012"/>
      <c r="T550" s="1012"/>
      <c r="U550" s="1012"/>
      <c r="V550" s="1012"/>
      <c r="W550" s="1012"/>
      <c r="X550" s="1012"/>
      <c r="Y550" s="1012"/>
      <c r="Z550" s="1012"/>
    </row>
    <row r="551" ht="15.75" customHeight="1">
      <c r="A551" s="1012"/>
      <c r="B551" s="1012"/>
      <c r="C551" s="1012"/>
      <c r="D551" s="1012"/>
      <c r="E551" s="1012"/>
      <c r="F551" s="1012"/>
      <c r="G551" s="1012"/>
      <c r="H551" s="1012"/>
      <c r="I551" s="1012"/>
      <c r="J551" s="1012"/>
      <c r="K551" s="1012"/>
      <c r="L551" s="1012"/>
      <c r="M551" s="1012"/>
      <c r="N551" s="1012"/>
      <c r="O551" s="1012"/>
      <c r="P551" s="1012"/>
      <c r="Q551" s="1012"/>
      <c r="R551" s="1012"/>
      <c r="S551" s="1012"/>
      <c r="T551" s="1012"/>
      <c r="U551" s="1012"/>
      <c r="V551" s="1012"/>
      <c r="W551" s="1012"/>
      <c r="X551" s="1012"/>
      <c r="Y551" s="1012"/>
      <c r="Z551" s="1012"/>
    </row>
    <row r="552" ht="15.75" customHeight="1">
      <c r="A552" s="1012"/>
      <c r="B552" s="1012"/>
      <c r="C552" s="1012"/>
      <c r="D552" s="1012"/>
      <c r="E552" s="1012"/>
      <c r="F552" s="1012"/>
      <c r="G552" s="1012"/>
      <c r="H552" s="1012"/>
      <c r="I552" s="1012"/>
      <c r="J552" s="1012"/>
      <c r="K552" s="1012"/>
      <c r="L552" s="1012"/>
      <c r="M552" s="1012"/>
      <c r="N552" s="1012"/>
      <c r="O552" s="1012"/>
      <c r="P552" s="1012"/>
      <c r="Q552" s="1012"/>
      <c r="R552" s="1012"/>
      <c r="S552" s="1012"/>
      <c r="T552" s="1012"/>
      <c r="U552" s="1012"/>
      <c r="V552" s="1012"/>
      <c r="W552" s="1012"/>
      <c r="X552" s="1012"/>
      <c r="Y552" s="1012"/>
      <c r="Z552" s="1012"/>
    </row>
    <row r="553" ht="15.75" customHeight="1">
      <c r="A553" s="1012"/>
      <c r="B553" s="1012"/>
      <c r="C553" s="1012"/>
      <c r="D553" s="1012"/>
      <c r="E553" s="1012"/>
      <c r="F553" s="1012"/>
      <c r="G553" s="1012"/>
      <c r="H553" s="1012"/>
      <c r="I553" s="1012"/>
      <c r="J553" s="1012"/>
      <c r="K553" s="1012"/>
      <c r="L553" s="1012"/>
      <c r="M553" s="1012"/>
      <c r="N553" s="1012"/>
      <c r="O553" s="1012"/>
      <c r="P553" s="1012"/>
      <c r="Q553" s="1012"/>
      <c r="R553" s="1012"/>
      <c r="S553" s="1012"/>
      <c r="T553" s="1012"/>
      <c r="U553" s="1012"/>
      <c r="V553" s="1012"/>
      <c r="W553" s="1012"/>
      <c r="X553" s="1012"/>
      <c r="Y553" s="1012"/>
      <c r="Z553" s="1012"/>
    </row>
    <row r="554" ht="15.75" customHeight="1">
      <c r="A554" s="1012"/>
      <c r="B554" s="1012"/>
      <c r="C554" s="1012"/>
      <c r="D554" s="1012"/>
      <c r="E554" s="1012"/>
      <c r="F554" s="1012"/>
      <c r="G554" s="1012"/>
      <c r="H554" s="1012"/>
      <c r="I554" s="1012"/>
      <c r="J554" s="1012"/>
      <c r="K554" s="1012"/>
      <c r="L554" s="1012"/>
      <c r="M554" s="1012"/>
      <c r="N554" s="1012"/>
      <c r="O554" s="1012"/>
      <c r="P554" s="1012"/>
      <c r="Q554" s="1012"/>
      <c r="R554" s="1012"/>
      <c r="S554" s="1012"/>
      <c r="T554" s="1012"/>
      <c r="U554" s="1012"/>
      <c r="V554" s="1012"/>
      <c r="W554" s="1012"/>
      <c r="X554" s="1012"/>
      <c r="Y554" s="1012"/>
      <c r="Z554" s="1012"/>
    </row>
    <row r="555" ht="15.75" customHeight="1">
      <c r="A555" s="1012"/>
      <c r="B555" s="1012"/>
      <c r="C555" s="1012"/>
      <c r="D555" s="1012"/>
      <c r="E555" s="1012"/>
      <c r="F555" s="1012"/>
      <c r="G555" s="1012"/>
      <c r="H555" s="1012"/>
      <c r="I555" s="1012"/>
      <c r="J555" s="1012"/>
      <c r="K555" s="1012"/>
      <c r="L555" s="1012"/>
      <c r="M555" s="1012"/>
      <c r="N555" s="1012"/>
      <c r="O555" s="1012"/>
      <c r="P555" s="1012"/>
      <c r="Q555" s="1012"/>
      <c r="R555" s="1012"/>
      <c r="S555" s="1012"/>
      <c r="T555" s="1012"/>
      <c r="U555" s="1012"/>
      <c r="V555" s="1012"/>
      <c r="W555" s="1012"/>
      <c r="X555" s="1012"/>
      <c r="Y555" s="1012"/>
      <c r="Z555" s="1012"/>
    </row>
    <row r="556" ht="15.75" customHeight="1">
      <c r="A556" s="1012"/>
      <c r="B556" s="1012"/>
      <c r="C556" s="1012"/>
      <c r="D556" s="1012"/>
      <c r="E556" s="1012"/>
      <c r="F556" s="1012"/>
      <c r="G556" s="1012"/>
      <c r="H556" s="1012"/>
      <c r="I556" s="1012"/>
      <c r="J556" s="1012"/>
      <c r="K556" s="1012"/>
      <c r="L556" s="1012"/>
      <c r="M556" s="1012"/>
      <c r="N556" s="1012"/>
      <c r="O556" s="1012"/>
      <c r="P556" s="1012"/>
      <c r="Q556" s="1012"/>
      <c r="R556" s="1012"/>
      <c r="S556" s="1012"/>
      <c r="T556" s="1012"/>
      <c r="U556" s="1012"/>
      <c r="V556" s="1012"/>
      <c r="W556" s="1012"/>
      <c r="X556" s="1012"/>
      <c r="Y556" s="1012"/>
      <c r="Z556" s="1012"/>
    </row>
    <row r="557" ht="15.75" customHeight="1">
      <c r="A557" s="1012"/>
      <c r="B557" s="1012"/>
      <c r="C557" s="1012"/>
      <c r="D557" s="1012"/>
      <c r="E557" s="1012"/>
      <c r="F557" s="1012"/>
      <c r="G557" s="1012"/>
      <c r="H557" s="1012"/>
      <c r="I557" s="1012"/>
      <c r="J557" s="1012"/>
      <c r="K557" s="1012"/>
      <c r="L557" s="1012"/>
      <c r="M557" s="1012"/>
      <c r="N557" s="1012"/>
      <c r="O557" s="1012"/>
      <c r="P557" s="1012"/>
      <c r="Q557" s="1012"/>
      <c r="R557" s="1012"/>
      <c r="S557" s="1012"/>
      <c r="T557" s="1012"/>
      <c r="U557" s="1012"/>
      <c r="V557" s="1012"/>
      <c r="W557" s="1012"/>
      <c r="X557" s="1012"/>
      <c r="Y557" s="1012"/>
      <c r="Z557" s="1012"/>
    </row>
    <row r="558" ht="15.75" customHeight="1">
      <c r="A558" s="1012"/>
      <c r="B558" s="1012"/>
      <c r="C558" s="1012"/>
      <c r="D558" s="1012"/>
      <c r="E558" s="1012"/>
      <c r="F558" s="1012"/>
      <c r="G558" s="1012"/>
      <c r="H558" s="1012"/>
      <c r="I558" s="1012"/>
      <c r="J558" s="1012"/>
      <c r="K558" s="1012"/>
      <c r="L558" s="1012"/>
      <c r="M558" s="1012"/>
      <c r="N558" s="1012"/>
      <c r="O558" s="1012"/>
      <c r="P558" s="1012"/>
      <c r="Q558" s="1012"/>
      <c r="R558" s="1012"/>
      <c r="S558" s="1012"/>
      <c r="T558" s="1012"/>
      <c r="U558" s="1012"/>
      <c r="V558" s="1012"/>
      <c r="W558" s="1012"/>
      <c r="X558" s="1012"/>
      <c r="Y558" s="1012"/>
      <c r="Z558" s="1012"/>
    </row>
    <row r="559" ht="15.75" customHeight="1">
      <c r="A559" s="1012"/>
      <c r="B559" s="1012"/>
      <c r="C559" s="1012"/>
      <c r="D559" s="1012"/>
      <c r="E559" s="1012"/>
      <c r="F559" s="1012"/>
      <c r="G559" s="1012"/>
      <c r="H559" s="1012"/>
      <c r="I559" s="1012"/>
      <c r="J559" s="1012"/>
      <c r="K559" s="1012"/>
      <c r="L559" s="1012"/>
      <c r="M559" s="1012"/>
      <c r="N559" s="1012"/>
      <c r="O559" s="1012"/>
      <c r="P559" s="1012"/>
      <c r="Q559" s="1012"/>
      <c r="R559" s="1012"/>
      <c r="S559" s="1012"/>
      <c r="T559" s="1012"/>
      <c r="U559" s="1012"/>
      <c r="V559" s="1012"/>
      <c r="W559" s="1012"/>
      <c r="X559" s="1012"/>
      <c r="Y559" s="1012"/>
      <c r="Z559" s="1012"/>
    </row>
    <row r="560" ht="15.75" customHeight="1">
      <c r="A560" s="1012"/>
      <c r="B560" s="1012"/>
      <c r="C560" s="1012"/>
      <c r="D560" s="1012"/>
      <c r="E560" s="1012"/>
      <c r="F560" s="1012"/>
      <c r="G560" s="1012"/>
      <c r="H560" s="1012"/>
      <c r="I560" s="1012"/>
      <c r="J560" s="1012"/>
      <c r="K560" s="1012"/>
      <c r="L560" s="1012"/>
      <c r="M560" s="1012"/>
      <c r="N560" s="1012"/>
      <c r="O560" s="1012"/>
      <c r="P560" s="1012"/>
      <c r="Q560" s="1012"/>
      <c r="R560" s="1012"/>
      <c r="S560" s="1012"/>
      <c r="T560" s="1012"/>
      <c r="U560" s="1012"/>
      <c r="V560" s="1012"/>
      <c r="W560" s="1012"/>
      <c r="X560" s="1012"/>
      <c r="Y560" s="1012"/>
      <c r="Z560" s="1012"/>
    </row>
    <row r="561" ht="15.75" customHeight="1">
      <c r="A561" s="1012"/>
      <c r="B561" s="1012"/>
      <c r="C561" s="1012"/>
      <c r="D561" s="1012"/>
      <c r="E561" s="1012"/>
      <c r="F561" s="1012"/>
      <c r="G561" s="1012"/>
      <c r="H561" s="1012"/>
      <c r="I561" s="1012"/>
      <c r="J561" s="1012"/>
      <c r="K561" s="1012"/>
      <c r="L561" s="1012"/>
      <c r="M561" s="1012"/>
      <c r="N561" s="1012"/>
      <c r="O561" s="1012"/>
      <c r="P561" s="1012"/>
      <c r="Q561" s="1012"/>
      <c r="R561" s="1012"/>
      <c r="S561" s="1012"/>
      <c r="T561" s="1012"/>
      <c r="U561" s="1012"/>
      <c r="V561" s="1012"/>
      <c r="W561" s="1012"/>
      <c r="X561" s="1012"/>
      <c r="Y561" s="1012"/>
      <c r="Z561" s="1012"/>
    </row>
    <row r="562" ht="15.75" customHeight="1">
      <c r="A562" s="1012"/>
      <c r="B562" s="1012"/>
      <c r="C562" s="1012"/>
      <c r="D562" s="1012"/>
      <c r="E562" s="1012"/>
      <c r="F562" s="1012"/>
      <c r="G562" s="1012"/>
      <c r="H562" s="1012"/>
      <c r="I562" s="1012"/>
      <c r="J562" s="1012"/>
      <c r="K562" s="1012"/>
      <c r="L562" s="1012"/>
      <c r="M562" s="1012"/>
      <c r="N562" s="1012"/>
      <c r="O562" s="1012"/>
      <c r="P562" s="1012"/>
      <c r="Q562" s="1012"/>
      <c r="R562" s="1012"/>
      <c r="S562" s="1012"/>
      <c r="T562" s="1012"/>
      <c r="U562" s="1012"/>
      <c r="V562" s="1012"/>
      <c r="W562" s="1012"/>
      <c r="X562" s="1012"/>
      <c r="Y562" s="1012"/>
      <c r="Z562" s="1012"/>
    </row>
    <row r="563" ht="15.75" customHeight="1">
      <c r="A563" s="1012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012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</row>
    <row r="564" ht="15.75" customHeight="1">
      <c r="A564" s="1012"/>
      <c r="B564" s="1012"/>
      <c r="C564" s="1012"/>
      <c r="D564" s="1012"/>
      <c r="E564" s="1012"/>
      <c r="F564" s="1012"/>
      <c r="G564" s="1012"/>
      <c r="H564" s="1012"/>
      <c r="I564" s="1012"/>
      <c r="J564" s="1012"/>
      <c r="K564" s="1012"/>
      <c r="L564" s="1012"/>
      <c r="M564" s="1012"/>
      <c r="N564" s="1012"/>
      <c r="O564" s="1012"/>
      <c r="P564" s="1012"/>
      <c r="Q564" s="1012"/>
      <c r="R564" s="1012"/>
      <c r="S564" s="1012"/>
      <c r="T564" s="1012"/>
      <c r="U564" s="1012"/>
      <c r="V564" s="1012"/>
      <c r="W564" s="1012"/>
      <c r="X564" s="1012"/>
      <c r="Y564" s="1012"/>
      <c r="Z564" s="1012"/>
    </row>
    <row r="565" ht="15.75" customHeight="1">
      <c r="A565" s="1012"/>
      <c r="B565" s="1012"/>
      <c r="C565" s="1012"/>
      <c r="D565" s="1012"/>
      <c r="E565" s="1012"/>
      <c r="F565" s="1012"/>
      <c r="G565" s="1012"/>
      <c r="H565" s="1012"/>
      <c r="I565" s="1012"/>
      <c r="J565" s="1012"/>
      <c r="K565" s="1012"/>
      <c r="L565" s="1012"/>
      <c r="M565" s="1012"/>
      <c r="N565" s="1012"/>
      <c r="O565" s="1012"/>
      <c r="P565" s="1012"/>
      <c r="Q565" s="1012"/>
      <c r="R565" s="1012"/>
      <c r="S565" s="1012"/>
      <c r="T565" s="1012"/>
      <c r="U565" s="1012"/>
      <c r="V565" s="1012"/>
      <c r="W565" s="1012"/>
      <c r="X565" s="1012"/>
      <c r="Y565" s="1012"/>
      <c r="Z565" s="1012"/>
    </row>
    <row r="566" ht="15.75" customHeight="1">
      <c r="A566" s="1012"/>
      <c r="B566" s="1012"/>
      <c r="C566" s="1012"/>
      <c r="D566" s="1012"/>
      <c r="E566" s="1012"/>
      <c r="F566" s="1012"/>
      <c r="G566" s="1012"/>
      <c r="H566" s="1012"/>
      <c r="I566" s="1012"/>
      <c r="J566" s="1012"/>
      <c r="K566" s="1012"/>
      <c r="L566" s="1012"/>
      <c r="M566" s="1012"/>
      <c r="N566" s="1012"/>
      <c r="O566" s="1012"/>
      <c r="P566" s="1012"/>
      <c r="Q566" s="1012"/>
      <c r="R566" s="1012"/>
      <c r="S566" s="1012"/>
      <c r="T566" s="1012"/>
      <c r="U566" s="1012"/>
      <c r="V566" s="1012"/>
      <c r="W566" s="1012"/>
      <c r="X566" s="1012"/>
      <c r="Y566" s="1012"/>
      <c r="Z566" s="1012"/>
    </row>
    <row r="567" ht="15.75" customHeight="1">
      <c r="A567" s="1012"/>
      <c r="B567" s="1012"/>
      <c r="C567" s="1012"/>
      <c r="D567" s="1012"/>
      <c r="E567" s="1012"/>
      <c r="F567" s="1012"/>
      <c r="G567" s="1012"/>
      <c r="H567" s="1012"/>
      <c r="I567" s="1012"/>
      <c r="J567" s="1012"/>
      <c r="K567" s="1012"/>
      <c r="L567" s="1012"/>
      <c r="M567" s="1012"/>
      <c r="N567" s="1012"/>
      <c r="O567" s="1012"/>
      <c r="P567" s="1012"/>
      <c r="Q567" s="1012"/>
      <c r="R567" s="1012"/>
      <c r="S567" s="1012"/>
      <c r="T567" s="1012"/>
      <c r="U567" s="1012"/>
      <c r="V567" s="1012"/>
      <c r="W567" s="1012"/>
      <c r="X567" s="1012"/>
      <c r="Y567" s="1012"/>
      <c r="Z567" s="1012"/>
    </row>
    <row r="568" ht="15.75" customHeight="1">
      <c r="A568" s="1012"/>
      <c r="B568" s="1012"/>
      <c r="C568" s="1012"/>
      <c r="D568" s="1012"/>
      <c r="E568" s="1012"/>
      <c r="F568" s="1012"/>
      <c r="G568" s="1012"/>
      <c r="H568" s="1012"/>
      <c r="I568" s="1012"/>
      <c r="J568" s="1012"/>
      <c r="K568" s="1012"/>
      <c r="L568" s="1012"/>
      <c r="M568" s="1012"/>
      <c r="N568" s="1012"/>
      <c r="O568" s="1012"/>
      <c r="P568" s="1012"/>
      <c r="Q568" s="1012"/>
      <c r="R568" s="1012"/>
      <c r="S568" s="1012"/>
      <c r="T568" s="1012"/>
      <c r="U568" s="1012"/>
      <c r="V568" s="1012"/>
      <c r="W568" s="1012"/>
      <c r="X568" s="1012"/>
      <c r="Y568" s="1012"/>
      <c r="Z568" s="1012"/>
    </row>
    <row r="569" ht="15.75" customHeight="1">
      <c r="A569" s="1012"/>
      <c r="B569" s="1012"/>
      <c r="C569" s="1012"/>
      <c r="D569" s="1012"/>
      <c r="E569" s="1012"/>
      <c r="F569" s="1012"/>
      <c r="G569" s="1012"/>
      <c r="H569" s="1012"/>
      <c r="I569" s="1012"/>
      <c r="J569" s="1012"/>
      <c r="K569" s="1012"/>
      <c r="L569" s="1012"/>
      <c r="M569" s="1012"/>
      <c r="N569" s="1012"/>
      <c r="O569" s="1012"/>
      <c r="P569" s="1012"/>
      <c r="Q569" s="1012"/>
      <c r="R569" s="1012"/>
      <c r="S569" s="1012"/>
      <c r="T569" s="1012"/>
      <c r="U569" s="1012"/>
      <c r="V569" s="1012"/>
      <c r="W569" s="1012"/>
      <c r="X569" s="1012"/>
      <c r="Y569" s="1012"/>
      <c r="Z569" s="1012"/>
    </row>
    <row r="570" ht="15.75" customHeight="1">
      <c r="A570" s="1012"/>
      <c r="B570" s="1012"/>
      <c r="C570" s="1012"/>
      <c r="D570" s="1012"/>
      <c r="E570" s="1012"/>
      <c r="F570" s="1012"/>
      <c r="G570" s="1012"/>
      <c r="H570" s="1012"/>
      <c r="I570" s="1012"/>
      <c r="J570" s="1012"/>
      <c r="K570" s="1012"/>
      <c r="L570" s="1012"/>
      <c r="M570" s="1012"/>
      <c r="N570" s="1012"/>
      <c r="O570" s="1012"/>
      <c r="P570" s="1012"/>
      <c r="Q570" s="1012"/>
      <c r="R570" s="1012"/>
      <c r="S570" s="1012"/>
      <c r="T570" s="1012"/>
      <c r="U570" s="1012"/>
      <c r="V570" s="1012"/>
      <c r="W570" s="1012"/>
      <c r="X570" s="1012"/>
      <c r="Y570" s="1012"/>
      <c r="Z570" s="1012"/>
    </row>
    <row r="571" ht="15.75" customHeight="1">
      <c r="A571" s="1012"/>
      <c r="B571" s="1012"/>
      <c r="C571" s="1012"/>
      <c r="D571" s="1012"/>
      <c r="E571" s="1012"/>
      <c r="F571" s="1012"/>
      <c r="G571" s="1012"/>
      <c r="H571" s="1012"/>
      <c r="I571" s="1012"/>
      <c r="J571" s="1012"/>
      <c r="K571" s="1012"/>
      <c r="L571" s="1012"/>
      <c r="M571" s="1012"/>
      <c r="N571" s="1012"/>
      <c r="O571" s="1012"/>
      <c r="P571" s="1012"/>
      <c r="Q571" s="1012"/>
      <c r="R571" s="1012"/>
      <c r="S571" s="1012"/>
      <c r="T571" s="1012"/>
      <c r="U571" s="1012"/>
      <c r="V571" s="1012"/>
      <c r="W571" s="1012"/>
      <c r="X571" s="1012"/>
      <c r="Y571" s="1012"/>
      <c r="Z571" s="1012"/>
    </row>
    <row r="572" ht="15.75" customHeight="1">
      <c r="A572" s="1012"/>
      <c r="B572" s="1012"/>
      <c r="C572" s="1012"/>
      <c r="D572" s="1012"/>
      <c r="E572" s="1012"/>
      <c r="F572" s="1012"/>
      <c r="G572" s="1012"/>
      <c r="H572" s="1012"/>
      <c r="I572" s="1012"/>
      <c r="J572" s="1012"/>
      <c r="K572" s="1012"/>
      <c r="L572" s="1012"/>
      <c r="M572" s="1012"/>
      <c r="N572" s="1012"/>
      <c r="O572" s="1012"/>
      <c r="P572" s="1012"/>
      <c r="Q572" s="1012"/>
      <c r="R572" s="1012"/>
      <c r="S572" s="1012"/>
      <c r="T572" s="1012"/>
      <c r="U572" s="1012"/>
      <c r="V572" s="1012"/>
      <c r="W572" s="1012"/>
      <c r="X572" s="1012"/>
      <c r="Y572" s="1012"/>
      <c r="Z572" s="1012"/>
    </row>
    <row r="573" ht="15.75" customHeight="1">
      <c r="A573" s="1012"/>
      <c r="B573" s="1012"/>
      <c r="C573" s="1012"/>
      <c r="D573" s="1012"/>
      <c r="E573" s="1012"/>
      <c r="F573" s="1012"/>
      <c r="G573" s="1012"/>
      <c r="H573" s="1012"/>
      <c r="I573" s="1012"/>
      <c r="J573" s="1012"/>
      <c r="K573" s="1012"/>
      <c r="L573" s="1012"/>
      <c r="M573" s="1012"/>
      <c r="N573" s="1012"/>
      <c r="O573" s="1012"/>
      <c r="P573" s="1012"/>
      <c r="Q573" s="1012"/>
      <c r="R573" s="1012"/>
      <c r="S573" s="1012"/>
      <c r="T573" s="1012"/>
      <c r="U573" s="1012"/>
      <c r="V573" s="1012"/>
      <c r="W573" s="1012"/>
      <c r="X573" s="1012"/>
      <c r="Y573" s="1012"/>
      <c r="Z573" s="1012"/>
    </row>
    <row r="574" ht="15.75" customHeight="1">
      <c r="A574" s="1012"/>
      <c r="B574" s="1012"/>
      <c r="C574" s="1012"/>
      <c r="D574" s="1012"/>
      <c r="E574" s="1012"/>
      <c r="F574" s="1012"/>
      <c r="G574" s="1012"/>
      <c r="H574" s="1012"/>
      <c r="I574" s="1012"/>
      <c r="J574" s="1012"/>
      <c r="K574" s="1012"/>
      <c r="L574" s="1012"/>
      <c r="M574" s="1012"/>
      <c r="N574" s="1012"/>
      <c r="O574" s="1012"/>
      <c r="P574" s="1012"/>
      <c r="Q574" s="1012"/>
      <c r="R574" s="1012"/>
      <c r="S574" s="1012"/>
      <c r="T574" s="1012"/>
      <c r="U574" s="1012"/>
      <c r="V574" s="1012"/>
      <c r="W574" s="1012"/>
      <c r="X574" s="1012"/>
      <c r="Y574" s="1012"/>
      <c r="Z574" s="1012"/>
    </row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BD8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31.38"/>
    <col customWidth="1" min="3" max="3" width="16.88"/>
    <col customWidth="1" hidden="1" min="4" max="4" width="16.88"/>
    <col customWidth="1" min="5" max="8" width="11.38"/>
    <col customWidth="1" min="9" max="9" width="10.38"/>
    <col customWidth="1" min="10" max="12" width="11.38"/>
    <col customWidth="1" min="13" max="18" width="10.13"/>
    <col customWidth="1" min="19" max="19" width="6.38"/>
    <col customWidth="1" min="20" max="20" width="1.88"/>
    <col customWidth="1" min="21" max="21" width="11.38"/>
    <col customWidth="1" min="22" max="26" width="12.38"/>
  </cols>
  <sheetData>
    <row r="1" ht="9.0" customHeight="1">
      <c r="A1" s="1009"/>
      <c r="B1" s="1010"/>
      <c r="C1" s="1011"/>
      <c r="D1" s="1011"/>
      <c r="E1" s="1009"/>
      <c r="F1" s="1009"/>
      <c r="G1" s="1009"/>
      <c r="H1" s="1009"/>
      <c r="I1" s="1009"/>
      <c r="J1" s="1009"/>
      <c r="K1" s="1009"/>
      <c r="L1" s="1009"/>
      <c r="M1" s="1009"/>
      <c r="N1" s="1009"/>
      <c r="O1" s="1009"/>
      <c r="P1" s="1009"/>
      <c r="Q1" s="1009"/>
      <c r="R1" s="1009"/>
      <c r="S1" s="1009"/>
      <c r="T1" s="1009"/>
      <c r="U1" s="1009"/>
      <c r="V1" s="1012"/>
      <c r="W1" s="1012"/>
      <c r="X1" s="1012"/>
      <c r="Y1" s="1012"/>
      <c r="Z1" s="1012"/>
    </row>
    <row r="2" ht="24.75" customHeight="1">
      <c r="A2" s="1013"/>
      <c r="B2" s="36" t="s">
        <v>678</v>
      </c>
      <c r="C2" s="1014"/>
      <c r="D2" s="1014"/>
      <c r="E2" s="1014"/>
      <c r="F2" s="1014"/>
      <c r="G2" s="1014"/>
      <c r="H2" s="1014"/>
      <c r="I2" s="166"/>
      <c r="J2" s="166"/>
      <c r="K2" s="166"/>
      <c r="L2" s="166"/>
      <c r="M2" s="166"/>
      <c r="N2" s="166"/>
      <c r="O2" s="166"/>
      <c r="P2" s="1013"/>
      <c r="Q2" s="1013"/>
      <c r="R2" s="1013"/>
      <c r="S2" s="1013"/>
      <c r="T2" s="1013"/>
      <c r="U2" s="1013"/>
      <c r="V2" s="1013"/>
      <c r="W2" s="1013"/>
      <c r="X2" s="1013"/>
      <c r="Y2" s="1013"/>
      <c r="Z2" s="1013"/>
    </row>
    <row r="3" ht="15.75" customHeight="1">
      <c r="A3" s="308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897"/>
      <c r="W3" s="897"/>
      <c r="X3" s="897"/>
      <c r="Y3" s="897"/>
      <c r="Z3" s="897"/>
    </row>
    <row r="4" ht="15.75" customHeight="1">
      <c r="A4" s="308"/>
      <c r="B4" s="1015" t="s">
        <v>679</v>
      </c>
      <c r="C4" s="1015"/>
      <c r="D4" s="308"/>
      <c r="E4" s="308"/>
      <c r="F4" s="1016"/>
      <c r="G4" s="1017"/>
      <c r="H4" s="1017"/>
      <c r="I4" s="1017"/>
      <c r="J4" s="1017"/>
      <c r="K4" s="1017"/>
      <c r="L4" s="1017"/>
      <c r="M4" s="308"/>
      <c r="N4" s="308"/>
      <c r="O4" s="308"/>
      <c r="P4" s="308"/>
      <c r="Q4" s="308"/>
      <c r="R4" s="308"/>
      <c r="S4" s="308"/>
      <c r="T4" s="308"/>
      <c r="U4" s="308"/>
      <c r="V4" s="897"/>
      <c r="W4" s="897"/>
      <c r="X4" s="897"/>
      <c r="Y4" s="897"/>
      <c r="Z4" s="897"/>
    </row>
    <row r="5" ht="15.75" customHeight="1">
      <c r="A5" s="308"/>
      <c r="B5" s="1018" t="s">
        <v>680</v>
      </c>
      <c r="C5" s="1019">
        <v>68000.0</v>
      </c>
      <c r="D5" s="1020"/>
      <c r="E5" s="308"/>
      <c r="F5" s="1021" t="s">
        <v>705</v>
      </c>
      <c r="G5" s="459"/>
      <c r="H5" s="459"/>
      <c r="I5" s="459"/>
      <c r="J5" s="459"/>
      <c r="K5" s="1022"/>
      <c r="L5" s="1022"/>
      <c r="M5" s="308"/>
      <c r="N5" s="308"/>
      <c r="O5" s="308"/>
      <c r="P5" s="308"/>
      <c r="Q5" s="308"/>
      <c r="R5" s="308"/>
      <c r="S5" s="308"/>
      <c r="T5" s="308"/>
      <c r="U5" s="308"/>
      <c r="V5" s="897"/>
      <c r="W5" s="897"/>
      <c r="X5" s="897"/>
      <c r="Y5" s="897"/>
      <c r="Z5" s="897"/>
    </row>
    <row r="6" ht="15.75" customHeight="1">
      <c r="A6" s="308"/>
      <c r="B6" s="1018" t="s">
        <v>682</v>
      </c>
      <c r="C6" s="1023">
        <v>45792.0</v>
      </c>
      <c r="D6" s="1024"/>
      <c r="E6" s="308"/>
      <c r="F6" s="459" t="s">
        <v>683</v>
      </c>
      <c r="G6" s="459"/>
      <c r="H6" s="459"/>
      <c r="I6" s="459"/>
      <c r="J6" s="459"/>
      <c r="K6" s="459"/>
      <c r="L6" s="459"/>
      <c r="M6" s="308"/>
      <c r="N6" s="308"/>
      <c r="O6" s="308"/>
      <c r="P6" s="308"/>
      <c r="Q6" s="308"/>
      <c r="R6" s="308"/>
      <c r="S6" s="308"/>
      <c r="T6" s="308"/>
      <c r="U6" s="308"/>
      <c r="V6" s="897"/>
      <c r="W6" s="897"/>
      <c r="X6" s="897"/>
      <c r="Y6" s="897"/>
      <c r="Z6" s="897"/>
    </row>
    <row r="7" ht="15.75" customHeight="1">
      <c r="A7" s="308"/>
      <c r="B7" s="1018" t="s">
        <v>684</v>
      </c>
      <c r="C7" s="1025">
        <v>7.0</v>
      </c>
      <c r="D7" s="1026"/>
      <c r="E7" s="308"/>
      <c r="F7" s="459" t="s">
        <v>685</v>
      </c>
      <c r="G7" s="459"/>
      <c r="H7" s="459"/>
      <c r="I7" s="459"/>
      <c r="J7" s="459"/>
      <c r="K7" s="1022"/>
      <c r="L7" s="1022"/>
      <c r="M7" s="308"/>
      <c r="N7" s="308"/>
      <c r="O7" s="308"/>
      <c r="P7" s="308"/>
      <c r="Q7" s="308"/>
      <c r="R7" s="308"/>
      <c r="S7" s="308"/>
      <c r="T7" s="308"/>
      <c r="U7" s="308"/>
      <c r="V7" s="897"/>
      <c r="W7" s="897"/>
      <c r="X7" s="897"/>
      <c r="Y7" s="897"/>
      <c r="Z7" s="897"/>
    </row>
    <row r="8" ht="15.75" customHeight="1">
      <c r="A8" s="308"/>
      <c r="B8" s="1018" t="s">
        <v>686</v>
      </c>
      <c r="C8" s="1027">
        <v>0.0395</v>
      </c>
      <c r="D8" s="1028"/>
      <c r="E8" s="308"/>
      <c r="F8" s="459"/>
      <c r="G8" s="459"/>
      <c r="H8" s="459"/>
      <c r="I8" s="459"/>
      <c r="J8" s="1029"/>
      <c r="K8" s="1022"/>
      <c r="L8" s="1022"/>
      <c r="M8" s="308"/>
      <c r="N8" s="308"/>
      <c r="O8" s="308"/>
      <c r="P8" s="308"/>
      <c r="Q8" s="308"/>
      <c r="R8" s="308"/>
      <c r="S8" s="308"/>
      <c r="T8" s="308"/>
      <c r="U8" s="308"/>
      <c r="V8" s="897"/>
      <c r="W8" s="897"/>
      <c r="X8" s="897"/>
      <c r="Y8" s="897"/>
      <c r="Z8" s="897"/>
    </row>
    <row r="9" ht="15.75" customHeight="1">
      <c r="A9" s="308"/>
      <c r="B9" s="1018" t="s">
        <v>687</v>
      </c>
      <c r="C9" s="1030">
        <v>10.0</v>
      </c>
      <c r="D9" s="1031"/>
      <c r="E9" s="308"/>
      <c r="F9" s="1022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897"/>
      <c r="W9" s="897"/>
      <c r="X9" s="897"/>
      <c r="Y9" s="897"/>
      <c r="Z9" s="897"/>
    </row>
    <row r="10" ht="15.75" customHeight="1">
      <c r="A10" s="308"/>
      <c r="B10" s="1018" t="s">
        <v>688</v>
      </c>
      <c r="C10" s="1032"/>
      <c r="D10" s="1026"/>
      <c r="E10" s="308"/>
      <c r="F10" s="1022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897"/>
      <c r="W10" s="897"/>
      <c r="X10" s="897"/>
      <c r="Y10" s="897"/>
      <c r="Z10" s="897"/>
    </row>
    <row r="11" ht="15.75" customHeight="1">
      <c r="A11" s="308"/>
      <c r="B11" s="1018" t="s">
        <v>689</v>
      </c>
      <c r="C11" s="1033">
        <v>83.0</v>
      </c>
      <c r="D11" s="1034"/>
      <c r="E11" s="308"/>
      <c r="F11" s="459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897"/>
      <c r="W11" s="897"/>
      <c r="X11" s="897"/>
      <c r="Y11" s="897"/>
      <c r="Z11" s="897"/>
    </row>
    <row r="12" ht="15.75" customHeight="1">
      <c r="A12" s="308"/>
      <c r="B12" s="1018" t="s">
        <v>690</v>
      </c>
      <c r="C12" s="1035">
        <f>PMT(C8/12,C11,-C5)+C9</f>
        <v>947.6228581</v>
      </c>
      <c r="D12" s="1035"/>
      <c r="E12" s="308"/>
      <c r="F12" s="459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897"/>
      <c r="W12" s="897"/>
      <c r="X12" s="897"/>
      <c r="Y12" s="897"/>
      <c r="Z12" s="897"/>
    </row>
    <row r="13" ht="15.75" customHeight="1">
      <c r="A13" s="308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897"/>
      <c r="W13" s="897"/>
      <c r="X13" s="897"/>
      <c r="Y13" s="897"/>
      <c r="Z13" s="897"/>
    </row>
    <row r="14" ht="15.75" customHeight="1">
      <c r="A14" s="308"/>
      <c r="B14" s="800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897"/>
      <c r="W14" s="897"/>
      <c r="X14" s="897"/>
      <c r="Y14" s="897"/>
      <c r="Z14" s="897"/>
    </row>
    <row r="15" ht="24.75" customHeight="1">
      <c r="A15" s="308"/>
      <c r="B15" s="181" t="s">
        <v>691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308"/>
      <c r="Q15" s="308"/>
      <c r="R15" s="308"/>
      <c r="S15" s="308"/>
      <c r="T15" s="308"/>
      <c r="U15" s="308"/>
      <c r="V15" s="897"/>
      <c r="W15" s="897"/>
      <c r="X15" s="897"/>
      <c r="Y15" s="897"/>
      <c r="Z15" s="897"/>
    </row>
    <row r="16" ht="24.75" customHeight="1">
      <c r="A16" s="308"/>
      <c r="B16" s="1036"/>
      <c r="C16" s="1037" t="s">
        <v>692</v>
      </c>
      <c r="D16" s="1038"/>
      <c r="E16" s="1038">
        <f>YEAR(C6)</f>
        <v>2025</v>
      </c>
      <c r="F16" s="1038">
        <f t="shared" ref="F16:O16" si="1">E16+1</f>
        <v>2026</v>
      </c>
      <c r="G16" s="1038">
        <f t="shared" si="1"/>
        <v>2027</v>
      </c>
      <c r="H16" s="1038">
        <f t="shared" si="1"/>
        <v>2028</v>
      </c>
      <c r="I16" s="1038">
        <f t="shared" si="1"/>
        <v>2029</v>
      </c>
      <c r="J16" s="1038">
        <f t="shared" si="1"/>
        <v>2030</v>
      </c>
      <c r="K16" s="1038">
        <f t="shared" si="1"/>
        <v>2031</v>
      </c>
      <c r="L16" s="1038">
        <f t="shared" si="1"/>
        <v>2032</v>
      </c>
      <c r="M16" s="1038">
        <f t="shared" si="1"/>
        <v>2033</v>
      </c>
      <c r="N16" s="1038">
        <f t="shared" si="1"/>
        <v>2034</v>
      </c>
      <c r="O16" s="1038">
        <f t="shared" si="1"/>
        <v>2035</v>
      </c>
      <c r="P16" s="308"/>
      <c r="Q16" s="308"/>
      <c r="R16" s="308"/>
      <c r="S16" s="897"/>
      <c r="T16" s="897"/>
      <c r="U16" s="897"/>
      <c r="V16" s="897"/>
      <c r="W16" s="897"/>
      <c r="X16" s="897"/>
      <c r="Y16" s="897"/>
      <c r="Z16" s="897"/>
    </row>
    <row r="17" ht="15.75" customHeight="1">
      <c r="A17" s="308"/>
      <c r="B17" s="1039" t="s">
        <v>693</v>
      </c>
      <c r="C17" s="1040">
        <f t="shared" ref="C17:C19" si="3">SUM(E17:O17)</f>
        <v>11389.53055</v>
      </c>
      <c r="D17" s="1041"/>
      <c r="E17" s="1042">
        <f t="shared" ref="E17:O17" si="2">SUMIF($E$25:$E$539,E16,$H$25:$H$539)</f>
        <v>1566.833333</v>
      </c>
      <c r="F17" s="1042">
        <f t="shared" si="2"/>
        <v>2529.215087</v>
      </c>
      <c r="G17" s="1042">
        <f t="shared" si="2"/>
        <v>2178.379485</v>
      </c>
      <c r="H17" s="1042">
        <f t="shared" si="2"/>
        <v>1813.432217</v>
      </c>
      <c r="I17" s="1042">
        <f t="shared" si="2"/>
        <v>1433.805667</v>
      </c>
      <c r="J17" s="1042">
        <f t="shared" si="2"/>
        <v>1038.909391</v>
      </c>
      <c r="K17" s="1042">
        <f t="shared" si="2"/>
        <v>628.1291948</v>
      </c>
      <c r="L17" s="1042">
        <f t="shared" si="2"/>
        <v>200.8261787</v>
      </c>
      <c r="M17" s="1042">
        <f t="shared" si="2"/>
        <v>0</v>
      </c>
      <c r="N17" s="1042">
        <f t="shared" si="2"/>
        <v>0</v>
      </c>
      <c r="O17" s="1042">
        <f t="shared" si="2"/>
        <v>0</v>
      </c>
      <c r="P17" s="308"/>
      <c r="Q17" s="308"/>
      <c r="R17" s="308"/>
      <c r="S17" s="897"/>
      <c r="T17" s="897"/>
      <c r="U17" s="897"/>
      <c r="V17" s="897"/>
      <c r="W17" s="897"/>
      <c r="X17" s="897"/>
      <c r="Y17" s="897"/>
      <c r="Z17" s="897"/>
    </row>
    <row r="18" ht="15.75" customHeight="1">
      <c r="A18" s="308"/>
      <c r="B18" s="1039" t="s">
        <v>694</v>
      </c>
      <c r="C18" s="1040">
        <f t="shared" si="3"/>
        <v>900</v>
      </c>
      <c r="D18" s="1041"/>
      <c r="E18" s="1042">
        <f t="shared" ref="E18:O18" si="4">SUMIF($E$25:$E$539,E16,$I$25:$I$539)</f>
        <v>70</v>
      </c>
      <c r="F18" s="1042">
        <f t="shared" si="4"/>
        <v>120</v>
      </c>
      <c r="G18" s="1042">
        <f t="shared" si="4"/>
        <v>120</v>
      </c>
      <c r="H18" s="1042">
        <f t="shared" si="4"/>
        <v>120</v>
      </c>
      <c r="I18" s="1042">
        <f t="shared" si="4"/>
        <v>120</v>
      </c>
      <c r="J18" s="1042">
        <f t="shared" si="4"/>
        <v>120</v>
      </c>
      <c r="K18" s="1042">
        <f t="shared" si="4"/>
        <v>120</v>
      </c>
      <c r="L18" s="1042">
        <f t="shared" si="4"/>
        <v>110</v>
      </c>
      <c r="M18" s="1042">
        <f t="shared" si="4"/>
        <v>0</v>
      </c>
      <c r="N18" s="1042">
        <f t="shared" si="4"/>
        <v>0</v>
      </c>
      <c r="O18" s="1042">
        <f t="shared" si="4"/>
        <v>0</v>
      </c>
      <c r="P18" s="308"/>
      <c r="Q18" s="308"/>
      <c r="R18" s="308"/>
      <c r="S18" s="897"/>
      <c r="T18" s="897"/>
      <c r="U18" s="897"/>
      <c r="V18" s="897"/>
      <c r="W18" s="897"/>
      <c r="X18" s="897"/>
      <c r="Y18" s="897"/>
      <c r="Z18" s="897"/>
    </row>
    <row r="19" ht="15.75" customHeight="1">
      <c r="A19" s="308"/>
      <c r="B19" s="1039" t="s">
        <v>695</v>
      </c>
      <c r="C19" s="1040">
        <f t="shared" si="3"/>
        <v>68000</v>
      </c>
      <c r="D19" s="1041"/>
      <c r="E19" s="1042">
        <f t="shared" ref="E19:O19" si="5">SUMIF($E$25:$E$539,E16,$G$25:$G$539)</f>
        <v>0</v>
      </c>
      <c r="F19" s="1042">
        <f t="shared" si="5"/>
        <v>8722.25921</v>
      </c>
      <c r="G19" s="1042">
        <f t="shared" si="5"/>
        <v>9073.094812</v>
      </c>
      <c r="H19" s="1042">
        <f t="shared" si="5"/>
        <v>9438.04208</v>
      </c>
      <c r="I19" s="1042">
        <f t="shared" si="5"/>
        <v>9817.66863</v>
      </c>
      <c r="J19" s="1042">
        <f t="shared" si="5"/>
        <v>10212.56491</v>
      </c>
      <c r="K19" s="1042">
        <f t="shared" si="5"/>
        <v>10623.3451</v>
      </c>
      <c r="L19" s="1042">
        <f t="shared" si="5"/>
        <v>10113.02526</v>
      </c>
      <c r="M19" s="1042">
        <f t="shared" si="5"/>
        <v>0</v>
      </c>
      <c r="N19" s="1042">
        <f t="shared" si="5"/>
        <v>0</v>
      </c>
      <c r="O19" s="1042">
        <f t="shared" si="5"/>
        <v>0</v>
      </c>
      <c r="P19" s="308"/>
      <c r="Q19" s="308"/>
      <c r="R19" s="308"/>
      <c r="S19" s="897"/>
      <c r="T19" s="897"/>
      <c r="U19" s="897"/>
      <c r="V19" s="897"/>
      <c r="W19" s="897"/>
      <c r="X19" s="897"/>
      <c r="Y19" s="897"/>
      <c r="Z19" s="897"/>
    </row>
    <row r="20" ht="15.75" customHeight="1">
      <c r="A20" s="308"/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897"/>
      <c r="T20" s="897"/>
      <c r="U20" s="897"/>
      <c r="V20" s="897"/>
      <c r="W20" s="897"/>
      <c r="X20" s="897"/>
      <c r="Y20" s="897"/>
      <c r="Z20" s="897"/>
    </row>
    <row r="21" ht="15.75" customHeight="1">
      <c r="A21" s="308"/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897"/>
      <c r="W21" s="897"/>
      <c r="X21" s="897"/>
      <c r="Y21" s="897"/>
      <c r="Z21" s="897"/>
    </row>
    <row r="22" ht="15.75" customHeight="1">
      <c r="A22" s="308"/>
      <c r="B22" s="308"/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897"/>
      <c r="W22" s="897"/>
      <c r="X22" s="897"/>
      <c r="Y22" s="897"/>
      <c r="Z22" s="897"/>
    </row>
    <row r="23" ht="24.75" customHeight="1">
      <c r="A23" s="308"/>
      <c r="B23" s="181" t="s">
        <v>696</v>
      </c>
      <c r="C23" s="181"/>
      <c r="D23" s="181"/>
      <c r="E23" s="181"/>
      <c r="F23" s="181"/>
      <c r="G23" s="181"/>
      <c r="H23" s="181"/>
      <c r="I23" s="181"/>
      <c r="J23" s="181"/>
      <c r="K23" s="1043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897"/>
      <c r="W23" s="897"/>
      <c r="X23" s="897"/>
      <c r="Y23" s="897"/>
      <c r="Z23" s="897"/>
    </row>
    <row r="24" ht="54.75" customHeight="1">
      <c r="A24" s="308"/>
      <c r="B24" s="1044" t="s">
        <v>697</v>
      </c>
      <c r="C24" s="1045" t="s">
        <v>698</v>
      </c>
      <c r="D24" s="1045" t="s">
        <v>159</v>
      </c>
      <c r="E24" s="1046" t="s">
        <v>699</v>
      </c>
      <c r="F24" s="1046" t="s">
        <v>700</v>
      </c>
      <c r="G24" s="1046" t="s">
        <v>701</v>
      </c>
      <c r="H24" s="1046" t="s">
        <v>702</v>
      </c>
      <c r="I24" s="1046" t="s">
        <v>703</v>
      </c>
      <c r="J24" s="1047" t="s">
        <v>704</v>
      </c>
      <c r="K24" s="1043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897"/>
      <c r="W24" s="897"/>
      <c r="X24" s="897"/>
      <c r="Y24" s="897"/>
      <c r="Z24" s="897"/>
    </row>
    <row r="25" ht="15.75" customHeight="1">
      <c r="A25" s="308"/>
      <c r="B25" s="1026">
        <v>1.0</v>
      </c>
      <c r="C25" s="1048">
        <f>EDATE(C6,1)</f>
        <v>45823</v>
      </c>
      <c r="D25" s="1049">
        <f t="shared" ref="D25:D374" si="6">MONTH(C25)</f>
        <v>6</v>
      </c>
      <c r="E25" s="1050">
        <f t="shared" ref="E25:E374" si="7">YEAR(C25)</f>
        <v>2025</v>
      </c>
      <c r="F25" s="1050">
        <f>C5</f>
        <v>68000</v>
      </c>
      <c r="G25" s="1050">
        <f t="shared" ref="G25:G374" si="8">J25-H25-I25</f>
        <v>0</v>
      </c>
      <c r="H25" s="1050">
        <f t="shared" ref="H25:H374" si="9">F25*($C$8/12)</f>
        <v>223.8333333</v>
      </c>
      <c r="I25" s="1050">
        <f t="shared" ref="I25:I374" si="10">IF(F25&lt;1,0,$C$9)</f>
        <v>10</v>
      </c>
      <c r="J25" s="1051">
        <f t="shared" ref="J25:J374" si="11">IF(F25&lt;1,0,IF(B25&lt;=$C$7,(H25+I25),$C$12))</f>
        <v>233.8333333</v>
      </c>
      <c r="K25" s="1043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897"/>
      <c r="W25" s="897"/>
      <c r="X25" s="897"/>
      <c r="Y25" s="897"/>
      <c r="Z25" s="897"/>
    </row>
    <row r="26" ht="15.75" customHeight="1">
      <c r="A26" s="308"/>
      <c r="B26" s="1026">
        <v>2.0</v>
      </c>
      <c r="C26" s="1048">
        <f t="shared" ref="C26:C374" si="12">EDATE(C25,1)</f>
        <v>45853</v>
      </c>
      <c r="D26" s="1049">
        <f t="shared" si="6"/>
        <v>7</v>
      </c>
      <c r="E26" s="1050">
        <f t="shared" si="7"/>
        <v>2025</v>
      </c>
      <c r="F26" s="1050">
        <f t="shared" ref="F26:F374" si="13">IF(F25-G25&lt;=0,0,F25-G25)</f>
        <v>68000</v>
      </c>
      <c r="G26" s="1050">
        <f t="shared" si="8"/>
        <v>0</v>
      </c>
      <c r="H26" s="1050">
        <f t="shared" si="9"/>
        <v>223.8333333</v>
      </c>
      <c r="I26" s="1050">
        <f t="shared" si="10"/>
        <v>10</v>
      </c>
      <c r="J26" s="1051">
        <f t="shared" si="11"/>
        <v>233.8333333</v>
      </c>
      <c r="K26" s="1043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897"/>
      <c r="W26" s="897"/>
      <c r="X26" s="897"/>
      <c r="Y26" s="897"/>
      <c r="Z26" s="897"/>
    </row>
    <row r="27" ht="15.75" customHeight="1">
      <c r="A27" s="308"/>
      <c r="B27" s="1026">
        <v>3.0</v>
      </c>
      <c r="C27" s="1048">
        <f t="shared" si="12"/>
        <v>45884</v>
      </c>
      <c r="D27" s="1049">
        <f t="shared" si="6"/>
        <v>8</v>
      </c>
      <c r="E27" s="1050">
        <f t="shared" si="7"/>
        <v>2025</v>
      </c>
      <c r="F27" s="1050">
        <f t="shared" si="13"/>
        <v>68000</v>
      </c>
      <c r="G27" s="1050">
        <f t="shared" si="8"/>
        <v>0</v>
      </c>
      <c r="H27" s="1050">
        <f t="shared" si="9"/>
        <v>223.8333333</v>
      </c>
      <c r="I27" s="1050">
        <f t="shared" si="10"/>
        <v>10</v>
      </c>
      <c r="J27" s="1051">
        <f t="shared" si="11"/>
        <v>233.8333333</v>
      </c>
      <c r="K27" s="1043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897"/>
      <c r="W27" s="897"/>
      <c r="X27" s="897"/>
      <c r="Y27" s="897"/>
      <c r="Z27" s="897"/>
    </row>
    <row r="28" ht="15.75" customHeight="1">
      <c r="A28" s="308"/>
      <c r="B28" s="1026">
        <v>4.0</v>
      </c>
      <c r="C28" s="1048">
        <f t="shared" si="12"/>
        <v>45915</v>
      </c>
      <c r="D28" s="1049">
        <f t="shared" si="6"/>
        <v>9</v>
      </c>
      <c r="E28" s="1050">
        <f t="shared" si="7"/>
        <v>2025</v>
      </c>
      <c r="F28" s="1050">
        <f t="shared" si="13"/>
        <v>68000</v>
      </c>
      <c r="G28" s="1050">
        <f t="shared" si="8"/>
        <v>0</v>
      </c>
      <c r="H28" s="1050">
        <f t="shared" si="9"/>
        <v>223.8333333</v>
      </c>
      <c r="I28" s="1050">
        <f t="shared" si="10"/>
        <v>10</v>
      </c>
      <c r="J28" s="1051">
        <f t="shared" si="11"/>
        <v>233.8333333</v>
      </c>
      <c r="K28" s="1043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897"/>
      <c r="W28" s="897"/>
      <c r="X28" s="897"/>
      <c r="Y28" s="897"/>
      <c r="Z28" s="897"/>
    </row>
    <row r="29" ht="15.75" customHeight="1">
      <c r="A29" s="308"/>
      <c r="B29" s="1026">
        <v>5.0</v>
      </c>
      <c r="C29" s="1048">
        <f t="shared" si="12"/>
        <v>45945</v>
      </c>
      <c r="D29" s="1049">
        <f t="shared" si="6"/>
        <v>10</v>
      </c>
      <c r="E29" s="1050">
        <f t="shared" si="7"/>
        <v>2025</v>
      </c>
      <c r="F29" s="1050">
        <f t="shared" si="13"/>
        <v>68000</v>
      </c>
      <c r="G29" s="1050">
        <f t="shared" si="8"/>
        <v>0</v>
      </c>
      <c r="H29" s="1050">
        <f t="shared" si="9"/>
        <v>223.8333333</v>
      </c>
      <c r="I29" s="1050">
        <f t="shared" si="10"/>
        <v>10</v>
      </c>
      <c r="J29" s="1051">
        <f t="shared" si="11"/>
        <v>233.8333333</v>
      </c>
      <c r="K29" s="1043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897"/>
      <c r="W29" s="897"/>
      <c r="X29" s="897"/>
      <c r="Y29" s="897"/>
      <c r="Z29" s="897"/>
    </row>
    <row r="30" ht="15.75" customHeight="1">
      <c r="A30" s="308"/>
      <c r="B30" s="1026">
        <v>6.0</v>
      </c>
      <c r="C30" s="1048">
        <f t="shared" si="12"/>
        <v>45976</v>
      </c>
      <c r="D30" s="1049">
        <f t="shared" si="6"/>
        <v>11</v>
      </c>
      <c r="E30" s="1050">
        <f t="shared" si="7"/>
        <v>2025</v>
      </c>
      <c r="F30" s="1050">
        <f t="shared" si="13"/>
        <v>68000</v>
      </c>
      <c r="G30" s="1050">
        <f t="shared" si="8"/>
        <v>0</v>
      </c>
      <c r="H30" s="1050">
        <f t="shared" si="9"/>
        <v>223.8333333</v>
      </c>
      <c r="I30" s="1050">
        <f t="shared" si="10"/>
        <v>10</v>
      </c>
      <c r="J30" s="1051">
        <f t="shared" si="11"/>
        <v>233.8333333</v>
      </c>
      <c r="K30" s="1043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897"/>
      <c r="W30" s="897"/>
      <c r="X30" s="897"/>
      <c r="Y30" s="897"/>
      <c r="Z30" s="897"/>
    </row>
    <row r="31" ht="15.75" customHeight="1">
      <c r="A31" s="308"/>
      <c r="B31" s="1026">
        <v>7.0</v>
      </c>
      <c r="C31" s="1048">
        <f t="shared" si="12"/>
        <v>46006</v>
      </c>
      <c r="D31" s="1049">
        <f t="shared" si="6"/>
        <v>12</v>
      </c>
      <c r="E31" s="1050">
        <f t="shared" si="7"/>
        <v>2025</v>
      </c>
      <c r="F31" s="1050">
        <f t="shared" si="13"/>
        <v>68000</v>
      </c>
      <c r="G31" s="1050">
        <f t="shared" si="8"/>
        <v>0</v>
      </c>
      <c r="H31" s="1050">
        <f t="shared" si="9"/>
        <v>223.8333333</v>
      </c>
      <c r="I31" s="1050">
        <f t="shared" si="10"/>
        <v>10</v>
      </c>
      <c r="J31" s="1051">
        <f t="shared" si="11"/>
        <v>233.8333333</v>
      </c>
      <c r="K31" s="1043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897"/>
      <c r="W31" s="897"/>
      <c r="X31" s="897"/>
      <c r="Y31" s="897"/>
      <c r="Z31" s="897"/>
    </row>
    <row r="32" ht="15.75" customHeight="1">
      <c r="A32" s="308"/>
      <c r="B32" s="1026">
        <v>8.0</v>
      </c>
      <c r="C32" s="1048">
        <f t="shared" si="12"/>
        <v>46037</v>
      </c>
      <c r="D32" s="1049">
        <f t="shared" si="6"/>
        <v>1</v>
      </c>
      <c r="E32" s="1050">
        <f t="shared" si="7"/>
        <v>2026</v>
      </c>
      <c r="F32" s="1050">
        <f t="shared" si="13"/>
        <v>68000</v>
      </c>
      <c r="G32" s="1050">
        <f t="shared" si="8"/>
        <v>713.7895247</v>
      </c>
      <c r="H32" s="1050">
        <f t="shared" si="9"/>
        <v>223.8333333</v>
      </c>
      <c r="I32" s="1050">
        <f t="shared" si="10"/>
        <v>10</v>
      </c>
      <c r="J32" s="1051">
        <f t="shared" si="11"/>
        <v>947.6228581</v>
      </c>
      <c r="K32" s="1043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897"/>
      <c r="W32" s="897"/>
      <c r="X32" s="897"/>
      <c r="Y32" s="897"/>
      <c r="Z32" s="897"/>
    </row>
    <row r="33" ht="15.75" customHeight="1">
      <c r="A33" s="308"/>
      <c r="B33" s="1026">
        <v>9.0</v>
      </c>
      <c r="C33" s="1048">
        <f t="shared" si="12"/>
        <v>46068</v>
      </c>
      <c r="D33" s="1049">
        <f t="shared" si="6"/>
        <v>2</v>
      </c>
      <c r="E33" s="1050">
        <f t="shared" si="7"/>
        <v>2026</v>
      </c>
      <c r="F33" s="1050">
        <f t="shared" si="13"/>
        <v>67286.21048</v>
      </c>
      <c r="G33" s="1050">
        <f t="shared" si="8"/>
        <v>716.1390819</v>
      </c>
      <c r="H33" s="1050">
        <f t="shared" si="9"/>
        <v>221.4837761</v>
      </c>
      <c r="I33" s="1050">
        <f t="shared" si="10"/>
        <v>10</v>
      </c>
      <c r="J33" s="1051">
        <f t="shared" si="11"/>
        <v>947.6228581</v>
      </c>
      <c r="K33" s="1043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897"/>
      <c r="W33" s="897"/>
      <c r="X33" s="897"/>
      <c r="Y33" s="897"/>
      <c r="Z33" s="897"/>
    </row>
    <row r="34" ht="15.75" customHeight="1">
      <c r="A34" s="308"/>
      <c r="B34" s="1026">
        <v>10.0</v>
      </c>
      <c r="C34" s="1048">
        <f t="shared" si="12"/>
        <v>46096</v>
      </c>
      <c r="D34" s="1049">
        <f t="shared" si="6"/>
        <v>3</v>
      </c>
      <c r="E34" s="1050">
        <f t="shared" si="7"/>
        <v>2026</v>
      </c>
      <c r="F34" s="1050">
        <f t="shared" si="13"/>
        <v>66570.07139</v>
      </c>
      <c r="G34" s="1050">
        <f t="shared" si="8"/>
        <v>718.4963731</v>
      </c>
      <c r="H34" s="1050">
        <f t="shared" si="9"/>
        <v>219.126485</v>
      </c>
      <c r="I34" s="1050">
        <f t="shared" si="10"/>
        <v>10</v>
      </c>
      <c r="J34" s="1051">
        <f t="shared" si="11"/>
        <v>947.6228581</v>
      </c>
      <c r="K34" s="1043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897"/>
      <c r="W34" s="897"/>
      <c r="X34" s="897"/>
      <c r="Y34" s="897"/>
      <c r="Z34" s="897"/>
    </row>
    <row r="35" ht="15.75" customHeight="1">
      <c r="A35" s="308"/>
      <c r="B35" s="1026">
        <v>11.0</v>
      </c>
      <c r="C35" s="1048">
        <f t="shared" si="12"/>
        <v>46127</v>
      </c>
      <c r="D35" s="1049">
        <f t="shared" si="6"/>
        <v>4</v>
      </c>
      <c r="E35" s="1050">
        <f t="shared" si="7"/>
        <v>2026</v>
      </c>
      <c r="F35" s="1050">
        <f t="shared" si="13"/>
        <v>65851.57502</v>
      </c>
      <c r="G35" s="1050">
        <f t="shared" si="8"/>
        <v>720.8614236</v>
      </c>
      <c r="H35" s="1050">
        <f t="shared" si="9"/>
        <v>216.7614344</v>
      </c>
      <c r="I35" s="1050">
        <f t="shared" si="10"/>
        <v>10</v>
      </c>
      <c r="J35" s="1051">
        <f t="shared" si="11"/>
        <v>947.6228581</v>
      </c>
      <c r="K35" s="1043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897"/>
      <c r="W35" s="897"/>
      <c r="X35" s="897"/>
      <c r="Y35" s="897"/>
      <c r="Z35" s="897"/>
    </row>
    <row r="36" ht="15.75" customHeight="1">
      <c r="A36" s="308"/>
      <c r="B36" s="1026">
        <v>12.0</v>
      </c>
      <c r="C36" s="1048">
        <f t="shared" si="12"/>
        <v>46157</v>
      </c>
      <c r="D36" s="1049">
        <f t="shared" si="6"/>
        <v>5</v>
      </c>
      <c r="E36" s="1050">
        <f t="shared" si="7"/>
        <v>2026</v>
      </c>
      <c r="F36" s="1050">
        <f t="shared" si="13"/>
        <v>65130.7136</v>
      </c>
      <c r="G36" s="1050">
        <f t="shared" si="8"/>
        <v>723.2342591</v>
      </c>
      <c r="H36" s="1050">
        <f t="shared" si="9"/>
        <v>214.3885989</v>
      </c>
      <c r="I36" s="1050">
        <f t="shared" si="10"/>
        <v>10</v>
      </c>
      <c r="J36" s="1051">
        <f t="shared" si="11"/>
        <v>947.6228581</v>
      </c>
      <c r="K36" s="1043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897"/>
      <c r="W36" s="897"/>
      <c r="X36" s="897"/>
      <c r="Y36" s="897"/>
      <c r="Z36" s="897"/>
    </row>
    <row r="37" ht="15.75" customHeight="1">
      <c r="A37" s="308"/>
      <c r="B37" s="1026">
        <v>13.0</v>
      </c>
      <c r="C37" s="1048">
        <f t="shared" si="12"/>
        <v>46188</v>
      </c>
      <c r="D37" s="1049">
        <f t="shared" si="6"/>
        <v>6</v>
      </c>
      <c r="E37" s="1050">
        <f t="shared" si="7"/>
        <v>2026</v>
      </c>
      <c r="F37" s="1050">
        <f t="shared" si="13"/>
        <v>64407.47934</v>
      </c>
      <c r="G37" s="1050">
        <f t="shared" si="8"/>
        <v>725.6149053</v>
      </c>
      <c r="H37" s="1050">
        <f t="shared" si="9"/>
        <v>212.0079528</v>
      </c>
      <c r="I37" s="1050">
        <f t="shared" si="10"/>
        <v>10</v>
      </c>
      <c r="J37" s="1051">
        <f t="shared" si="11"/>
        <v>947.6228581</v>
      </c>
      <c r="K37" s="1043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897"/>
      <c r="W37" s="897"/>
      <c r="X37" s="897"/>
      <c r="Y37" s="897"/>
      <c r="Z37" s="897"/>
    </row>
    <row r="38" ht="15.75" customHeight="1">
      <c r="A38" s="308"/>
      <c r="B38" s="1026">
        <v>14.0</v>
      </c>
      <c r="C38" s="1048">
        <f t="shared" si="12"/>
        <v>46218</v>
      </c>
      <c r="D38" s="1049">
        <f t="shared" si="6"/>
        <v>7</v>
      </c>
      <c r="E38" s="1050">
        <f t="shared" si="7"/>
        <v>2026</v>
      </c>
      <c r="F38" s="1050">
        <f t="shared" si="13"/>
        <v>63681.86443</v>
      </c>
      <c r="G38" s="1050">
        <f t="shared" si="8"/>
        <v>728.0033876</v>
      </c>
      <c r="H38" s="1050">
        <f t="shared" si="9"/>
        <v>209.6194704</v>
      </c>
      <c r="I38" s="1050">
        <f t="shared" si="10"/>
        <v>10</v>
      </c>
      <c r="J38" s="1051">
        <f t="shared" si="11"/>
        <v>947.6228581</v>
      </c>
      <c r="K38" s="1043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897"/>
      <c r="W38" s="897"/>
      <c r="X38" s="897"/>
      <c r="Y38" s="897"/>
      <c r="Z38" s="897"/>
    </row>
    <row r="39" ht="15.75" customHeight="1">
      <c r="A39" s="308"/>
      <c r="B39" s="1026">
        <v>15.0</v>
      </c>
      <c r="C39" s="1048">
        <f t="shared" si="12"/>
        <v>46249</v>
      </c>
      <c r="D39" s="1049">
        <f t="shared" si="6"/>
        <v>8</v>
      </c>
      <c r="E39" s="1050">
        <f t="shared" si="7"/>
        <v>2026</v>
      </c>
      <c r="F39" s="1050">
        <f t="shared" si="13"/>
        <v>62953.86104</v>
      </c>
      <c r="G39" s="1050">
        <f t="shared" si="8"/>
        <v>730.3997321</v>
      </c>
      <c r="H39" s="1050">
        <f t="shared" si="9"/>
        <v>207.2231259</v>
      </c>
      <c r="I39" s="1050">
        <f t="shared" si="10"/>
        <v>10</v>
      </c>
      <c r="J39" s="1051">
        <f t="shared" si="11"/>
        <v>947.6228581</v>
      </c>
      <c r="K39" s="1043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897"/>
      <c r="W39" s="897"/>
      <c r="X39" s="897"/>
      <c r="Y39" s="897"/>
      <c r="Z39" s="897"/>
    </row>
    <row r="40" ht="15.75" customHeight="1">
      <c r="A40" s="308"/>
      <c r="B40" s="1026">
        <v>16.0</v>
      </c>
      <c r="C40" s="1048">
        <f t="shared" si="12"/>
        <v>46280</v>
      </c>
      <c r="D40" s="1049">
        <f t="shared" si="6"/>
        <v>9</v>
      </c>
      <c r="E40" s="1050">
        <f t="shared" si="7"/>
        <v>2026</v>
      </c>
      <c r="F40" s="1050">
        <f t="shared" si="13"/>
        <v>62223.46131</v>
      </c>
      <c r="G40" s="1050">
        <f t="shared" si="8"/>
        <v>732.8039646</v>
      </c>
      <c r="H40" s="1050">
        <f t="shared" si="9"/>
        <v>204.8188935</v>
      </c>
      <c r="I40" s="1050">
        <f t="shared" si="10"/>
        <v>10</v>
      </c>
      <c r="J40" s="1051">
        <f t="shared" si="11"/>
        <v>947.6228581</v>
      </c>
      <c r="K40" s="1043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897"/>
      <c r="W40" s="897"/>
      <c r="X40" s="897"/>
      <c r="Y40" s="897"/>
      <c r="Z40" s="897"/>
    </row>
    <row r="41" ht="15.75" customHeight="1">
      <c r="A41" s="308"/>
      <c r="B41" s="1026">
        <v>17.0</v>
      </c>
      <c r="C41" s="1048">
        <f t="shared" si="12"/>
        <v>46310</v>
      </c>
      <c r="D41" s="1049">
        <f t="shared" si="6"/>
        <v>10</v>
      </c>
      <c r="E41" s="1050">
        <f t="shared" si="7"/>
        <v>2026</v>
      </c>
      <c r="F41" s="1050">
        <f t="shared" si="13"/>
        <v>61490.65735</v>
      </c>
      <c r="G41" s="1050">
        <f t="shared" si="8"/>
        <v>735.216111</v>
      </c>
      <c r="H41" s="1050">
        <f t="shared" si="9"/>
        <v>202.4067471</v>
      </c>
      <c r="I41" s="1050">
        <f t="shared" si="10"/>
        <v>10</v>
      </c>
      <c r="J41" s="1051">
        <f t="shared" si="11"/>
        <v>947.6228581</v>
      </c>
      <c r="K41" s="1043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897"/>
      <c r="W41" s="897"/>
      <c r="X41" s="897"/>
      <c r="Y41" s="897"/>
      <c r="Z41" s="897"/>
    </row>
    <row r="42" ht="15.75" customHeight="1">
      <c r="A42" s="308"/>
      <c r="B42" s="1026">
        <v>18.0</v>
      </c>
      <c r="C42" s="1048">
        <f t="shared" si="12"/>
        <v>46341</v>
      </c>
      <c r="D42" s="1049">
        <f t="shared" si="6"/>
        <v>11</v>
      </c>
      <c r="E42" s="1050">
        <f t="shared" si="7"/>
        <v>2026</v>
      </c>
      <c r="F42" s="1050">
        <f t="shared" si="13"/>
        <v>60755.44124</v>
      </c>
      <c r="G42" s="1050">
        <f t="shared" si="8"/>
        <v>737.6361973</v>
      </c>
      <c r="H42" s="1050">
        <f t="shared" si="9"/>
        <v>199.9866607</v>
      </c>
      <c r="I42" s="1050">
        <f t="shared" si="10"/>
        <v>10</v>
      </c>
      <c r="J42" s="1051">
        <f t="shared" si="11"/>
        <v>947.6228581</v>
      </c>
      <c r="K42" s="1043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897"/>
      <c r="W42" s="897"/>
      <c r="X42" s="897"/>
      <c r="Y42" s="897"/>
      <c r="Z42" s="897"/>
    </row>
    <row r="43" ht="15.75" customHeight="1">
      <c r="A43" s="308"/>
      <c r="B43" s="1026">
        <v>19.0</v>
      </c>
      <c r="C43" s="1048">
        <f t="shared" si="12"/>
        <v>46371</v>
      </c>
      <c r="D43" s="1049">
        <f t="shared" si="6"/>
        <v>12</v>
      </c>
      <c r="E43" s="1050">
        <f t="shared" si="7"/>
        <v>2026</v>
      </c>
      <c r="F43" s="1050">
        <f t="shared" si="13"/>
        <v>60017.80504</v>
      </c>
      <c r="G43" s="1050">
        <f t="shared" si="8"/>
        <v>740.0642498</v>
      </c>
      <c r="H43" s="1050">
        <f t="shared" si="9"/>
        <v>197.5586083</v>
      </c>
      <c r="I43" s="1050">
        <f t="shared" si="10"/>
        <v>10</v>
      </c>
      <c r="J43" s="1051">
        <f t="shared" si="11"/>
        <v>947.6228581</v>
      </c>
      <c r="K43" s="1043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897"/>
      <c r="W43" s="897"/>
      <c r="X43" s="897"/>
      <c r="Y43" s="897"/>
      <c r="Z43" s="897"/>
    </row>
    <row r="44" ht="15.75" customHeight="1">
      <c r="A44" s="308"/>
      <c r="B44" s="1026">
        <v>20.0</v>
      </c>
      <c r="C44" s="1048">
        <f t="shared" si="12"/>
        <v>46402</v>
      </c>
      <c r="D44" s="1049">
        <f t="shared" si="6"/>
        <v>1</v>
      </c>
      <c r="E44" s="1050">
        <f t="shared" si="7"/>
        <v>2027</v>
      </c>
      <c r="F44" s="1050">
        <f t="shared" si="13"/>
        <v>59277.74079</v>
      </c>
      <c r="G44" s="1050">
        <f t="shared" si="8"/>
        <v>742.5002946</v>
      </c>
      <c r="H44" s="1050">
        <f t="shared" si="9"/>
        <v>195.1225634</v>
      </c>
      <c r="I44" s="1050">
        <f t="shared" si="10"/>
        <v>10</v>
      </c>
      <c r="J44" s="1051">
        <f t="shared" si="11"/>
        <v>947.6228581</v>
      </c>
      <c r="K44" s="1043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897"/>
      <c r="W44" s="897"/>
      <c r="X44" s="897"/>
      <c r="Y44" s="897"/>
      <c r="Z44" s="897"/>
    </row>
    <row r="45" ht="15.75" customHeight="1">
      <c r="A45" s="308"/>
      <c r="B45" s="1026">
        <v>21.0</v>
      </c>
      <c r="C45" s="1048">
        <f t="shared" si="12"/>
        <v>46433</v>
      </c>
      <c r="D45" s="1049">
        <f t="shared" si="6"/>
        <v>2</v>
      </c>
      <c r="E45" s="1050">
        <f t="shared" si="7"/>
        <v>2027</v>
      </c>
      <c r="F45" s="1050">
        <f t="shared" si="13"/>
        <v>58535.2405</v>
      </c>
      <c r="G45" s="1050">
        <f t="shared" si="8"/>
        <v>744.9443581</v>
      </c>
      <c r="H45" s="1050">
        <f t="shared" si="9"/>
        <v>192.6785</v>
      </c>
      <c r="I45" s="1050">
        <f t="shared" si="10"/>
        <v>10</v>
      </c>
      <c r="J45" s="1051">
        <f t="shared" si="11"/>
        <v>947.6228581</v>
      </c>
      <c r="K45" s="1043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897"/>
      <c r="W45" s="897"/>
      <c r="X45" s="897"/>
      <c r="Y45" s="897"/>
      <c r="Z45" s="897"/>
    </row>
    <row r="46" ht="15.75" customHeight="1">
      <c r="A46" s="308"/>
      <c r="B46" s="1026">
        <v>22.0</v>
      </c>
      <c r="C46" s="1048">
        <f t="shared" si="12"/>
        <v>46461</v>
      </c>
      <c r="D46" s="1049">
        <f t="shared" si="6"/>
        <v>3</v>
      </c>
      <c r="E46" s="1050">
        <f t="shared" si="7"/>
        <v>2027</v>
      </c>
      <c r="F46" s="1050">
        <f t="shared" si="13"/>
        <v>57790.29614</v>
      </c>
      <c r="G46" s="1050">
        <f t="shared" si="8"/>
        <v>747.3964666</v>
      </c>
      <c r="H46" s="1050">
        <f t="shared" si="9"/>
        <v>190.2263915</v>
      </c>
      <c r="I46" s="1050">
        <f t="shared" si="10"/>
        <v>10</v>
      </c>
      <c r="J46" s="1051">
        <f t="shared" si="11"/>
        <v>947.6228581</v>
      </c>
      <c r="K46" s="1043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897"/>
      <c r="W46" s="897"/>
      <c r="X46" s="897"/>
      <c r="Y46" s="897"/>
      <c r="Z46" s="897"/>
    </row>
    <row r="47" ht="15.75" customHeight="1">
      <c r="A47" s="308"/>
      <c r="B47" s="1026">
        <v>23.0</v>
      </c>
      <c r="C47" s="1048">
        <f t="shared" si="12"/>
        <v>46492</v>
      </c>
      <c r="D47" s="1049">
        <f t="shared" si="6"/>
        <v>4</v>
      </c>
      <c r="E47" s="1050">
        <f t="shared" si="7"/>
        <v>2027</v>
      </c>
      <c r="F47" s="1050">
        <f t="shared" si="13"/>
        <v>57042.89967</v>
      </c>
      <c r="G47" s="1050">
        <f t="shared" si="8"/>
        <v>749.8566467</v>
      </c>
      <c r="H47" s="1050">
        <f t="shared" si="9"/>
        <v>187.7662114</v>
      </c>
      <c r="I47" s="1050">
        <f t="shared" si="10"/>
        <v>10</v>
      </c>
      <c r="J47" s="1051">
        <f t="shared" si="11"/>
        <v>947.6228581</v>
      </c>
      <c r="K47" s="1043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897"/>
      <c r="W47" s="897"/>
      <c r="X47" s="897"/>
      <c r="Y47" s="897"/>
      <c r="Z47" s="897"/>
    </row>
    <row r="48" ht="15.75" customHeight="1">
      <c r="A48" s="308"/>
      <c r="B48" s="1026">
        <v>24.0</v>
      </c>
      <c r="C48" s="1048">
        <f t="shared" si="12"/>
        <v>46522</v>
      </c>
      <c r="D48" s="1049">
        <f t="shared" si="6"/>
        <v>5</v>
      </c>
      <c r="E48" s="1050">
        <f t="shared" si="7"/>
        <v>2027</v>
      </c>
      <c r="F48" s="1050">
        <f t="shared" si="13"/>
        <v>56293.04302</v>
      </c>
      <c r="G48" s="1050">
        <f t="shared" si="8"/>
        <v>752.3249248</v>
      </c>
      <c r="H48" s="1050">
        <f t="shared" si="9"/>
        <v>185.2979333</v>
      </c>
      <c r="I48" s="1050">
        <f t="shared" si="10"/>
        <v>10</v>
      </c>
      <c r="J48" s="1051">
        <f t="shared" si="11"/>
        <v>947.6228581</v>
      </c>
      <c r="K48" s="1043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897"/>
      <c r="W48" s="897"/>
      <c r="X48" s="897"/>
      <c r="Y48" s="897"/>
      <c r="Z48" s="897"/>
    </row>
    <row r="49" ht="15.75" customHeight="1">
      <c r="A49" s="308"/>
      <c r="B49" s="1026">
        <v>25.0</v>
      </c>
      <c r="C49" s="1048">
        <f t="shared" si="12"/>
        <v>46553</v>
      </c>
      <c r="D49" s="1049">
        <f t="shared" si="6"/>
        <v>6</v>
      </c>
      <c r="E49" s="1050">
        <f t="shared" si="7"/>
        <v>2027</v>
      </c>
      <c r="F49" s="1050">
        <f t="shared" si="13"/>
        <v>55540.7181</v>
      </c>
      <c r="G49" s="1050">
        <f t="shared" si="8"/>
        <v>754.8013277</v>
      </c>
      <c r="H49" s="1050">
        <f t="shared" si="9"/>
        <v>182.8215304</v>
      </c>
      <c r="I49" s="1050">
        <f t="shared" si="10"/>
        <v>10</v>
      </c>
      <c r="J49" s="1051">
        <f t="shared" si="11"/>
        <v>947.6228581</v>
      </c>
      <c r="K49" s="1043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897"/>
      <c r="W49" s="897"/>
      <c r="X49" s="897"/>
      <c r="Y49" s="897"/>
      <c r="Z49" s="897"/>
    </row>
    <row r="50" ht="15.75" customHeight="1">
      <c r="A50" s="308"/>
      <c r="B50" s="1026">
        <v>26.0</v>
      </c>
      <c r="C50" s="1048">
        <f t="shared" si="12"/>
        <v>46583</v>
      </c>
      <c r="D50" s="1049">
        <f t="shared" si="6"/>
        <v>7</v>
      </c>
      <c r="E50" s="1050">
        <f t="shared" si="7"/>
        <v>2027</v>
      </c>
      <c r="F50" s="1050">
        <f t="shared" si="13"/>
        <v>54785.91677</v>
      </c>
      <c r="G50" s="1050">
        <f t="shared" si="8"/>
        <v>757.285882</v>
      </c>
      <c r="H50" s="1050">
        <f t="shared" si="9"/>
        <v>180.336976</v>
      </c>
      <c r="I50" s="1050">
        <f t="shared" si="10"/>
        <v>10</v>
      </c>
      <c r="J50" s="1051">
        <f t="shared" si="11"/>
        <v>947.6228581</v>
      </c>
      <c r="K50" s="1043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897"/>
      <c r="W50" s="897"/>
      <c r="X50" s="897"/>
      <c r="Y50" s="897"/>
      <c r="Z50" s="897"/>
    </row>
    <row r="51" ht="15.75" customHeight="1">
      <c r="A51" s="308"/>
      <c r="B51" s="1026">
        <v>27.0</v>
      </c>
      <c r="C51" s="1048">
        <f t="shared" si="12"/>
        <v>46614</v>
      </c>
      <c r="D51" s="1049">
        <f t="shared" si="6"/>
        <v>8</v>
      </c>
      <c r="E51" s="1050">
        <f t="shared" si="7"/>
        <v>2027</v>
      </c>
      <c r="F51" s="1050">
        <f t="shared" si="13"/>
        <v>54028.63089</v>
      </c>
      <c r="G51" s="1050">
        <f t="shared" si="8"/>
        <v>759.7786147</v>
      </c>
      <c r="H51" s="1050">
        <f t="shared" si="9"/>
        <v>177.8442433</v>
      </c>
      <c r="I51" s="1050">
        <f t="shared" si="10"/>
        <v>10</v>
      </c>
      <c r="J51" s="1051">
        <f t="shared" si="11"/>
        <v>947.6228581</v>
      </c>
      <c r="K51" s="1043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897"/>
      <c r="W51" s="897"/>
      <c r="X51" s="897"/>
      <c r="Y51" s="897"/>
      <c r="Z51" s="897"/>
    </row>
    <row r="52" ht="15.75" customHeight="1">
      <c r="A52" s="308"/>
      <c r="B52" s="1026">
        <v>28.0</v>
      </c>
      <c r="C52" s="1048">
        <f t="shared" si="12"/>
        <v>46645</v>
      </c>
      <c r="D52" s="1049">
        <f t="shared" si="6"/>
        <v>9</v>
      </c>
      <c r="E52" s="1050">
        <f t="shared" si="7"/>
        <v>2027</v>
      </c>
      <c r="F52" s="1050">
        <f t="shared" si="13"/>
        <v>53268.85227</v>
      </c>
      <c r="G52" s="1050">
        <f t="shared" si="8"/>
        <v>762.2795527</v>
      </c>
      <c r="H52" s="1050">
        <f t="shared" si="9"/>
        <v>175.3433054</v>
      </c>
      <c r="I52" s="1050">
        <f t="shared" si="10"/>
        <v>10</v>
      </c>
      <c r="J52" s="1051">
        <f t="shared" si="11"/>
        <v>947.6228581</v>
      </c>
      <c r="K52" s="1043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897"/>
      <c r="W52" s="897"/>
      <c r="X52" s="897"/>
      <c r="Y52" s="897"/>
      <c r="Z52" s="897"/>
    </row>
    <row r="53" ht="15.75" customHeight="1">
      <c r="A53" s="308"/>
      <c r="B53" s="1026">
        <v>29.0</v>
      </c>
      <c r="C53" s="1048">
        <f t="shared" si="12"/>
        <v>46675</v>
      </c>
      <c r="D53" s="1049">
        <f t="shared" si="6"/>
        <v>10</v>
      </c>
      <c r="E53" s="1050">
        <f t="shared" si="7"/>
        <v>2027</v>
      </c>
      <c r="F53" s="1050">
        <f t="shared" si="13"/>
        <v>52506.57272</v>
      </c>
      <c r="G53" s="1050">
        <f t="shared" si="8"/>
        <v>764.7887229</v>
      </c>
      <c r="H53" s="1050">
        <f t="shared" si="9"/>
        <v>172.8341352</v>
      </c>
      <c r="I53" s="1050">
        <f t="shared" si="10"/>
        <v>10</v>
      </c>
      <c r="J53" s="1051">
        <f t="shared" si="11"/>
        <v>947.6228581</v>
      </c>
      <c r="K53" s="1043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897"/>
      <c r="W53" s="897"/>
      <c r="X53" s="897"/>
      <c r="Y53" s="897"/>
      <c r="Z53" s="897"/>
    </row>
    <row r="54" ht="15.75" customHeight="1">
      <c r="A54" s="308"/>
      <c r="B54" s="1026">
        <v>30.0</v>
      </c>
      <c r="C54" s="1048">
        <f t="shared" si="12"/>
        <v>46706</v>
      </c>
      <c r="D54" s="1049">
        <f t="shared" si="6"/>
        <v>11</v>
      </c>
      <c r="E54" s="1050">
        <f t="shared" si="7"/>
        <v>2027</v>
      </c>
      <c r="F54" s="1050">
        <f t="shared" si="13"/>
        <v>51741.784</v>
      </c>
      <c r="G54" s="1050">
        <f t="shared" si="8"/>
        <v>767.3061524</v>
      </c>
      <c r="H54" s="1050">
        <f t="shared" si="9"/>
        <v>170.3167057</v>
      </c>
      <c r="I54" s="1050">
        <f t="shared" si="10"/>
        <v>10</v>
      </c>
      <c r="J54" s="1051">
        <f t="shared" si="11"/>
        <v>947.6228581</v>
      </c>
      <c r="K54" s="1043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897"/>
      <c r="W54" s="897"/>
      <c r="X54" s="897"/>
      <c r="Y54" s="897"/>
      <c r="Z54" s="897"/>
    </row>
    <row r="55" ht="15.75" customHeight="1">
      <c r="A55" s="308"/>
      <c r="B55" s="1026">
        <v>31.0</v>
      </c>
      <c r="C55" s="1048">
        <f t="shared" si="12"/>
        <v>46736</v>
      </c>
      <c r="D55" s="1049">
        <f t="shared" si="6"/>
        <v>12</v>
      </c>
      <c r="E55" s="1050">
        <f t="shared" si="7"/>
        <v>2027</v>
      </c>
      <c r="F55" s="1050">
        <f t="shared" si="13"/>
        <v>50974.47785</v>
      </c>
      <c r="G55" s="1050">
        <f t="shared" si="8"/>
        <v>769.8318685</v>
      </c>
      <c r="H55" s="1050">
        <f t="shared" si="9"/>
        <v>167.7909896</v>
      </c>
      <c r="I55" s="1050">
        <f t="shared" si="10"/>
        <v>10</v>
      </c>
      <c r="J55" s="1051">
        <f t="shared" si="11"/>
        <v>947.6228581</v>
      </c>
      <c r="K55" s="1043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897"/>
      <c r="W55" s="897"/>
      <c r="X55" s="897"/>
      <c r="Y55" s="897"/>
      <c r="Z55" s="897"/>
    </row>
    <row r="56" ht="15.75" customHeight="1">
      <c r="A56" s="308"/>
      <c r="B56" s="1026">
        <v>32.0</v>
      </c>
      <c r="C56" s="1048">
        <f t="shared" si="12"/>
        <v>46767</v>
      </c>
      <c r="D56" s="1049">
        <f t="shared" si="6"/>
        <v>1</v>
      </c>
      <c r="E56" s="1050">
        <f t="shared" si="7"/>
        <v>2028</v>
      </c>
      <c r="F56" s="1050">
        <f t="shared" si="13"/>
        <v>50204.64598</v>
      </c>
      <c r="G56" s="1050">
        <f t="shared" si="8"/>
        <v>772.3658984</v>
      </c>
      <c r="H56" s="1050">
        <f t="shared" si="9"/>
        <v>165.2569597</v>
      </c>
      <c r="I56" s="1050">
        <f t="shared" si="10"/>
        <v>10</v>
      </c>
      <c r="J56" s="1051">
        <f t="shared" si="11"/>
        <v>947.6228581</v>
      </c>
      <c r="K56" s="1043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897"/>
      <c r="W56" s="897"/>
      <c r="X56" s="897"/>
      <c r="Y56" s="897"/>
      <c r="Z56" s="897"/>
    </row>
    <row r="57" ht="15.75" customHeight="1">
      <c r="A57" s="308"/>
      <c r="B57" s="1026">
        <v>33.0</v>
      </c>
      <c r="C57" s="1048">
        <f t="shared" si="12"/>
        <v>46798</v>
      </c>
      <c r="D57" s="1049">
        <f t="shared" si="6"/>
        <v>2</v>
      </c>
      <c r="E57" s="1050">
        <f t="shared" si="7"/>
        <v>2028</v>
      </c>
      <c r="F57" s="1050">
        <f t="shared" si="13"/>
        <v>49432.28008</v>
      </c>
      <c r="G57" s="1050">
        <f t="shared" si="8"/>
        <v>774.9082695</v>
      </c>
      <c r="H57" s="1050">
        <f t="shared" si="9"/>
        <v>162.7145886</v>
      </c>
      <c r="I57" s="1050">
        <f t="shared" si="10"/>
        <v>10</v>
      </c>
      <c r="J57" s="1051">
        <f t="shared" si="11"/>
        <v>947.6228581</v>
      </c>
      <c r="K57" s="1043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897"/>
      <c r="W57" s="897"/>
      <c r="X57" s="897"/>
      <c r="Y57" s="897"/>
      <c r="Z57" s="897"/>
    </row>
    <row r="58" ht="15.75" customHeight="1">
      <c r="A58" s="308"/>
      <c r="B58" s="1026">
        <v>34.0</v>
      </c>
      <c r="C58" s="1048">
        <f t="shared" si="12"/>
        <v>46827</v>
      </c>
      <c r="D58" s="1049">
        <f t="shared" si="6"/>
        <v>3</v>
      </c>
      <c r="E58" s="1050">
        <f t="shared" si="7"/>
        <v>2028</v>
      </c>
      <c r="F58" s="1050">
        <f t="shared" si="13"/>
        <v>48657.37181</v>
      </c>
      <c r="G58" s="1050">
        <f t="shared" si="8"/>
        <v>777.4590092</v>
      </c>
      <c r="H58" s="1050">
        <f t="shared" si="9"/>
        <v>160.1638489</v>
      </c>
      <c r="I58" s="1050">
        <f t="shared" si="10"/>
        <v>10</v>
      </c>
      <c r="J58" s="1051">
        <f t="shared" si="11"/>
        <v>947.6228581</v>
      </c>
      <c r="K58" s="1043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897"/>
      <c r="W58" s="897"/>
      <c r="X58" s="897"/>
      <c r="Y58" s="897"/>
      <c r="Z58" s="897"/>
    </row>
    <row r="59" ht="15.75" customHeight="1">
      <c r="A59" s="308"/>
      <c r="B59" s="1026">
        <v>35.0</v>
      </c>
      <c r="C59" s="1048">
        <f t="shared" si="12"/>
        <v>46858</v>
      </c>
      <c r="D59" s="1049">
        <f t="shared" si="6"/>
        <v>4</v>
      </c>
      <c r="E59" s="1050">
        <f t="shared" si="7"/>
        <v>2028</v>
      </c>
      <c r="F59" s="1050">
        <f t="shared" si="13"/>
        <v>47879.9128</v>
      </c>
      <c r="G59" s="1050">
        <f t="shared" si="8"/>
        <v>780.0181451</v>
      </c>
      <c r="H59" s="1050">
        <f t="shared" si="9"/>
        <v>157.604713</v>
      </c>
      <c r="I59" s="1050">
        <f t="shared" si="10"/>
        <v>10</v>
      </c>
      <c r="J59" s="1051">
        <f t="shared" si="11"/>
        <v>947.6228581</v>
      </c>
      <c r="K59" s="1043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897"/>
      <c r="W59" s="897"/>
      <c r="X59" s="897"/>
      <c r="Y59" s="897"/>
      <c r="Z59" s="897"/>
    </row>
    <row r="60" ht="15.75" customHeight="1">
      <c r="A60" s="308"/>
      <c r="B60" s="1026">
        <v>36.0</v>
      </c>
      <c r="C60" s="1048">
        <f t="shared" si="12"/>
        <v>46888</v>
      </c>
      <c r="D60" s="1049">
        <f t="shared" si="6"/>
        <v>5</v>
      </c>
      <c r="E60" s="1050">
        <f t="shared" si="7"/>
        <v>2028</v>
      </c>
      <c r="F60" s="1050">
        <f t="shared" si="13"/>
        <v>47099.89466</v>
      </c>
      <c r="G60" s="1050">
        <f t="shared" si="8"/>
        <v>782.5857048</v>
      </c>
      <c r="H60" s="1050">
        <f t="shared" si="9"/>
        <v>155.0371532</v>
      </c>
      <c r="I60" s="1050">
        <f t="shared" si="10"/>
        <v>10</v>
      </c>
      <c r="J60" s="1051">
        <f t="shared" si="11"/>
        <v>947.6228581</v>
      </c>
      <c r="K60" s="1043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897"/>
      <c r="W60" s="897"/>
      <c r="X60" s="897"/>
      <c r="Y60" s="897"/>
      <c r="Z60" s="897"/>
    </row>
    <row r="61" ht="15.75" customHeight="1">
      <c r="A61" s="308"/>
      <c r="B61" s="1026">
        <v>37.0</v>
      </c>
      <c r="C61" s="1048">
        <f t="shared" si="12"/>
        <v>46919</v>
      </c>
      <c r="D61" s="1049">
        <f t="shared" si="6"/>
        <v>6</v>
      </c>
      <c r="E61" s="1050">
        <f t="shared" si="7"/>
        <v>2028</v>
      </c>
      <c r="F61" s="1050">
        <f t="shared" si="13"/>
        <v>46317.30895</v>
      </c>
      <c r="G61" s="1050">
        <f t="shared" si="8"/>
        <v>785.1617161</v>
      </c>
      <c r="H61" s="1050">
        <f t="shared" si="9"/>
        <v>152.461142</v>
      </c>
      <c r="I61" s="1050">
        <f t="shared" si="10"/>
        <v>10</v>
      </c>
      <c r="J61" s="1051">
        <f t="shared" si="11"/>
        <v>947.6228581</v>
      </c>
      <c r="K61" s="1043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897"/>
      <c r="W61" s="897"/>
      <c r="X61" s="897"/>
      <c r="Y61" s="897"/>
      <c r="Z61" s="897"/>
    </row>
    <row r="62" ht="15.75" customHeight="1">
      <c r="A62" s="308"/>
      <c r="B62" s="1026">
        <v>38.0</v>
      </c>
      <c r="C62" s="1048">
        <f t="shared" si="12"/>
        <v>46949</v>
      </c>
      <c r="D62" s="1049">
        <f t="shared" si="6"/>
        <v>7</v>
      </c>
      <c r="E62" s="1050">
        <f t="shared" si="7"/>
        <v>2028</v>
      </c>
      <c r="F62" s="1050">
        <f t="shared" si="13"/>
        <v>45532.14723</v>
      </c>
      <c r="G62" s="1050">
        <f t="shared" si="8"/>
        <v>787.7462068</v>
      </c>
      <c r="H62" s="1050">
        <f t="shared" si="9"/>
        <v>149.8766513</v>
      </c>
      <c r="I62" s="1050">
        <f t="shared" si="10"/>
        <v>10</v>
      </c>
      <c r="J62" s="1051">
        <f t="shared" si="11"/>
        <v>947.6228581</v>
      </c>
      <c r="K62" s="1043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897"/>
      <c r="W62" s="897"/>
      <c r="X62" s="897"/>
      <c r="Y62" s="897"/>
      <c r="Z62" s="897"/>
    </row>
    <row r="63" ht="15.75" customHeight="1">
      <c r="A63" s="308"/>
      <c r="B63" s="1026">
        <v>39.0</v>
      </c>
      <c r="C63" s="1048">
        <f t="shared" si="12"/>
        <v>46980</v>
      </c>
      <c r="D63" s="1049">
        <f t="shared" si="6"/>
        <v>8</v>
      </c>
      <c r="E63" s="1050">
        <f t="shared" si="7"/>
        <v>2028</v>
      </c>
      <c r="F63" s="1050">
        <f t="shared" si="13"/>
        <v>44744.40103</v>
      </c>
      <c r="G63" s="1050">
        <f t="shared" si="8"/>
        <v>790.3392047</v>
      </c>
      <c r="H63" s="1050">
        <f t="shared" si="9"/>
        <v>147.2836534</v>
      </c>
      <c r="I63" s="1050">
        <f t="shared" si="10"/>
        <v>10</v>
      </c>
      <c r="J63" s="1051">
        <f t="shared" si="11"/>
        <v>947.6228581</v>
      </c>
      <c r="K63" s="1043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897"/>
      <c r="W63" s="897"/>
      <c r="X63" s="897"/>
      <c r="Y63" s="897"/>
      <c r="Z63" s="897"/>
    </row>
    <row r="64" ht="15.75" customHeight="1">
      <c r="A64" s="308"/>
      <c r="B64" s="1026">
        <v>40.0</v>
      </c>
      <c r="C64" s="1048">
        <f t="shared" si="12"/>
        <v>47011</v>
      </c>
      <c r="D64" s="1049">
        <f t="shared" si="6"/>
        <v>9</v>
      </c>
      <c r="E64" s="1050">
        <f t="shared" si="7"/>
        <v>2028</v>
      </c>
      <c r="F64" s="1050">
        <f t="shared" si="13"/>
        <v>43954.06182</v>
      </c>
      <c r="G64" s="1050">
        <f t="shared" si="8"/>
        <v>792.9407379</v>
      </c>
      <c r="H64" s="1050">
        <f t="shared" si="9"/>
        <v>144.6821202</v>
      </c>
      <c r="I64" s="1050">
        <f t="shared" si="10"/>
        <v>10</v>
      </c>
      <c r="J64" s="1051">
        <f t="shared" si="11"/>
        <v>947.6228581</v>
      </c>
      <c r="K64" s="1043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897"/>
      <c r="W64" s="897"/>
      <c r="X64" s="897"/>
      <c r="Y64" s="897"/>
      <c r="Z64" s="897"/>
    </row>
    <row r="65" ht="15.75" customHeight="1">
      <c r="A65" s="308"/>
      <c r="B65" s="1026">
        <v>41.0</v>
      </c>
      <c r="C65" s="1048">
        <f t="shared" si="12"/>
        <v>47041</v>
      </c>
      <c r="D65" s="1049">
        <f t="shared" si="6"/>
        <v>10</v>
      </c>
      <c r="E65" s="1050">
        <f t="shared" si="7"/>
        <v>2028</v>
      </c>
      <c r="F65" s="1050">
        <f t="shared" si="13"/>
        <v>43161.12109</v>
      </c>
      <c r="G65" s="1050">
        <f t="shared" si="8"/>
        <v>795.5508345</v>
      </c>
      <c r="H65" s="1050">
        <f t="shared" si="9"/>
        <v>142.0720236</v>
      </c>
      <c r="I65" s="1050">
        <f t="shared" si="10"/>
        <v>10</v>
      </c>
      <c r="J65" s="1051">
        <f t="shared" si="11"/>
        <v>947.6228581</v>
      </c>
      <c r="K65" s="1043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897"/>
      <c r="W65" s="897"/>
      <c r="X65" s="897"/>
      <c r="Y65" s="897"/>
      <c r="Z65" s="897"/>
    </row>
    <row r="66" ht="15.75" customHeight="1">
      <c r="A66" s="308"/>
      <c r="B66" s="1026">
        <v>42.0</v>
      </c>
      <c r="C66" s="1048">
        <f t="shared" si="12"/>
        <v>47072</v>
      </c>
      <c r="D66" s="1049">
        <f t="shared" si="6"/>
        <v>11</v>
      </c>
      <c r="E66" s="1050">
        <f t="shared" si="7"/>
        <v>2028</v>
      </c>
      <c r="F66" s="1050">
        <f t="shared" si="13"/>
        <v>42365.57025</v>
      </c>
      <c r="G66" s="1050">
        <f t="shared" si="8"/>
        <v>798.1695227</v>
      </c>
      <c r="H66" s="1050">
        <f t="shared" si="9"/>
        <v>139.4533354</v>
      </c>
      <c r="I66" s="1050">
        <f t="shared" si="10"/>
        <v>10</v>
      </c>
      <c r="J66" s="1051">
        <f t="shared" si="11"/>
        <v>947.6228581</v>
      </c>
      <c r="K66" s="1043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897"/>
      <c r="W66" s="897"/>
      <c r="X66" s="897"/>
      <c r="Y66" s="897"/>
      <c r="Z66" s="897"/>
    </row>
    <row r="67" ht="15.75" customHeight="1">
      <c r="A67" s="308"/>
      <c r="B67" s="1026">
        <v>43.0</v>
      </c>
      <c r="C67" s="1048">
        <f t="shared" si="12"/>
        <v>47102</v>
      </c>
      <c r="D67" s="1049">
        <f t="shared" si="6"/>
        <v>12</v>
      </c>
      <c r="E67" s="1050">
        <f t="shared" si="7"/>
        <v>2028</v>
      </c>
      <c r="F67" s="1050">
        <f t="shared" si="13"/>
        <v>41567.40073</v>
      </c>
      <c r="G67" s="1050">
        <f t="shared" si="8"/>
        <v>800.7968307</v>
      </c>
      <c r="H67" s="1050">
        <f t="shared" si="9"/>
        <v>136.8260274</v>
      </c>
      <c r="I67" s="1050">
        <f t="shared" si="10"/>
        <v>10</v>
      </c>
      <c r="J67" s="1051">
        <f t="shared" si="11"/>
        <v>947.6228581</v>
      </c>
      <c r="K67" s="1043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897"/>
      <c r="W67" s="897"/>
      <c r="X67" s="897"/>
      <c r="Y67" s="897"/>
      <c r="Z67" s="897"/>
    </row>
    <row r="68" ht="15.75" customHeight="1">
      <c r="A68" s="308"/>
      <c r="B68" s="1026">
        <v>44.0</v>
      </c>
      <c r="C68" s="1048">
        <f t="shared" si="12"/>
        <v>47133</v>
      </c>
      <c r="D68" s="1049">
        <f t="shared" si="6"/>
        <v>1</v>
      </c>
      <c r="E68" s="1050">
        <f t="shared" si="7"/>
        <v>2029</v>
      </c>
      <c r="F68" s="1050">
        <f t="shared" si="13"/>
        <v>40766.6039</v>
      </c>
      <c r="G68" s="1050">
        <f t="shared" si="8"/>
        <v>803.4327869</v>
      </c>
      <c r="H68" s="1050">
        <f t="shared" si="9"/>
        <v>134.1900712</v>
      </c>
      <c r="I68" s="1050">
        <f t="shared" si="10"/>
        <v>10</v>
      </c>
      <c r="J68" s="1051">
        <f t="shared" si="11"/>
        <v>947.6228581</v>
      </c>
      <c r="K68" s="1043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897"/>
      <c r="W68" s="897"/>
      <c r="X68" s="897"/>
      <c r="Y68" s="897"/>
      <c r="Z68" s="897"/>
    </row>
    <row r="69" ht="15.75" customHeight="1">
      <c r="A69" s="308"/>
      <c r="B69" s="1026">
        <v>45.0</v>
      </c>
      <c r="C69" s="1048">
        <f t="shared" si="12"/>
        <v>47164</v>
      </c>
      <c r="D69" s="1049">
        <f t="shared" si="6"/>
        <v>2</v>
      </c>
      <c r="E69" s="1050">
        <f t="shared" si="7"/>
        <v>2029</v>
      </c>
      <c r="F69" s="1050">
        <f t="shared" si="13"/>
        <v>39963.17111</v>
      </c>
      <c r="G69" s="1050">
        <f t="shared" si="8"/>
        <v>806.0774198</v>
      </c>
      <c r="H69" s="1050">
        <f t="shared" si="9"/>
        <v>131.5454382</v>
      </c>
      <c r="I69" s="1050">
        <f t="shared" si="10"/>
        <v>10</v>
      </c>
      <c r="J69" s="1051">
        <f t="shared" si="11"/>
        <v>947.6228581</v>
      </c>
      <c r="K69" s="1043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897"/>
      <c r="W69" s="897"/>
      <c r="X69" s="897"/>
      <c r="Y69" s="897"/>
      <c r="Z69" s="897"/>
    </row>
    <row r="70" ht="15.75" customHeight="1">
      <c r="A70" s="308"/>
      <c r="B70" s="1026">
        <v>46.0</v>
      </c>
      <c r="C70" s="1048">
        <f t="shared" si="12"/>
        <v>47192</v>
      </c>
      <c r="D70" s="1049">
        <f t="shared" si="6"/>
        <v>3</v>
      </c>
      <c r="E70" s="1050">
        <f t="shared" si="7"/>
        <v>2029</v>
      </c>
      <c r="F70" s="1050">
        <f t="shared" si="13"/>
        <v>39157.09369</v>
      </c>
      <c r="G70" s="1050">
        <f t="shared" si="8"/>
        <v>808.730758</v>
      </c>
      <c r="H70" s="1050">
        <f t="shared" si="9"/>
        <v>128.8921001</v>
      </c>
      <c r="I70" s="1050">
        <f t="shared" si="10"/>
        <v>10</v>
      </c>
      <c r="J70" s="1051">
        <f t="shared" si="11"/>
        <v>947.6228581</v>
      </c>
      <c r="K70" s="1043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897"/>
      <c r="W70" s="897"/>
      <c r="X70" s="897"/>
      <c r="Y70" s="897"/>
      <c r="Z70" s="897"/>
    </row>
    <row r="71" ht="15.75" customHeight="1">
      <c r="A71" s="308"/>
      <c r="B71" s="1026">
        <v>47.0</v>
      </c>
      <c r="C71" s="1048">
        <f t="shared" si="12"/>
        <v>47223</v>
      </c>
      <c r="D71" s="1049">
        <f t="shared" si="6"/>
        <v>4</v>
      </c>
      <c r="E71" s="1050">
        <f t="shared" si="7"/>
        <v>2029</v>
      </c>
      <c r="F71" s="1050">
        <f t="shared" si="13"/>
        <v>38348.36293</v>
      </c>
      <c r="G71" s="1050">
        <f t="shared" si="8"/>
        <v>811.3928301</v>
      </c>
      <c r="H71" s="1050">
        <f t="shared" si="9"/>
        <v>126.230028</v>
      </c>
      <c r="I71" s="1050">
        <f t="shared" si="10"/>
        <v>10</v>
      </c>
      <c r="J71" s="1051">
        <f t="shared" si="11"/>
        <v>947.6228581</v>
      </c>
      <c r="K71" s="1043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897"/>
      <c r="W71" s="897"/>
      <c r="X71" s="897"/>
      <c r="Y71" s="897"/>
      <c r="Z71" s="897"/>
    </row>
    <row r="72" ht="15.75" customHeight="1">
      <c r="A72" s="308"/>
      <c r="B72" s="1026">
        <v>48.0</v>
      </c>
      <c r="C72" s="1048">
        <f t="shared" si="12"/>
        <v>47253</v>
      </c>
      <c r="D72" s="1049">
        <f t="shared" si="6"/>
        <v>5</v>
      </c>
      <c r="E72" s="1050">
        <f t="shared" si="7"/>
        <v>2029</v>
      </c>
      <c r="F72" s="1050">
        <f t="shared" si="13"/>
        <v>37536.9701</v>
      </c>
      <c r="G72" s="1050">
        <f t="shared" si="8"/>
        <v>814.0636648</v>
      </c>
      <c r="H72" s="1050">
        <f t="shared" si="9"/>
        <v>123.5591933</v>
      </c>
      <c r="I72" s="1050">
        <f t="shared" si="10"/>
        <v>10</v>
      </c>
      <c r="J72" s="1051">
        <f t="shared" si="11"/>
        <v>947.6228581</v>
      </c>
      <c r="K72" s="1043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897"/>
      <c r="W72" s="897"/>
      <c r="X72" s="897"/>
      <c r="Y72" s="897"/>
      <c r="Z72" s="897"/>
    </row>
    <row r="73" ht="15.75" customHeight="1">
      <c r="A73" s="308"/>
      <c r="B73" s="1026">
        <v>49.0</v>
      </c>
      <c r="C73" s="1048">
        <f t="shared" si="12"/>
        <v>47284</v>
      </c>
      <c r="D73" s="1049">
        <f t="shared" si="6"/>
        <v>6</v>
      </c>
      <c r="E73" s="1050">
        <f t="shared" si="7"/>
        <v>2029</v>
      </c>
      <c r="F73" s="1050">
        <f t="shared" si="13"/>
        <v>36722.90644</v>
      </c>
      <c r="G73" s="1050">
        <f t="shared" si="8"/>
        <v>816.743291</v>
      </c>
      <c r="H73" s="1050">
        <f t="shared" si="9"/>
        <v>120.879567</v>
      </c>
      <c r="I73" s="1050">
        <f t="shared" si="10"/>
        <v>10</v>
      </c>
      <c r="J73" s="1051">
        <f t="shared" si="11"/>
        <v>947.6228581</v>
      </c>
      <c r="K73" s="1043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897"/>
      <c r="W73" s="897"/>
      <c r="X73" s="897"/>
      <c r="Y73" s="897"/>
      <c r="Z73" s="897"/>
    </row>
    <row r="74" ht="15.75" customHeight="1">
      <c r="A74" s="308"/>
      <c r="B74" s="1026">
        <v>50.0</v>
      </c>
      <c r="C74" s="1048">
        <f t="shared" si="12"/>
        <v>47314</v>
      </c>
      <c r="D74" s="1049">
        <f t="shared" si="6"/>
        <v>7</v>
      </c>
      <c r="E74" s="1050">
        <f t="shared" si="7"/>
        <v>2029</v>
      </c>
      <c r="F74" s="1050">
        <f t="shared" si="13"/>
        <v>35906.16315</v>
      </c>
      <c r="G74" s="1050">
        <f t="shared" si="8"/>
        <v>819.4317377</v>
      </c>
      <c r="H74" s="1050">
        <f t="shared" si="9"/>
        <v>118.1911204</v>
      </c>
      <c r="I74" s="1050">
        <f t="shared" si="10"/>
        <v>10</v>
      </c>
      <c r="J74" s="1051">
        <f t="shared" si="11"/>
        <v>947.6228581</v>
      </c>
      <c r="K74" s="1043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897"/>
      <c r="W74" s="897"/>
      <c r="X74" s="897"/>
      <c r="Y74" s="897"/>
      <c r="Z74" s="897"/>
    </row>
    <row r="75" ht="15.75" customHeight="1">
      <c r="A75" s="308"/>
      <c r="B75" s="1026">
        <v>51.0</v>
      </c>
      <c r="C75" s="1048">
        <f t="shared" si="12"/>
        <v>47345</v>
      </c>
      <c r="D75" s="1049">
        <f t="shared" si="6"/>
        <v>8</v>
      </c>
      <c r="E75" s="1050">
        <f t="shared" si="7"/>
        <v>2029</v>
      </c>
      <c r="F75" s="1050">
        <f t="shared" si="13"/>
        <v>35086.73141</v>
      </c>
      <c r="G75" s="1050">
        <f t="shared" si="8"/>
        <v>822.1290338</v>
      </c>
      <c r="H75" s="1050">
        <f t="shared" si="9"/>
        <v>115.4938242</v>
      </c>
      <c r="I75" s="1050">
        <f t="shared" si="10"/>
        <v>10</v>
      </c>
      <c r="J75" s="1051">
        <f t="shared" si="11"/>
        <v>947.6228581</v>
      </c>
      <c r="K75" s="1043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897"/>
      <c r="W75" s="897"/>
      <c r="X75" s="897"/>
      <c r="Y75" s="897"/>
      <c r="Z75" s="897"/>
    </row>
    <row r="76" ht="15.75" customHeight="1">
      <c r="A76" s="308"/>
      <c r="B76" s="1026">
        <v>52.0</v>
      </c>
      <c r="C76" s="1048">
        <f t="shared" si="12"/>
        <v>47376</v>
      </c>
      <c r="D76" s="1049">
        <f t="shared" si="6"/>
        <v>9</v>
      </c>
      <c r="E76" s="1050">
        <f t="shared" si="7"/>
        <v>2029</v>
      </c>
      <c r="F76" s="1050">
        <f t="shared" si="13"/>
        <v>34264.60238</v>
      </c>
      <c r="G76" s="1050">
        <f t="shared" si="8"/>
        <v>824.8352086</v>
      </c>
      <c r="H76" s="1050">
        <f t="shared" si="9"/>
        <v>112.7876495</v>
      </c>
      <c r="I76" s="1050">
        <f t="shared" si="10"/>
        <v>10</v>
      </c>
      <c r="J76" s="1051">
        <f t="shared" si="11"/>
        <v>947.6228581</v>
      </c>
      <c r="K76" s="1043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897"/>
      <c r="W76" s="897"/>
      <c r="X76" s="897"/>
      <c r="Y76" s="897"/>
      <c r="Z76" s="897"/>
    </row>
    <row r="77" ht="15.75" customHeight="1">
      <c r="A77" s="308"/>
      <c r="B77" s="1026">
        <v>53.0</v>
      </c>
      <c r="C77" s="1048">
        <f t="shared" si="12"/>
        <v>47406</v>
      </c>
      <c r="D77" s="1049">
        <f t="shared" si="6"/>
        <v>10</v>
      </c>
      <c r="E77" s="1050">
        <f t="shared" si="7"/>
        <v>2029</v>
      </c>
      <c r="F77" s="1050">
        <f t="shared" si="13"/>
        <v>33439.76717</v>
      </c>
      <c r="G77" s="1050">
        <f t="shared" si="8"/>
        <v>827.5502911</v>
      </c>
      <c r="H77" s="1050">
        <f t="shared" si="9"/>
        <v>110.0725669</v>
      </c>
      <c r="I77" s="1050">
        <f t="shared" si="10"/>
        <v>10</v>
      </c>
      <c r="J77" s="1051">
        <f t="shared" si="11"/>
        <v>947.6228581</v>
      </c>
      <c r="K77" s="1043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897"/>
      <c r="W77" s="897"/>
      <c r="X77" s="897"/>
      <c r="Y77" s="897"/>
      <c r="Z77" s="897"/>
    </row>
    <row r="78" ht="15.75" customHeight="1">
      <c r="A78" s="308"/>
      <c r="B78" s="1026">
        <v>54.0</v>
      </c>
      <c r="C78" s="1048">
        <f t="shared" si="12"/>
        <v>47437</v>
      </c>
      <c r="D78" s="1049">
        <f t="shared" si="6"/>
        <v>11</v>
      </c>
      <c r="E78" s="1050">
        <f t="shared" si="7"/>
        <v>2029</v>
      </c>
      <c r="F78" s="1050">
        <f t="shared" si="13"/>
        <v>32612.21688</v>
      </c>
      <c r="G78" s="1050">
        <f t="shared" si="8"/>
        <v>830.2743109</v>
      </c>
      <c r="H78" s="1050">
        <f t="shared" si="9"/>
        <v>107.3485472</v>
      </c>
      <c r="I78" s="1050">
        <f t="shared" si="10"/>
        <v>10</v>
      </c>
      <c r="J78" s="1051">
        <f t="shared" si="11"/>
        <v>947.6228581</v>
      </c>
      <c r="K78" s="1043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897"/>
      <c r="W78" s="897"/>
      <c r="X78" s="897"/>
      <c r="Y78" s="897"/>
      <c r="Z78" s="897"/>
    </row>
    <row r="79" ht="15.75" customHeight="1">
      <c r="A79" s="308"/>
      <c r="B79" s="1026">
        <v>55.0</v>
      </c>
      <c r="C79" s="1048">
        <f t="shared" si="12"/>
        <v>47467</v>
      </c>
      <c r="D79" s="1049">
        <f t="shared" si="6"/>
        <v>12</v>
      </c>
      <c r="E79" s="1050">
        <f t="shared" si="7"/>
        <v>2029</v>
      </c>
      <c r="F79" s="1050">
        <f t="shared" si="13"/>
        <v>31781.94256</v>
      </c>
      <c r="G79" s="1050">
        <f t="shared" si="8"/>
        <v>833.0072971</v>
      </c>
      <c r="H79" s="1050">
        <f t="shared" si="9"/>
        <v>104.6155609</v>
      </c>
      <c r="I79" s="1050">
        <f t="shared" si="10"/>
        <v>10</v>
      </c>
      <c r="J79" s="1051">
        <f t="shared" si="11"/>
        <v>947.6228581</v>
      </c>
      <c r="K79" s="1043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897"/>
      <c r="W79" s="897"/>
      <c r="X79" s="897"/>
      <c r="Y79" s="897"/>
      <c r="Z79" s="897"/>
    </row>
    <row r="80" ht="15.75" customHeight="1">
      <c r="A80" s="308"/>
      <c r="B80" s="1026">
        <v>56.0</v>
      </c>
      <c r="C80" s="1048">
        <f t="shared" si="12"/>
        <v>47498</v>
      </c>
      <c r="D80" s="1049">
        <f t="shared" si="6"/>
        <v>1</v>
      </c>
      <c r="E80" s="1050">
        <f t="shared" si="7"/>
        <v>2030</v>
      </c>
      <c r="F80" s="1050">
        <f t="shared" si="13"/>
        <v>30948.93527</v>
      </c>
      <c r="G80" s="1050">
        <f t="shared" si="8"/>
        <v>835.7492795</v>
      </c>
      <c r="H80" s="1050">
        <f t="shared" si="9"/>
        <v>101.8735786</v>
      </c>
      <c r="I80" s="1050">
        <f t="shared" si="10"/>
        <v>10</v>
      </c>
      <c r="J80" s="1051">
        <f t="shared" si="11"/>
        <v>947.6228581</v>
      </c>
      <c r="K80" s="1043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897"/>
      <c r="W80" s="897"/>
      <c r="X80" s="897"/>
      <c r="Y80" s="897"/>
      <c r="Z80" s="897"/>
    </row>
    <row r="81" ht="15.75" customHeight="1">
      <c r="A81" s="308"/>
      <c r="B81" s="1026">
        <v>57.0</v>
      </c>
      <c r="C81" s="1048">
        <f t="shared" si="12"/>
        <v>47529</v>
      </c>
      <c r="D81" s="1049">
        <f t="shared" si="6"/>
        <v>2</v>
      </c>
      <c r="E81" s="1050">
        <f t="shared" si="7"/>
        <v>2030</v>
      </c>
      <c r="F81" s="1050">
        <f t="shared" si="13"/>
        <v>30113.18599</v>
      </c>
      <c r="G81" s="1050">
        <f t="shared" si="8"/>
        <v>838.5002875</v>
      </c>
      <c r="H81" s="1050">
        <f t="shared" si="9"/>
        <v>99.12257055</v>
      </c>
      <c r="I81" s="1050">
        <f t="shared" si="10"/>
        <v>10</v>
      </c>
      <c r="J81" s="1051">
        <f t="shared" si="11"/>
        <v>947.6228581</v>
      </c>
      <c r="K81" s="1043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897"/>
      <c r="W81" s="897"/>
      <c r="X81" s="897"/>
      <c r="Y81" s="897"/>
      <c r="Z81" s="897"/>
    </row>
    <row r="82" ht="15.75" customHeight="1">
      <c r="A82" s="308"/>
      <c r="B82" s="1026">
        <v>58.0</v>
      </c>
      <c r="C82" s="1048">
        <f t="shared" si="12"/>
        <v>47557</v>
      </c>
      <c r="D82" s="1049">
        <f t="shared" si="6"/>
        <v>3</v>
      </c>
      <c r="E82" s="1050">
        <f t="shared" si="7"/>
        <v>2030</v>
      </c>
      <c r="F82" s="1050">
        <f t="shared" si="13"/>
        <v>29274.6857</v>
      </c>
      <c r="G82" s="1050">
        <f t="shared" si="8"/>
        <v>841.260351</v>
      </c>
      <c r="H82" s="1050">
        <f t="shared" si="9"/>
        <v>96.3625071</v>
      </c>
      <c r="I82" s="1050">
        <f t="shared" si="10"/>
        <v>10</v>
      </c>
      <c r="J82" s="1051">
        <f t="shared" si="11"/>
        <v>947.6228581</v>
      </c>
      <c r="K82" s="1043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897"/>
      <c r="W82" s="897"/>
      <c r="X82" s="897"/>
      <c r="Y82" s="897"/>
      <c r="Z82" s="897"/>
    </row>
    <row r="83" ht="15.75" customHeight="1">
      <c r="A83" s="308"/>
      <c r="B83" s="1026">
        <v>59.0</v>
      </c>
      <c r="C83" s="1048">
        <f t="shared" si="12"/>
        <v>47588</v>
      </c>
      <c r="D83" s="1049">
        <f t="shared" si="6"/>
        <v>4</v>
      </c>
      <c r="E83" s="1050">
        <f t="shared" si="7"/>
        <v>2030</v>
      </c>
      <c r="F83" s="1050">
        <f t="shared" si="13"/>
        <v>28433.42535</v>
      </c>
      <c r="G83" s="1050">
        <f t="shared" si="8"/>
        <v>844.0294996</v>
      </c>
      <c r="H83" s="1050">
        <f t="shared" si="9"/>
        <v>93.59335844</v>
      </c>
      <c r="I83" s="1050">
        <f t="shared" si="10"/>
        <v>10</v>
      </c>
      <c r="J83" s="1051">
        <f t="shared" si="11"/>
        <v>947.6228581</v>
      </c>
      <c r="K83" s="1043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897"/>
      <c r="W83" s="897"/>
      <c r="X83" s="897"/>
      <c r="Y83" s="897"/>
      <c r="Z83" s="897"/>
    </row>
    <row r="84" ht="15.75" customHeight="1">
      <c r="A84" s="308"/>
      <c r="B84" s="1026">
        <v>60.0</v>
      </c>
      <c r="C84" s="1048">
        <f t="shared" si="12"/>
        <v>47618</v>
      </c>
      <c r="D84" s="1049">
        <f t="shared" si="6"/>
        <v>5</v>
      </c>
      <c r="E84" s="1050">
        <f t="shared" si="7"/>
        <v>2030</v>
      </c>
      <c r="F84" s="1050">
        <f t="shared" si="13"/>
        <v>27589.39585</v>
      </c>
      <c r="G84" s="1050">
        <f t="shared" si="8"/>
        <v>846.8077634</v>
      </c>
      <c r="H84" s="1050">
        <f t="shared" si="9"/>
        <v>90.81509467</v>
      </c>
      <c r="I84" s="1050">
        <f t="shared" si="10"/>
        <v>10</v>
      </c>
      <c r="J84" s="1051">
        <f t="shared" si="11"/>
        <v>947.6228581</v>
      </c>
      <c r="K84" s="1043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897"/>
      <c r="W84" s="897"/>
      <c r="X84" s="897"/>
      <c r="Y84" s="897"/>
      <c r="Z84" s="897"/>
    </row>
    <row r="85" ht="15.75" customHeight="1">
      <c r="A85" s="308"/>
      <c r="B85" s="1026">
        <v>61.0</v>
      </c>
      <c r="C85" s="1048">
        <f t="shared" si="12"/>
        <v>47649</v>
      </c>
      <c r="D85" s="1049">
        <f t="shared" si="6"/>
        <v>6</v>
      </c>
      <c r="E85" s="1050">
        <f t="shared" si="7"/>
        <v>2030</v>
      </c>
      <c r="F85" s="1050">
        <f t="shared" si="13"/>
        <v>26742.58809</v>
      </c>
      <c r="G85" s="1050">
        <f t="shared" si="8"/>
        <v>849.5951723</v>
      </c>
      <c r="H85" s="1050">
        <f t="shared" si="9"/>
        <v>88.02768579</v>
      </c>
      <c r="I85" s="1050">
        <f t="shared" si="10"/>
        <v>10</v>
      </c>
      <c r="J85" s="1051">
        <f t="shared" si="11"/>
        <v>947.6228581</v>
      </c>
      <c r="K85" s="1043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897"/>
      <c r="W85" s="897"/>
      <c r="X85" s="897"/>
      <c r="Y85" s="897"/>
      <c r="Z85" s="897"/>
    </row>
    <row r="86" ht="15.75" customHeight="1">
      <c r="A86" s="308"/>
      <c r="B86" s="1026">
        <v>62.0</v>
      </c>
      <c r="C86" s="1048">
        <f t="shared" si="12"/>
        <v>47679</v>
      </c>
      <c r="D86" s="1049">
        <f t="shared" si="6"/>
        <v>7</v>
      </c>
      <c r="E86" s="1050">
        <f t="shared" si="7"/>
        <v>2030</v>
      </c>
      <c r="F86" s="1050">
        <f t="shared" si="13"/>
        <v>25892.99291</v>
      </c>
      <c r="G86" s="1050">
        <f t="shared" si="8"/>
        <v>852.3917564</v>
      </c>
      <c r="H86" s="1050">
        <f t="shared" si="9"/>
        <v>85.23110168</v>
      </c>
      <c r="I86" s="1050">
        <f t="shared" si="10"/>
        <v>10</v>
      </c>
      <c r="J86" s="1051">
        <f t="shared" si="11"/>
        <v>947.6228581</v>
      </c>
      <c r="K86" s="1043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897"/>
      <c r="W86" s="897"/>
      <c r="X86" s="897"/>
      <c r="Y86" s="897"/>
      <c r="Z86" s="897"/>
    </row>
    <row r="87" ht="15.75" customHeight="1">
      <c r="A87" s="308"/>
      <c r="B87" s="1026">
        <v>63.0</v>
      </c>
      <c r="C87" s="1048">
        <f t="shared" si="12"/>
        <v>47710</v>
      </c>
      <c r="D87" s="1049">
        <f t="shared" si="6"/>
        <v>8</v>
      </c>
      <c r="E87" s="1050">
        <f t="shared" si="7"/>
        <v>2030</v>
      </c>
      <c r="F87" s="1050">
        <f t="shared" si="13"/>
        <v>25040.60116</v>
      </c>
      <c r="G87" s="1050">
        <f t="shared" si="8"/>
        <v>855.1975459</v>
      </c>
      <c r="H87" s="1050">
        <f t="shared" si="9"/>
        <v>82.42531215</v>
      </c>
      <c r="I87" s="1050">
        <f t="shared" si="10"/>
        <v>10</v>
      </c>
      <c r="J87" s="1051">
        <f t="shared" si="11"/>
        <v>947.6228581</v>
      </c>
      <c r="K87" s="1043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897"/>
      <c r="W87" s="897"/>
      <c r="X87" s="897"/>
      <c r="Y87" s="897"/>
      <c r="Z87" s="897"/>
    </row>
    <row r="88" ht="15.75" customHeight="1">
      <c r="A88" s="308"/>
      <c r="B88" s="1026">
        <v>64.0</v>
      </c>
      <c r="C88" s="1048">
        <f t="shared" si="12"/>
        <v>47741</v>
      </c>
      <c r="D88" s="1049">
        <f t="shared" si="6"/>
        <v>9</v>
      </c>
      <c r="E88" s="1050">
        <f t="shared" si="7"/>
        <v>2030</v>
      </c>
      <c r="F88" s="1050">
        <f t="shared" si="13"/>
        <v>24185.40361</v>
      </c>
      <c r="G88" s="1050">
        <f t="shared" si="8"/>
        <v>858.0125712</v>
      </c>
      <c r="H88" s="1050">
        <f t="shared" si="9"/>
        <v>79.61028689</v>
      </c>
      <c r="I88" s="1050">
        <f t="shared" si="10"/>
        <v>10</v>
      </c>
      <c r="J88" s="1051">
        <f t="shared" si="11"/>
        <v>947.6228581</v>
      </c>
      <c r="K88" s="1043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897"/>
      <c r="W88" s="897"/>
      <c r="X88" s="897"/>
      <c r="Y88" s="897"/>
      <c r="Z88" s="897"/>
    </row>
    <row r="89" ht="15.75" customHeight="1">
      <c r="A89" s="308"/>
      <c r="B89" s="1026">
        <v>65.0</v>
      </c>
      <c r="C89" s="1048">
        <f t="shared" si="12"/>
        <v>47771</v>
      </c>
      <c r="D89" s="1049">
        <f t="shared" si="6"/>
        <v>10</v>
      </c>
      <c r="E89" s="1050">
        <f t="shared" si="7"/>
        <v>2030</v>
      </c>
      <c r="F89" s="1050">
        <f t="shared" si="13"/>
        <v>23327.39104</v>
      </c>
      <c r="G89" s="1050">
        <f t="shared" si="8"/>
        <v>860.8368626</v>
      </c>
      <c r="H89" s="1050">
        <f t="shared" si="9"/>
        <v>76.78599551</v>
      </c>
      <c r="I89" s="1050">
        <f t="shared" si="10"/>
        <v>10</v>
      </c>
      <c r="J89" s="1051">
        <f t="shared" si="11"/>
        <v>947.6228581</v>
      </c>
      <c r="K89" s="1043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897"/>
      <c r="W89" s="897"/>
      <c r="X89" s="897"/>
      <c r="Y89" s="897"/>
      <c r="Z89" s="897"/>
    </row>
    <row r="90" ht="15.75" customHeight="1">
      <c r="A90" s="308"/>
      <c r="B90" s="1026">
        <v>66.0</v>
      </c>
      <c r="C90" s="1048">
        <f t="shared" si="12"/>
        <v>47802</v>
      </c>
      <c r="D90" s="1049">
        <f t="shared" si="6"/>
        <v>11</v>
      </c>
      <c r="E90" s="1050">
        <f t="shared" si="7"/>
        <v>2030</v>
      </c>
      <c r="F90" s="1050">
        <f t="shared" si="13"/>
        <v>22466.55418</v>
      </c>
      <c r="G90" s="1050">
        <f t="shared" si="8"/>
        <v>863.6704506</v>
      </c>
      <c r="H90" s="1050">
        <f t="shared" si="9"/>
        <v>73.9524075</v>
      </c>
      <c r="I90" s="1050">
        <f t="shared" si="10"/>
        <v>10</v>
      </c>
      <c r="J90" s="1051">
        <f t="shared" si="11"/>
        <v>947.6228581</v>
      </c>
      <c r="K90" s="1043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897"/>
      <c r="W90" s="897"/>
      <c r="X90" s="897"/>
      <c r="Y90" s="897"/>
      <c r="Z90" s="897"/>
    </row>
    <row r="91" ht="15.75" customHeight="1">
      <c r="A91" s="308"/>
      <c r="B91" s="1026">
        <v>67.0</v>
      </c>
      <c r="C91" s="1048">
        <f t="shared" si="12"/>
        <v>47832</v>
      </c>
      <c r="D91" s="1049">
        <f t="shared" si="6"/>
        <v>12</v>
      </c>
      <c r="E91" s="1050">
        <f t="shared" si="7"/>
        <v>2030</v>
      </c>
      <c r="F91" s="1050">
        <f t="shared" si="13"/>
        <v>21602.88373</v>
      </c>
      <c r="G91" s="1050">
        <f t="shared" si="8"/>
        <v>866.5133658</v>
      </c>
      <c r="H91" s="1050">
        <f t="shared" si="9"/>
        <v>71.10949227</v>
      </c>
      <c r="I91" s="1050">
        <f t="shared" si="10"/>
        <v>10</v>
      </c>
      <c r="J91" s="1051">
        <f t="shared" si="11"/>
        <v>947.6228581</v>
      </c>
      <c r="K91" s="1043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897"/>
      <c r="W91" s="897"/>
      <c r="X91" s="897"/>
      <c r="Y91" s="897"/>
      <c r="Z91" s="897"/>
    </row>
    <row r="92" ht="15.75" customHeight="1">
      <c r="A92" s="308"/>
      <c r="B92" s="1026">
        <v>68.0</v>
      </c>
      <c r="C92" s="1048">
        <f t="shared" si="12"/>
        <v>47863</v>
      </c>
      <c r="D92" s="1049">
        <f t="shared" si="6"/>
        <v>1</v>
      </c>
      <c r="E92" s="1050">
        <f t="shared" si="7"/>
        <v>2031</v>
      </c>
      <c r="F92" s="1050">
        <f t="shared" si="13"/>
        <v>20736.37036</v>
      </c>
      <c r="G92" s="1050">
        <f t="shared" si="8"/>
        <v>869.365639</v>
      </c>
      <c r="H92" s="1050">
        <f t="shared" si="9"/>
        <v>68.25721911</v>
      </c>
      <c r="I92" s="1050">
        <f t="shared" si="10"/>
        <v>10</v>
      </c>
      <c r="J92" s="1051">
        <f t="shared" si="11"/>
        <v>947.6228581</v>
      </c>
      <c r="K92" s="1043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897"/>
      <c r="W92" s="897"/>
      <c r="X92" s="897"/>
      <c r="Y92" s="897"/>
      <c r="Z92" s="897"/>
    </row>
    <row r="93" ht="15.75" customHeight="1">
      <c r="A93" s="308"/>
      <c r="B93" s="1026">
        <v>69.0</v>
      </c>
      <c r="C93" s="1048">
        <f t="shared" si="12"/>
        <v>47894</v>
      </c>
      <c r="D93" s="1049">
        <f t="shared" si="6"/>
        <v>2</v>
      </c>
      <c r="E93" s="1050">
        <f t="shared" si="7"/>
        <v>2031</v>
      </c>
      <c r="F93" s="1050">
        <f t="shared" si="13"/>
        <v>19867.00472</v>
      </c>
      <c r="G93" s="1050">
        <f t="shared" si="8"/>
        <v>872.2273009</v>
      </c>
      <c r="H93" s="1050">
        <f t="shared" si="9"/>
        <v>65.39555721</v>
      </c>
      <c r="I93" s="1050">
        <f t="shared" si="10"/>
        <v>10</v>
      </c>
      <c r="J93" s="1051">
        <f t="shared" si="11"/>
        <v>947.6228581</v>
      </c>
      <c r="K93" s="1043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897"/>
      <c r="W93" s="897"/>
      <c r="X93" s="897"/>
      <c r="Y93" s="897"/>
      <c r="Z93" s="897"/>
    </row>
    <row r="94" ht="15.75" customHeight="1">
      <c r="A94" s="308"/>
      <c r="B94" s="1026">
        <v>70.0</v>
      </c>
      <c r="C94" s="1048">
        <f t="shared" si="12"/>
        <v>47922</v>
      </c>
      <c r="D94" s="1049">
        <f t="shared" si="6"/>
        <v>3</v>
      </c>
      <c r="E94" s="1050">
        <f t="shared" si="7"/>
        <v>2031</v>
      </c>
      <c r="F94" s="1050">
        <f t="shared" si="13"/>
        <v>18994.77742</v>
      </c>
      <c r="G94" s="1050">
        <f t="shared" si="8"/>
        <v>875.0983824</v>
      </c>
      <c r="H94" s="1050">
        <f t="shared" si="9"/>
        <v>62.52447568</v>
      </c>
      <c r="I94" s="1050">
        <f t="shared" si="10"/>
        <v>10</v>
      </c>
      <c r="J94" s="1051">
        <f t="shared" si="11"/>
        <v>947.6228581</v>
      </c>
      <c r="K94" s="1043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897"/>
      <c r="W94" s="897"/>
      <c r="X94" s="897"/>
      <c r="Y94" s="897"/>
      <c r="Z94" s="897"/>
    </row>
    <row r="95" ht="15.75" customHeight="1">
      <c r="A95" s="308"/>
      <c r="B95" s="1026">
        <v>71.0</v>
      </c>
      <c r="C95" s="1048">
        <f t="shared" si="12"/>
        <v>47953</v>
      </c>
      <c r="D95" s="1049">
        <f t="shared" si="6"/>
        <v>4</v>
      </c>
      <c r="E95" s="1050">
        <f t="shared" si="7"/>
        <v>2031</v>
      </c>
      <c r="F95" s="1050">
        <f t="shared" si="13"/>
        <v>18119.67904</v>
      </c>
      <c r="G95" s="1050">
        <f t="shared" si="8"/>
        <v>877.9789146</v>
      </c>
      <c r="H95" s="1050">
        <f t="shared" si="9"/>
        <v>59.64394351</v>
      </c>
      <c r="I95" s="1050">
        <f t="shared" si="10"/>
        <v>10</v>
      </c>
      <c r="J95" s="1051">
        <f t="shared" si="11"/>
        <v>947.6228581</v>
      </c>
      <c r="K95" s="1043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897"/>
      <c r="W95" s="897"/>
      <c r="X95" s="897"/>
      <c r="Y95" s="897"/>
      <c r="Z95" s="897"/>
    </row>
    <row r="96" ht="15.75" customHeight="1">
      <c r="A96" s="308"/>
      <c r="B96" s="1026">
        <v>72.0</v>
      </c>
      <c r="C96" s="1048">
        <f t="shared" si="12"/>
        <v>47983</v>
      </c>
      <c r="D96" s="1049">
        <f t="shared" si="6"/>
        <v>5</v>
      </c>
      <c r="E96" s="1050">
        <f t="shared" si="7"/>
        <v>2031</v>
      </c>
      <c r="F96" s="1050">
        <f t="shared" si="13"/>
        <v>17241.70013</v>
      </c>
      <c r="G96" s="1050">
        <f t="shared" si="8"/>
        <v>880.8689285</v>
      </c>
      <c r="H96" s="1050">
        <f t="shared" si="9"/>
        <v>56.75392958</v>
      </c>
      <c r="I96" s="1050">
        <f t="shared" si="10"/>
        <v>10</v>
      </c>
      <c r="J96" s="1051">
        <f t="shared" si="11"/>
        <v>947.6228581</v>
      </c>
      <c r="K96" s="1043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897"/>
      <c r="W96" s="897"/>
      <c r="X96" s="897"/>
      <c r="Y96" s="897"/>
      <c r="Z96" s="897"/>
    </row>
    <row r="97" ht="15.75" customHeight="1">
      <c r="A97" s="308"/>
      <c r="B97" s="1026">
        <v>73.0</v>
      </c>
      <c r="C97" s="1048">
        <f t="shared" si="12"/>
        <v>48014</v>
      </c>
      <c r="D97" s="1049">
        <f t="shared" si="6"/>
        <v>6</v>
      </c>
      <c r="E97" s="1050">
        <f t="shared" si="7"/>
        <v>2031</v>
      </c>
      <c r="F97" s="1050">
        <f t="shared" si="13"/>
        <v>16360.8312</v>
      </c>
      <c r="G97" s="1050">
        <f t="shared" si="8"/>
        <v>883.7684554</v>
      </c>
      <c r="H97" s="1050">
        <f t="shared" si="9"/>
        <v>53.85440269</v>
      </c>
      <c r="I97" s="1050">
        <f t="shared" si="10"/>
        <v>10</v>
      </c>
      <c r="J97" s="1051">
        <f t="shared" si="11"/>
        <v>947.6228581</v>
      </c>
      <c r="K97" s="1043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897"/>
      <c r="W97" s="897"/>
      <c r="X97" s="897"/>
      <c r="Y97" s="897"/>
      <c r="Z97" s="897"/>
    </row>
    <row r="98" ht="15.75" customHeight="1">
      <c r="A98" s="308"/>
      <c r="B98" s="1026">
        <v>74.0</v>
      </c>
      <c r="C98" s="1048">
        <f t="shared" si="12"/>
        <v>48044</v>
      </c>
      <c r="D98" s="1049">
        <f t="shared" si="6"/>
        <v>7</v>
      </c>
      <c r="E98" s="1050">
        <f t="shared" si="7"/>
        <v>2031</v>
      </c>
      <c r="F98" s="1050">
        <f t="shared" si="13"/>
        <v>15477.06274</v>
      </c>
      <c r="G98" s="1050">
        <f t="shared" si="8"/>
        <v>886.6775265</v>
      </c>
      <c r="H98" s="1050">
        <f t="shared" si="9"/>
        <v>50.94533152</v>
      </c>
      <c r="I98" s="1050">
        <f t="shared" si="10"/>
        <v>10</v>
      </c>
      <c r="J98" s="1051">
        <f t="shared" si="11"/>
        <v>947.6228581</v>
      </c>
      <c r="K98" s="1043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897"/>
      <c r="W98" s="897"/>
      <c r="X98" s="897"/>
      <c r="Y98" s="897"/>
      <c r="Z98" s="897"/>
    </row>
    <row r="99" ht="15.75" customHeight="1">
      <c r="A99" s="308"/>
      <c r="B99" s="1026">
        <v>75.0</v>
      </c>
      <c r="C99" s="1048">
        <f t="shared" si="12"/>
        <v>48075</v>
      </c>
      <c r="D99" s="1049">
        <f t="shared" si="6"/>
        <v>8</v>
      </c>
      <c r="E99" s="1050">
        <f t="shared" si="7"/>
        <v>2031</v>
      </c>
      <c r="F99" s="1050">
        <f t="shared" si="13"/>
        <v>14590.38521</v>
      </c>
      <c r="G99" s="1050">
        <f t="shared" si="8"/>
        <v>889.5961734</v>
      </c>
      <c r="H99" s="1050">
        <f t="shared" si="9"/>
        <v>48.02668467</v>
      </c>
      <c r="I99" s="1050">
        <f t="shared" si="10"/>
        <v>10</v>
      </c>
      <c r="J99" s="1051">
        <f t="shared" si="11"/>
        <v>947.6228581</v>
      </c>
      <c r="K99" s="1043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897"/>
      <c r="W99" s="897"/>
      <c r="X99" s="897"/>
      <c r="Y99" s="897"/>
      <c r="Z99" s="897"/>
    </row>
    <row r="100" ht="15.75" customHeight="1">
      <c r="A100" s="308"/>
      <c r="B100" s="1026">
        <v>76.0</v>
      </c>
      <c r="C100" s="1048">
        <f t="shared" si="12"/>
        <v>48106</v>
      </c>
      <c r="D100" s="1049">
        <f t="shared" si="6"/>
        <v>9</v>
      </c>
      <c r="E100" s="1050">
        <f t="shared" si="7"/>
        <v>2031</v>
      </c>
      <c r="F100" s="1050">
        <f t="shared" si="13"/>
        <v>13700.78904</v>
      </c>
      <c r="G100" s="1050">
        <f t="shared" si="8"/>
        <v>892.5244275</v>
      </c>
      <c r="H100" s="1050">
        <f t="shared" si="9"/>
        <v>45.0984306</v>
      </c>
      <c r="I100" s="1050">
        <f t="shared" si="10"/>
        <v>10</v>
      </c>
      <c r="J100" s="1051">
        <f t="shared" si="11"/>
        <v>947.6228581</v>
      </c>
      <c r="K100" s="1043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897"/>
      <c r="W100" s="897"/>
      <c r="X100" s="897"/>
      <c r="Y100" s="897"/>
      <c r="Z100" s="897"/>
    </row>
    <row r="101" ht="15.75" customHeight="1">
      <c r="A101" s="308"/>
      <c r="B101" s="1026">
        <v>77.0</v>
      </c>
      <c r="C101" s="1048">
        <f t="shared" si="12"/>
        <v>48136</v>
      </c>
      <c r="D101" s="1049">
        <f t="shared" si="6"/>
        <v>10</v>
      </c>
      <c r="E101" s="1050">
        <f t="shared" si="7"/>
        <v>2031</v>
      </c>
      <c r="F101" s="1050">
        <f t="shared" si="13"/>
        <v>12808.26461</v>
      </c>
      <c r="G101" s="1050">
        <f t="shared" si="8"/>
        <v>895.4623204</v>
      </c>
      <c r="H101" s="1050">
        <f t="shared" si="9"/>
        <v>42.16053769</v>
      </c>
      <c r="I101" s="1050">
        <f t="shared" si="10"/>
        <v>10</v>
      </c>
      <c r="J101" s="1051">
        <f t="shared" si="11"/>
        <v>947.6228581</v>
      </c>
      <c r="K101" s="1043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897"/>
      <c r="W101" s="897"/>
      <c r="X101" s="897"/>
      <c r="Y101" s="897"/>
      <c r="Z101" s="897"/>
    </row>
    <row r="102" ht="15.75" customHeight="1">
      <c r="A102" s="308"/>
      <c r="B102" s="1026">
        <v>78.0</v>
      </c>
      <c r="C102" s="1048">
        <f t="shared" si="12"/>
        <v>48167</v>
      </c>
      <c r="D102" s="1049">
        <f t="shared" si="6"/>
        <v>11</v>
      </c>
      <c r="E102" s="1050">
        <f t="shared" si="7"/>
        <v>2031</v>
      </c>
      <c r="F102" s="1050">
        <f t="shared" si="13"/>
        <v>11912.80229</v>
      </c>
      <c r="G102" s="1050">
        <f t="shared" si="8"/>
        <v>898.4098839</v>
      </c>
      <c r="H102" s="1050">
        <f t="shared" si="9"/>
        <v>39.21297422</v>
      </c>
      <c r="I102" s="1050">
        <f t="shared" si="10"/>
        <v>10</v>
      </c>
      <c r="J102" s="1051">
        <f t="shared" si="11"/>
        <v>947.6228581</v>
      </c>
      <c r="K102" s="1043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897"/>
      <c r="W102" s="897"/>
      <c r="X102" s="897"/>
      <c r="Y102" s="897"/>
      <c r="Z102" s="897"/>
    </row>
    <row r="103" ht="15.75" customHeight="1">
      <c r="A103" s="308"/>
      <c r="B103" s="1026">
        <v>79.0</v>
      </c>
      <c r="C103" s="1048">
        <f t="shared" si="12"/>
        <v>48197</v>
      </c>
      <c r="D103" s="1049">
        <f t="shared" si="6"/>
        <v>12</v>
      </c>
      <c r="E103" s="1050">
        <f t="shared" si="7"/>
        <v>2031</v>
      </c>
      <c r="F103" s="1050">
        <f t="shared" si="13"/>
        <v>11014.39241</v>
      </c>
      <c r="G103" s="1050">
        <f t="shared" si="8"/>
        <v>901.3671497</v>
      </c>
      <c r="H103" s="1050">
        <f t="shared" si="9"/>
        <v>36.25570835</v>
      </c>
      <c r="I103" s="1050">
        <f t="shared" si="10"/>
        <v>10</v>
      </c>
      <c r="J103" s="1051">
        <f t="shared" si="11"/>
        <v>947.6228581</v>
      </c>
      <c r="K103" s="1043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897"/>
      <c r="W103" s="897"/>
      <c r="X103" s="897"/>
      <c r="Y103" s="897"/>
      <c r="Z103" s="897"/>
    </row>
    <row r="104" ht="15.75" customHeight="1">
      <c r="A104" s="308"/>
      <c r="B104" s="1026">
        <v>80.0</v>
      </c>
      <c r="C104" s="1048">
        <f t="shared" si="12"/>
        <v>48228</v>
      </c>
      <c r="D104" s="1049">
        <f t="shared" si="6"/>
        <v>1</v>
      </c>
      <c r="E104" s="1050">
        <f t="shared" si="7"/>
        <v>2032</v>
      </c>
      <c r="F104" s="1050">
        <f t="shared" si="13"/>
        <v>10113.02526</v>
      </c>
      <c r="G104" s="1050">
        <f t="shared" si="8"/>
        <v>904.3341499</v>
      </c>
      <c r="H104" s="1050">
        <f t="shared" si="9"/>
        <v>33.28870815</v>
      </c>
      <c r="I104" s="1050">
        <f t="shared" si="10"/>
        <v>10</v>
      </c>
      <c r="J104" s="1051">
        <f t="shared" si="11"/>
        <v>947.6228581</v>
      </c>
      <c r="K104" s="1043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897"/>
      <c r="W104" s="897"/>
      <c r="X104" s="897"/>
      <c r="Y104" s="897"/>
      <c r="Z104" s="897"/>
    </row>
    <row r="105" ht="15.75" customHeight="1">
      <c r="A105" s="308"/>
      <c r="B105" s="1026">
        <v>81.0</v>
      </c>
      <c r="C105" s="1048">
        <f t="shared" si="12"/>
        <v>48259</v>
      </c>
      <c r="D105" s="1049">
        <f t="shared" si="6"/>
        <v>2</v>
      </c>
      <c r="E105" s="1050">
        <f t="shared" si="7"/>
        <v>2032</v>
      </c>
      <c r="F105" s="1050">
        <f t="shared" si="13"/>
        <v>9208.69111</v>
      </c>
      <c r="G105" s="1050">
        <f t="shared" si="8"/>
        <v>907.3109165</v>
      </c>
      <c r="H105" s="1050">
        <f t="shared" si="9"/>
        <v>30.31194157</v>
      </c>
      <c r="I105" s="1050">
        <f t="shared" si="10"/>
        <v>10</v>
      </c>
      <c r="J105" s="1051">
        <f t="shared" si="11"/>
        <v>947.6228581</v>
      </c>
      <c r="K105" s="1043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897"/>
      <c r="W105" s="897"/>
      <c r="X105" s="897"/>
      <c r="Y105" s="897"/>
      <c r="Z105" s="897"/>
    </row>
    <row r="106" ht="15.75" customHeight="1">
      <c r="A106" s="308"/>
      <c r="B106" s="1026">
        <v>82.0</v>
      </c>
      <c r="C106" s="1048">
        <f t="shared" si="12"/>
        <v>48288</v>
      </c>
      <c r="D106" s="1049">
        <f t="shared" si="6"/>
        <v>3</v>
      </c>
      <c r="E106" s="1050">
        <f t="shared" si="7"/>
        <v>2032</v>
      </c>
      <c r="F106" s="1050">
        <f t="shared" si="13"/>
        <v>8301.380194</v>
      </c>
      <c r="G106" s="1050">
        <f t="shared" si="8"/>
        <v>910.2974816</v>
      </c>
      <c r="H106" s="1050">
        <f t="shared" si="9"/>
        <v>27.32537647</v>
      </c>
      <c r="I106" s="1050">
        <f t="shared" si="10"/>
        <v>10</v>
      </c>
      <c r="J106" s="1051">
        <f t="shared" si="11"/>
        <v>947.6228581</v>
      </c>
      <c r="K106" s="1043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897"/>
      <c r="W106" s="897"/>
      <c r="X106" s="897"/>
      <c r="Y106" s="897"/>
      <c r="Z106" s="897"/>
    </row>
    <row r="107" ht="15.75" customHeight="1">
      <c r="A107" s="308"/>
      <c r="B107" s="1026">
        <v>83.0</v>
      </c>
      <c r="C107" s="1048">
        <f t="shared" si="12"/>
        <v>48319</v>
      </c>
      <c r="D107" s="1049">
        <f t="shared" si="6"/>
        <v>4</v>
      </c>
      <c r="E107" s="1050">
        <f t="shared" si="7"/>
        <v>2032</v>
      </c>
      <c r="F107" s="1050">
        <f t="shared" si="13"/>
        <v>7391.082712</v>
      </c>
      <c r="G107" s="1050">
        <f t="shared" si="8"/>
        <v>913.2938775</v>
      </c>
      <c r="H107" s="1050">
        <f t="shared" si="9"/>
        <v>24.32898059</v>
      </c>
      <c r="I107" s="1050">
        <f t="shared" si="10"/>
        <v>10</v>
      </c>
      <c r="J107" s="1051">
        <f t="shared" si="11"/>
        <v>947.6228581</v>
      </c>
      <c r="K107" s="1043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897"/>
      <c r="W107" s="897"/>
      <c r="X107" s="897"/>
      <c r="Y107" s="897"/>
      <c r="Z107" s="897"/>
    </row>
    <row r="108" ht="15.75" customHeight="1">
      <c r="A108" s="308"/>
      <c r="B108" s="1026">
        <v>84.0</v>
      </c>
      <c r="C108" s="1048">
        <f t="shared" si="12"/>
        <v>48349</v>
      </c>
      <c r="D108" s="1049">
        <f t="shared" si="6"/>
        <v>5</v>
      </c>
      <c r="E108" s="1050">
        <f t="shared" si="7"/>
        <v>2032</v>
      </c>
      <c r="F108" s="1050">
        <f t="shared" si="13"/>
        <v>6477.788835</v>
      </c>
      <c r="G108" s="1050">
        <f t="shared" si="8"/>
        <v>916.3001365</v>
      </c>
      <c r="H108" s="1050">
        <f t="shared" si="9"/>
        <v>21.32272158</v>
      </c>
      <c r="I108" s="1050">
        <f t="shared" si="10"/>
        <v>10</v>
      </c>
      <c r="J108" s="1051">
        <f t="shared" si="11"/>
        <v>947.6228581</v>
      </c>
      <c r="K108" s="1043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897"/>
      <c r="W108" s="897"/>
      <c r="X108" s="897"/>
      <c r="Y108" s="897"/>
      <c r="Z108" s="897"/>
    </row>
    <row r="109" ht="15.75" customHeight="1">
      <c r="A109" s="308"/>
      <c r="B109" s="1026">
        <v>85.0</v>
      </c>
      <c r="C109" s="1048">
        <f t="shared" si="12"/>
        <v>48380</v>
      </c>
      <c r="D109" s="1049">
        <f t="shared" si="6"/>
        <v>6</v>
      </c>
      <c r="E109" s="1050">
        <f t="shared" si="7"/>
        <v>2032</v>
      </c>
      <c r="F109" s="1050">
        <f t="shared" si="13"/>
        <v>5561.488698</v>
      </c>
      <c r="G109" s="1050">
        <f t="shared" si="8"/>
        <v>919.3162911</v>
      </c>
      <c r="H109" s="1050">
        <f t="shared" si="9"/>
        <v>18.30656696</v>
      </c>
      <c r="I109" s="1050">
        <f t="shared" si="10"/>
        <v>10</v>
      </c>
      <c r="J109" s="1051">
        <f t="shared" si="11"/>
        <v>947.6228581</v>
      </c>
      <c r="K109" s="1043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897"/>
      <c r="W109" s="897"/>
      <c r="X109" s="897"/>
      <c r="Y109" s="897"/>
      <c r="Z109" s="897"/>
    </row>
    <row r="110" ht="15.75" customHeight="1">
      <c r="A110" s="308"/>
      <c r="B110" s="1026">
        <v>86.0</v>
      </c>
      <c r="C110" s="1048">
        <f t="shared" si="12"/>
        <v>48410</v>
      </c>
      <c r="D110" s="1049">
        <f t="shared" si="6"/>
        <v>7</v>
      </c>
      <c r="E110" s="1050">
        <f t="shared" si="7"/>
        <v>2032</v>
      </c>
      <c r="F110" s="1050">
        <f t="shared" si="13"/>
        <v>4642.172407</v>
      </c>
      <c r="G110" s="1050">
        <f t="shared" si="8"/>
        <v>922.3423739</v>
      </c>
      <c r="H110" s="1050">
        <f t="shared" si="9"/>
        <v>15.28048417</v>
      </c>
      <c r="I110" s="1050">
        <f t="shared" si="10"/>
        <v>10</v>
      </c>
      <c r="J110" s="1051">
        <f t="shared" si="11"/>
        <v>947.6228581</v>
      </c>
      <c r="K110" s="1043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897"/>
      <c r="W110" s="897"/>
      <c r="X110" s="897"/>
      <c r="Y110" s="897"/>
      <c r="Z110" s="897"/>
    </row>
    <row r="111" ht="15.75" customHeight="1">
      <c r="A111" s="308"/>
      <c r="B111" s="1026">
        <v>87.0</v>
      </c>
      <c r="C111" s="1048">
        <f t="shared" si="12"/>
        <v>48441</v>
      </c>
      <c r="D111" s="1049">
        <f t="shared" si="6"/>
        <v>8</v>
      </c>
      <c r="E111" s="1050">
        <f t="shared" si="7"/>
        <v>2032</v>
      </c>
      <c r="F111" s="1050">
        <f t="shared" si="13"/>
        <v>3719.830033</v>
      </c>
      <c r="G111" s="1050">
        <f t="shared" si="8"/>
        <v>925.3784175</v>
      </c>
      <c r="H111" s="1050">
        <f t="shared" si="9"/>
        <v>12.24444053</v>
      </c>
      <c r="I111" s="1050">
        <f t="shared" si="10"/>
        <v>10</v>
      </c>
      <c r="J111" s="1051">
        <f t="shared" si="11"/>
        <v>947.6228581</v>
      </c>
      <c r="K111" s="1043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897"/>
      <c r="W111" s="897"/>
      <c r="X111" s="897"/>
      <c r="Y111" s="897"/>
      <c r="Z111" s="897"/>
    </row>
    <row r="112" ht="15.75" customHeight="1">
      <c r="A112" s="308"/>
      <c r="B112" s="1026">
        <v>88.0</v>
      </c>
      <c r="C112" s="1048">
        <f t="shared" si="12"/>
        <v>48472</v>
      </c>
      <c r="D112" s="1049">
        <f t="shared" si="6"/>
        <v>9</v>
      </c>
      <c r="E112" s="1050">
        <f t="shared" si="7"/>
        <v>2032</v>
      </c>
      <c r="F112" s="1050">
        <f t="shared" si="13"/>
        <v>2794.451616</v>
      </c>
      <c r="G112" s="1050">
        <f t="shared" si="8"/>
        <v>928.4244548</v>
      </c>
      <c r="H112" s="1050">
        <f t="shared" si="9"/>
        <v>9.198403235</v>
      </c>
      <c r="I112" s="1050">
        <f t="shared" si="10"/>
        <v>10</v>
      </c>
      <c r="J112" s="1051">
        <f t="shared" si="11"/>
        <v>947.6228581</v>
      </c>
      <c r="K112" s="1043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897"/>
      <c r="W112" s="897"/>
      <c r="X112" s="897"/>
      <c r="Y112" s="897"/>
      <c r="Z112" s="897"/>
    </row>
    <row r="113" ht="15.75" customHeight="1">
      <c r="A113" s="308"/>
      <c r="B113" s="1026">
        <v>89.0</v>
      </c>
      <c r="C113" s="1048">
        <f t="shared" si="12"/>
        <v>48502</v>
      </c>
      <c r="D113" s="1049">
        <f t="shared" si="6"/>
        <v>10</v>
      </c>
      <c r="E113" s="1050">
        <f t="shared" si="7"/>
        <v>2032</v>
      </c>
      <c r="F113" s="1050">
        <f t="shared" si="13"/>
        <v>1866.027161</v>
      </c>
      <c r="G113" s="1050">
        <f t="shared" si="8"/>
        <v>931.4805187</v>
      </c>
      <c r="H113" s="1050">
        <f t="shared" si="9"/>
        <v>6.142339404</v>
      </c>
      <c r="I113" s="1050">
        <f t="shared" si="10"/>
        <v>10</v>
      </c>
      <c r="J113" s="1051">
        <f t="shared" si="11"/>
        <v>947.6228581</v>
      </c>
      <c r="K113" s="1043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897"/>
      <c r="W113" s="897"/>
      <c r="X113" s="897"/>
      <c r="Y113" s="897"/>
      <c r="Z113" s="897"/>
    </row>
    <row r="114" ht="15.75" customHeight="1">
      <c r="A114" s="308"/>
      <c r="B114" s="1026">
        <v>90.0</v>
      </c>
      <c r="C114" s="1048">
        <f t="shared" si="12"/>
        <v>48533</v>
      </c>
      <c r="D114" s="1049">
        <f t="shared" si="6"/>
        <v>11</v>
      </c>
      <c r="E114" s="1050">
        <f t="shared" si="7"/>
        <v>2032</v>
      </c>
      <c r="F114" s="1050">
        <f t="shared" si="13"/>
        <v>934.546642</v>
      </c>
      <c r="G114" s="1050">
        <f t="shared" si="8"/>
        <v>934.546642</v>
      </c>
      <c r="H114" s="1050">
        <f t="shared" si="9"/>
        <v>3.07621603</v>
      </c>
      <c r="I114" s="1050">
        <f t="shared" si="10"/>
        <v>10</v>
      </c>
      <c r="J114" s="1051">
        <f t="shared" si="11"/>
        <v>947.6228581</v>
      </c>
      <c r="K114" s="1043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897"/>
      <c r="W114" s="897"/>
      <c r="X114" s="897"/>
      <c r="Y114" s="897"/>
      <c r="Z114" s="897"/>
    </row>
    <row r="115" ht="15.75" customHeight="1">
      <c r="A115" s="308"/>
      <c r="B115" s="1026">
        <v>91.0</v>
      </c>
      <c r="C115" s="1048">
        <f t="shared" si="12"/>
        <v>48563</v>
      </c>
      <c r="D115" s="1049">
        <f t="shared" si="6"/>
        <v>12</v>
      </c>
      <c r="E115" s="1050">
        <f t="shared" si="7"/>
        <v>2032</v>
      </c>
      <c r="F115" s="1050">
        <f t="shared" si="13"/>
        <v>0.0000000005916263035</v>
      </c>
      <c r="G115" s="1050">
        <f t="shared" si="8"/>
        <v>0</v>
      </c>
      <c r="H115" s="1050">
        <f t="shared" si="9"/>
        <v>0</v>
      </c>
      <c r="I115" s="1050">
        <f t="shared" si="10"/>
        <v>0</v>
      </c>
      <c r="J115" s="1051">
        <f t="shared" si="11"/>
        <v>0</v>
      </c>
      <c r="K115" s="1043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897"/>
      <c r="W115" s="897"/>
      <c r="X115" s="897"/>
      <c r="Y115" s="897"/>
      <c r="Z115" s="897"/>
    </row>
    <row r="116" ht="15.75" customHeight="1">
      <c r="A116" s="308"/>
      <c r="B116" s="1026">
        <v>92.0</v>
      </c>
      <c r="C116" s="1048">
        <f t="shared" si="12"/>
        <v>48594</v>
      </c>
      <c r="D116" s="1049">
        <f t="shared" si="6"/>
        <v>1</v>
      </c>
      <c r="E116" s="1050">
        <f t="shared" si="7"/>
        <v>2033</v>
      </c>
      <c r="F116" s="1050">
        <f t="shared" si="13"/>
        <v>0.0000000005935737401</v>
      </c>
      <c r="G116" s="1050">
        <f t="shared" si="8"/>
        <v>0</v>
      </c>
      <c r="H116" s="1050">
        <f t="shared" si="9"/>
        <v>0</v>
      </c>
      <c r="I116" s="1050">
        <f t="shared" si="10"/>
        <v>0</v>
      </c>
      <c r="J116" s="1051">
        <f t="shared" si="11"/>
        <v>0</v>
      </c>
      <c r="K116" s="1043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897"/>
      <c r="W116" s="897"/>
      <c r="X116" s="897"/>
      <c r="Y116" s="897"/>
      <c r="Z116" s="897"/>
    </row>
    <row r="117" ht="15.75" customHeight="1">
      <c r="A117" s="308"/>
      <c r="B117" s="1026">
        <v>93.0</v>
      </c>
      <c r="C117" s="1048">
        <f t="shared" si="12"/>
        <v>48625</v>
      </c>
      <c r="D117" s="1049">
        <f t="shared" si="6"/>
        <v>2</v>
      </c>
      <c r="E117" s="1050">
        <f t="shared" si="7"/>
        <v>2033</v>
      </c>
      <c r="F117" s="1050">
        <f t="shared" si="13"/>
        <v>0.000000000595527587</v>
      </c>
      <c r="G117" s="1050">
        <f t="shared" si="8"/>
        <v>0</v>
      </c>
      <c r="H117" s="1050">
        <f t="shared" si="9"/>
        <v>0</v>
      </c>
      <c r="I117" s="1050">
        <f t="shared" si="10"/>
        <v>0</v>
      </c>
      <c r="J117" s="1051">
        <f t="shared" si="11"/>
        <v>0</v>
      </c>
      <c r="K117" s="1043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897"/>
      <c r="W117" s="897"/>
      <c r="X117" s="897"/>
      <c r="Y117" s="897"/>
      <c r="Z117" s="897"/>
    </row>
    <row r="118" ht="15.75" customHeight="1">
      <c r="A118" s="308"/>
      <c r="B118" s="1026">
        <v>94.0</v>
      </c>
      <c r="C118" s="1048">
        <f t="shared" si="12"/>
        <v>48653</v>
      </c>
      <c r="D118" s="1049">
        <f t="shared" si="6"/>
        <v>3</v>
      </c>
      <c r="E118" s="1050">
        <f t="shared" si="7"/>
        <v>2033</v>
      </c>
      <c r="F118" s="1050">
        <f t="shared" si="13"/>
        <v>0.0000000005974878653</v>
      </c>
      <c r="G118" s="1050">
        <f t="shared" si="8"/>
        <v>0</v>
      </c>
      <c r="H118" s="1050">
        <f t="shared" si="9"/>
        <v>0</v>
      </c>
      <c r="I118" s="1050">
        <f t="shared" si="10"/>
        <v>0</v>
      </c>
      <c r="J118" s="1051">
        <f t="shared" si="11"/>
        <v>0</v>
      </c>
      <c r="K118" s="1043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897"/>
      <c r="W118" s="897"/>
      <c r="X118" s="897"/>
      <c r="Y118" s="897"/>
      <c r="Z118" s="897"/>
    </row>
    <row r="119" ht="15.75" customHeight="1">
      <c r="A119" s="308"/>
      <c r="B119" s="1026">
        <v>95.0</v>
      </c>
      <c r="C119" s="1048">
        <f t="shared" si="12"/>
        <v>48684</v>
      </c>
      <c r="D119" s="1049">
        <f t="shared" si="6"/>
        <v>4</v>
      </c>
      <c r="E119" s="1050">
        <f t="shared" si="7"/>
        <v>2033</v>
      </c>
      <c r="F119" s="1050">
        <f t="shared" si="13"/>
        <v>0.0000000005994545962</v>
      </c>
      <c r="G119" s="1050">
        <f t="shared" si="8"/>
        <v>0</v>
      </c>
      <c r="H119" s="1050">
        <f t="shared" si="9"/>
        <v>0</v>
      </c>
      <c r="I119" s="1050">
        <f t="shared" si="10"/>
        <v>0</v>
      </c>
      <c r="J119" s="1051">
        <f t="shared" si="11"/>
        <v>0</v>
      </c>
      <c r="K119" s="1043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897"/>
      <c r="W119" s="897"/>
      <c r="X119" s="897"/>
      <c r="Y119" s="897"/>
      <c r="Z119" s="897"/>
    </row>
    <row r="120" ht="15.75" customHeight="1">
      <c r="A120" s="308"/>
      <c r="B120" s="1026">
        <v>96.0</v>
      </c>
      <c r="C120" s="1048">
        <f t="shared" si="12"/>
        <v>48714</v>
      </c>
      <c r="D120" s="1049">
        <f t="shared" si="6"/>
        <v>5</v>
      </c>
      <c r="E120" s="1050">
        <f t="shared" si="7"/>
        <v>2033</v>
      </c>
      <c r="F120" s="1050">
        <f t="shared" si="13"/>
        <v>0.0000000006014278009</v>
      </c>
      <c r="G120" s="1050">
        <f t="shared" si="8"/>
        <v>0</v>
      </c>
      <c r="H120" s="1050">
        <f t="shared" si="9"/>
        <v>0</v>
      </c>
      <c r="I120" s="1050">
        <f t="shared" si="10"/>
        <v>0</v>
      </c>
      <c r="J120" s="1051">
        <f t="shared" si="11"/>
        <v>0</v>
      </c>
      <c r="K120" s="1043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897"/>
      <c r="W120" s="897"/>
      <c r="X120" s="897"/>
      <c r="Y120" s="897"/>
      <c r="Z120" s="897"/>
    </row>
    <row r="121" ht="15.75" customHeight="1">
      <c r="A121" s="308"/>
      <c r="B121" s="1026">
        <v>97.0</v>
      </c>
      <c r="C121" s="1048">
        <f t="shared" si="12"/>
        <v>48745</v>
      </c>
      <c r="D121" s="1049">
        <f t="shared" si="6"/>
        <v>6</v>
      </c>
      <c r="E121" s="1050">
        <f t="shared" si="7"/>
        <v>2033</v>
      </c>
      <c r="F121" s="1050">
        <f t="shared" si="13"/>
        <v>0.0000000006034075007</v>
      </c>
      <c r="G121" s="1050">
        <f t="shared" si="8"/>
        <v>0</v>
      </c>
      <c r="H121" s="1050">
        <f t="shared" si="9"/>
        <v>0</v>
      </c>
      <c r="I121" s="1050">
        <f t="shared" si="10"/>
        <v>0</v>
      </c>
      <c r="J121" s="1051">
        <f t="shared" si="11"/>
        <v>0</v>
      </c>
      <c r="K121" s="1043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897"/>
      <c r="W121" s="897"/>
      <c r="X121" s="897"/>
      <c r="Y121" s="897"/>
      <c r="Z121" s="897"/>
    </row>
    <row r="122" ht="15.75" customHeight="1">
      <c r="A122" s="308"/>
      <c r="B122" s="1026">
        <v>98.0</v>
      </c>
      <c r="C122" s="1048">
        <f t="shared" si="12"/>
        <v>48775</v>
      </c>
      <c r="D122" s="1049">
        <f t="shared" si="6"/>
        <v>7</v>
      </c>
      <c r="E122" s="1050">
        <f t="shared" si="7"/>
        <v>2033</v>
      </c>
      <c r="F122" s="1050">
        <f t="shared" si="13"/>
        <v>0.0000000006053937171</v>
      </c>
      <c r="G122" s="1050">
        <f t="shared" si="8"/>
        <v>0</v>
      </c>
      <c r="H122" s="1050">
        <f t="shared" si="9"/>
        <v>0</v>
      </c>
      <c r="I122" s="1050">
        <f t="shared" si="10"/>
        <v>0</v>
      </c>
      <c r="J122" s="1051">
        <f t="shared" si="11"/>
        <v>0</v>
      </c>
      <c r="K122" s="1043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897"/>
      <c r="W122" s="897"/>
      <c r="X122" s="897"/>
      <c r="Y122" s="897"/>
      <c r="Z122" s="897"/>
    </row>
    <row r="123" ht="15.75" customHeight="1">
      <c r="A123" s="308"/>
      <c r="B123" s="1026">
        <v>99.0</v>
      </c>
      <c r="C123" s="1048">
        <f t="shared" si="12"/>
        <v>48806</v>
      </c>
      <c r="D123" s="1049">
        <f t="shared" si="6"/>
        <v>8</v>
      </c>
      <c r="E123" s="1050">
        <f t="shared" si="7"/>
        <v>2033</v>
      </c>
      <c r="F123" s="1050">
        <f t="shared" si="13"/>
        <v>0.0000000006073864714</v>
      </c>
      <c r="G123" s="1050">
        <f t="shared" si="8"/>
        <v>0</v>
      </c>
      <c r="H123" s="1050">
        <f t="shared" si="9"/>
        <v>0</v>
      </c>
      <c r="I123" s="1050">
        <f t="shared" si="10"/>
        <v>0</v>
      </c>
      <c r="J123" s="1051">
        <f t="shared" si="11"/>
        <v>0</v>
      </c>
      <c r="K123" s="1043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897"/>
      <c r="W123" s="897"/>
      <c r="X123" s="897"/>
      <c r="Y123" s="897"/>
      <c r="Z123" s="897"/>
    </row>
    <row r="124" ht="15.75" customHeight="1">
      <c r="A124" s="308"/>
      <c r="B124" s="1026">
        <v>100.0</v>
      </c>
      <c r="C124" s="1048">
        <f t="shared" si="12"/>
        <v>48837</v>
      </c>
      <c r="D124" s="1049">
        <f t="shared" si="6"/>
        <v>9</v>
      </c>
      <c r="E124" s="1050">
        <f t="shared" si="7"/>
        <v>2033</v>
      </c>
      <c r="F124" s="1050">
        <f t="shared" si="13"/>
        <v>0.0000000006093857852</v>
      </c>
      <c r="G124" s="1050">
        <f t="shared" si="8"/>
        <v>0</v>
      </c>
      <c r="H124" s="1050">
        <f t="shared" si="9"/>
        <v>0</v>
      </c>
      <c r="I124" s="1050">
        <f t="shared" si="10"/>
        <v>0</v>
      </c>
      <c r="J124" s="1051">
        <f t="shared" si="11"/>
        <v>0</v>
      </c>
      <c r="K124" s="1043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897"/>
      <c r="W124" s="897"/>
      <c r="X124" s="897"/>
      <c r="Y124" s="897"/>
      <c r="Z124" s="897"/>
    </row>
    <row r="125" ht="15.75" customHeight="1">
      <c r="A125" s="308"/>
      <c r="B125" s="1026">
        <v>101.0</v>
      </c>
      <c r="C125" s="1048">
        <f t="shared" si="12"/>
        <v>48867</v>
      </c>
      <c r="D125" s="1049">
        <f t="shared" si="6"/>
        <v>10</v>
      </c>
      <c r="E125" s="1050">
        <f t="shared" si="7"/>
        <v>2033</v>
      </c>
      <c r="F125" s="1050">
        <f t="shared" si="13"/>
        <v>0.0000000006113916801</v>
      </c>
      <c r="G125" s="1050">
        <f t="shared" si="8"/>
        <v>0</v>
      </c>
      <c r="H125" s="1050">
        <f t="shared" si="9"/>
        <v>0</v>
      </c>
      <c r="I125" s="1050">
        <f t="shared" si="10"/>
        <v>0</v>
      </c>
      <c r="J125" s="1051">
        <f t="shared" si="11"/>
        <v>0</v>
      </c>
      <c r="K125" s="1043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897"/>
      <c r="W125" s="897"/>
      <c r="X125" s="897"/>
      <c r="Y125" s="897"/>
      <c r="Z125" s="897"/>
    </row>
    <row r="126" ht="15.75" customHeight="1">
      <c r="A126" s="308"/>
      <c r="B126" s="1026">
        <v>102.0</v>
      </c>
      <c r="C126" s="1048">
        <f t="shared" si="12"/>
        <v>48898</v>
      </c>
      <c r="D126" s="1049">
        <f t="shared" si="6"/>
        <v>11</v>
      </c>
      <c r="E126" s="1050">
        <f t="shared" si="7"/>
        <v>2033</v>
      </c>
      <c r="F126" s="1050">
        <f t="shared" si="13"/>
        <v>0.0000000006134041777</v>
      </c>
      <c r="G126" s="1050">
        <f t="shared" si="8"/>
        <v>0</v>
      </c>
      <c r="H126" s="1050">
        <f t="shared" si="9"/>
        <v>0</v>
      </c>
      <c r="I126" s="1050">
        <f t="shared" si="10"/>
        <v>0</v>
      </c>
      <c r="J126" s="1051">
        <f t="shared" si="11"/>
        <v>0</v>
      </c>
      <c r="K126" s="1043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897"/>
      <c r="W126" s="897"/>
      <c r="X126" s="897"/>
      <c r="Y126" s="897"/>
      <c r="Z126" s="897"/>
    </row>
    <row r="127" ht="15.75" customHeight="1">
      <c r="A127" s="308"/>
      <c r="B127" s="1026">
        <v>103.0</v>
      </c>
      <c r="C127" s="1048">
        <f t="shared" si="12"/>
        <v>48928</v>
      </c>
      <c r="D127" s="1049">
        <f t="shared" si="6"/>
        <v>12</v>
      </c>
      <c r="E127" s="1050">
        <f t="shared" si="7"/>
        <v>2033</v>
      </c>
      <c r="F127" s="1050">
        <f t="shared" si="13"/>
        <v>0.0000000006154232998</v>
      </c>
      <c r="G127" s="1050">
        <f t="shared" si="8"/>
        <v>0</v>
      </c>
      <c r="H127" s="1050">
        <f t="shared" si="9"/>
        <v>0</v>
      </c>
      <c r="I127" s="1050">
        <f t="shared" si="10"/>
        <v>0</v>
      </c>
      <c r="J127" s="1051">
        <f t="shared" si="11"/>
        <v>0</v>
      </c>
      <c r="K127" s="1043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897"/>
      <c r="W127" s="897"/>
      <c r="X127" s="897"/>
      <c r="Y127" s="897"/>
      <c r="Z127" s="897"/>
    </row>
    <row r="128" ht="15.75" customHeight="1">
      <c r="A128" s="308"/>
      <c r="B128" s="1026">
        <v>104.0</v>
      </c>
      <c r="C128" s="1048">
        <f t="shared" si="12"/>
        <v>48959</v>
      </c>
      <c r="D128" s="1049">
        <f t="shared" si="6"/>
        <v>1</v>
      </c>
      <c r="E128" s="1050">
        <f t="shared" si="7"/>
        <v>2034</v>
      </c>
      <c r="F128" s="1050">
        <f t="shared" si="13"/>
        <v>0.0000000006174490681</v>
      </c>
      <c r="G128" s="1050">
        <f t="shared" si="8"/>
        <v>0</v>
      </c>
      <c r="H128" s="1050">
        <f t="shared" si="9"/>
        <v>0</v>
      </c>
      <c r="I128" s="1050">
        <f t="shared" si="10"/>
        <v>0</v>
      </c>
      <c r="J128" s="1051">
        <f t="shared" si="11"/>
        <v>0</v>
      </c>
      <c r="K128" s="1043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897"/>
      <c r="W128" s="897"/>
      <c r="X128" s="897"/>
      <c r="Y128" s="897"/>
      <c r="Z128" s="897"/>
    </row>
    <row r="129" ht="15.75" customHeight="1">
      <c r="A129" s="308"/>
      <c r="B129" s="1026">
        <v>105.0</v>
      </c>
      <c r="C129" s="1048">
        <f t="shared" si="12"/>
        <v>48990</v>
      </c>
      <c r="D129" s="1049">
        <f t="shared" si="6"/>
        <v>2</v>
      </c>
      <c r="E129" s="1050">
        <f t="shared" si="7"/>
        <v>2034</v>
      </c>
      <c r="F129" s="1050">
        <f t="shared" si="13"/>
        <v>0.0000000006194815047</v>
      </c>
      <c r="G129" s="1050">
        <f t="shared" si="8"/>
        <v>0</v>
      </c>
      <c r="H129" s="1050">
        <f t="shared" si="9"/>
        <v>0</v>
      </c>
      <c r="I129" s="1050">
        <f t="shared" si="10"/>
        <v>0</v>
      </c>
      <c r="J129" s="1051">
        <f t="shared" si="11"/>
        <v>0</v>
      </c>
      <c r="K129" s="1043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897"/>
      <c r="W129" s="897"/>
      <c r="X129" s="897"/>
      <c r="Y129" s="897"/>
      <c r="Z129" s="897"/>
    </row>
    <row r="130" ht="15.75" customHeight="1">
      <c r="A130" s="308"/>
      <c r="B130" s="1026">
        <v>106.0</v>
      </c>
      <c r="C130" s="1048">
        <f t="shared" si="12"/>
        <v>49018</v>
      </c>
      <c r="D130" s="1049">
        <f t="shared" si="6"/>
        <v>3</v>
      </c>
      <c r="E130" s="1050">
        <f t="shared" si="7"/>
        <v>2034</v>
      </c>
      <c r="F130" s="1050">
        <f t="shared" si="13"/>
        <v>0.0000000006215206313</v>
      </c>
      <c r="G130" s="1050">
        <f t="shared" si="8"/>
        <v>0</v>
      </c>
      <c r="H130" s="1050">
        <f t="shared" si="9"/>
        <v>0</v>
      </c>
      <c r="I130" s="1050">
        <f t="shared" si="10"/>
        <v>0</v>
      </c>
      <c r="J130" s="1051">
        <f t="shared" si="11"/>
        <v>0</v>
      </c>
      <c r="K130" s="1043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897"/>
      <c r="W130" s="897"/>
      <c r="X130" s="897"/>
      <c r="Y130" s="897"/>
      <c r="Z130" s="897"/>
    </row>
    <row r="131" ht="15.75" customHeight="1">
      <c r="A131" s="308"/>
      <c r="B131" s="1026">
        <v>107.0</v>
      </c>
      <c r="C131" s="1048">
        <f t="shared" si="12"/>
        <v>49049</v>
      </c>
      <c r="D131" s="1049">
        <f t="shared" si="6"/>
        <v>4</v>
      </c>
      <c r="E131" s="1050">
        <f t="shared" si="7"/>
        <v>2034</v>
      </c>
      <c r="F131" s="1050">
        <f t="shared" si="13"/>
        <v>0.00000000062356647</v>
      </c>
      <c r="G131" s="1050">
        <f t="shared" si="8"/>
        <v>0</v>
      </c>
      <c r="H131" s="1050">
        <f t="shared" si="9"/>
        <v>0</v>
      </c>
      <c r="I131" s="1050">
        <f t="shared" si="10"/>
        <v>0</v>
      </c>
      <c r="J131" s="1051">
        <f t="shared" si="11"/>
        <v>0</v>
      </c>
      <c r="K131" s="1043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897"/>
      <c r="W131" s="897"/>
      <c r="X131" s="897"/>
      <c r="Y131" s="897"/>
      <c r="Z131" s="897"/>
    </row>
    <row r="132" ht="15.75" customHeight="1">
      <c r="A132" s="308"/>
      <c r="B132" s="1026">
        <v>108.0</v>
      </c>
      <c r="C132" s="1048">
        <f t="shared" si="12"/>
        <v>49079</v>
      </c>
      <c r="D132" s="1049">
        <f t="shared" si="6"/>
        <v>5</v>
      </c>
      <c r="E132" s="1050">
        <f t="shared" si="7"/>
        <v>2034</v>
      </c>
      <c r="F132" s="1050">
        <f t="shared" si="13"/>
        <v>0.000000000625619043</v>
      </c>
      <c r="G132" s="1050">
        <f t="shared" si="8"/>
        <v>0</v>
      </c>
      <c r="H132" s="1050">
        <f t="shared" si="9"/>
        <v>0</v>
      </c>
      <c r="I132" s="1050">
        <f t="shared" si="10"/>
        <v>0</v>
      </c>
      <c r="J132" s="1051">
        <f t="shared" si="11"/>
        <v>0</v>
      </c>
      <c r="K132" s="1043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897"/>
      <c r="W132" s="897"/>
      <c r="X132" s="897"/>
      <c r="Y132" s="897"/>
      <c r="Z132" s="897"/>
    </row>
    <row r="133" ht="15.75" customHeight="1">
      <c r="A133" s="308"/>
      <c r="B133" s="1026">
        <v>109.0</v>
      </c>
      <c r="C133" s="1048">
        <f t="shared" si="12"/>
        <v>49110</v>
      </c>
      <c r="D133" s="1049">
        <f t="shared" si="6"/>
        <v>6</v>
      </c>
      <c r="E133" s="1050">
        <f t="shared" si="7"/>
        <v>2034</v>
      </c>
      <c r="F133" s="1050">
        <f t="shared" si="13"/>
        <v>0.0000000006276783723</v>
      </c>
      <c r="G133" s="1050">
        <f t="shared" si="8"/>
        <v>0</v>
      </c>
      <c r="H133" s="1050">
        <f t="shared" si="9"/>
        <v>0</v>
      </c>
      <c r="I133" s="1050">
        <f t="shared" si="10"/>
        <v>0</v>
      </c>
      <c r="J133" s="1051">
        <f t="shared" si="11"/>
        <v>0</v>
      </c>
      <c r="K133" s="1043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897"/>
      <c r="W133" s="897"/>
      <c r="X133" s="897"/>
      <c r="Y133" s="897"/>
      <c r="Z133" s="897"/>
    </row>
    <row r="134" ht="15.75" customHeight="1">
      <c r="A134" s="308"/>
      <c r="B134" s="1026">
        <v>110.0</v>
      </c>
      <c r="C134" s="1048">
        <f t="shared" si="12"/>
        <v>49140</v>
      </c>
      <c r="D134" s="1049">
        <f t="shared" si="6"/>
        <v>7</v>
      </c>
      <c r="E134" s="1050">
        <f t="shared" si="7"/>
        <v>2034</v>
      </c>
      <c r="F134" s="1050">
        <f t="shared" si="13"/>
        <v>0.0000000006297444803</v>
      </c>
      <c r="G134" s="1050">
        <f t="shared" si="8"/>
        <v>0</v>
      </c>
      <c r="H134" s="1050">
        <f t="shared" si="9"/>
        <v>0</v>
      </c>
      <c r="I134" s="1050">
        <f t="shared" si="10"/>
        <v>0</v>
      </c>
      <c r="J134" s="1051">
        <f t="shared" si="11"/>
        <v>0</v>
      </c>
      <c r="K134" s="1043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897"/>
      <c r="W134" s="897"/>
      <c r="X134" s="897"/>
      <c r="Y134" s="897"/>
      <c r="Z134" s="897"/>
    </row>
    <row r="135" ht="15.75" customHeight="1">
      <c r="A135" s="308"/>
      <c r="B135" s="1026">
        <v>111.0</v>
      </c>
      <c r="C135" s="1048">
        <f t="shared" si="12"/>
        <v>49171</v>
      </c>
      <c r="D135" s="1049">
        <f t="shared" si="6"/>
        <v>8</v>
      </c>
      <c r="E135" s="1050">
        <f t="shared" si="7"/>
        <v>2034</v>
      </c>
      <c r="F135" s="1050">
        <f t="shared" si="13"/>
        <v>0.0000000006318173892</v>
      </c>
      <c r="G135" s="1050">
        <f t="shared" si="8"/>
        <v>0</v>
      </c>
      <c r="H135" s="1050">
        <f t="shared" si="9"/>
        <v>0</v>
      </c>
      <c r="I135" s="1050">
        <f t="shared" si="10"/>
        <v>0</v>
      </c>
      <c r="J135" s="1051">
        <f t="shared" si="11"/>
        <v>0</v>
      </c>
      <c r="K135" s="1043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897"/>
      <c r="W135" s="897"/>
      <c r="X135" s="897"/>
      <c r="Y135" s="897"/>
      <c r="Z135" s="897"/>
    </row>
    <row r="136" ht="15.75" customHeight="1">
      <c r="A136" s="308"/>
      <c r="B136" s="1026">
        <v>112.0</v>
      </c>
      <c r="C136" s="1048">
        <f t="shared" si="12"/>
        <v>49202</v>
      </c>
      <c r="D136" s="1049">
        <f t="shared" si="6"/>
        <v>9</v>
      </c>
      <c r="E136" s="1050">
        <f t="shared" si="7"/>
        <v>2034</v>
      </c>
      <c r="F136" s="1050">
        <f t="shared" si="13"/>
        <v>0.0000000006338971215</v>
      </c>
      <c r="G136" s="1050">
        <f t="shared" si="8"/>
        <v>0</v>
      </c>
      <c r="H136" s="1050">
        <f t="shared" si="9"/>
        <v>0</v>
      </c>
      <c r="I136" s="1050">
        <f t="shared" si="10"/>
        <v>0</v>
      </c>
      <c r="J136" s="1051">
        <f t="shared" si="11"/>
        <v>0</v>
      </c>
      <c r="K136" s="1043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897"/>
      <c r="W136" s="897"/>
      <c r="X136" s="897"/>
      <c r="Y136" s="897"/>
      <c r="Z136" s="897"/>
    </row>
    <row r="137" ht="15.75" customHeight="1">
      <c r="A137" s="308"/>
      <c r="B137" s="1026">
        <v>113.0</v>
      </c>
      <c r="C137" s="1048">
        <f t="shared" si="12"/>
        <v>49232</v>
      </c>
      <c r="D137" s="1049">
        <f t="shared" si="6"/>
        <v>10</v>
      </c>
      <c r="E137" s="1050">
        <f t="shared" si="7"/>
        <v>2034</v>
      </c>
      <c r="F137" s="1050">
        <f t="shared" si="13"/>
        <v>0.0000000006359836995</v>
      </c>
      <c r="G137" s="1050">
        <f t="shared" si="8"/>
        <v>0</v>
      </c>
      <c r="H137" s="1050">
        <f t="shared" si="9"/>
        <v>0</v>
      </c>
      <c r="I137" s="1050">
        <f t="shared" si="10"/>
        <v>0</v>
      </c>
      <c r="J137" s="1051">
        <f t="shared" si="11"/>
        <v>0</v>
      </c>
      <c r="K137" s="1043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897"/>
      <c r="W137" s="897"/>
      <c r="X137" s="897"/>
      <c r="Y137" s="897"/>
      <c r="Z137" s="897"/>
    </row>
    <row r="138" ht="15.75" customHeight="1">
      <c r="A138" s="308"/>
      <c r="B138" s="1026">
        <v>114.0</v>
      </c>
      <c r="C138" s="1048">
        <f t="shared" si="12"/>
        <v>49263</v>
      </c>
      <c r="D138" s="1049">
        <f t="shared" si="6"/>
        <v>11</v>
      </c>
      <c r="E138" s="1050">
        <f t="shared" si="7"/>
        <v>2034</v>
      </c>
      <c r="F138" s="1050">
        <f t="shared" si="13"/>
        <v>0.0000000006380771458</v>
      </c>
      <c r="G138" s="1050">
        <f t="shared" si="8"/>
        <v>0</v>
      </c>
      <c r="H138" s="1050">
        <f t="shared" si="9"/>
        <v>0</v>
      </c>
      <c r="I138" s="1050">
        <f t="shared" si="10"/>
        <v>0</v>
      </c>
      <c r="J138" s="1051">
        <f t="shared" si="11"/>
        <v>0</v>
      </c>
      <c r="K138" s="1043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897"/>
      <c r="W138" s="897"/>
      <c r="X138" s="897"/>
      <c r="Y138" s="897"/>
      <c r="Z138" s="897"/>
    </row>
    <row r="139" ht="15.75" customHeight="1">
      <c r="A139" s="308"/>
      <c r="B139" s="1026">
        <v>115.0</v>
      </c>
      <c r="C139" s="1048">
        <f t="shared" si="12"/>
        <v>49293</v>
      </c>
      <c r="D139" s="1049">
        <f t="shared" si="6"/>
        <v>12</v>
      </c>
      <c r="E139" s="1050">
        <f t="shared" si="7"/>
        <v>2034</v>
      </c>
      <c r="F139" s="1050">
        <f t="shared" si="13"/>
        <v>0.0000000006401774831</v>
      </c>
      <c r="G139" s="1050">
        <f t="shared" si="8"/>
        <v>0</v>
      </c>
      <c r="H139" s="1050">
        <f t="shared" si="9"/>
        <v>0</v>
      </c>
      <c r="I139" s="1050">
        <f t="shared" si="10"/>
        <v>0</v>
      </c>
      <c r="J139" s="1051">
        <f t="shared" si="11"/>
        <v>0</v>
      </c>
      <c r="K139" s="1043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897"/>
      <c r="W139" s="897"/>
      <c r="X139" s="897"/>
      <c r="Y139" s="897"/>
      <c r="Z139" s="897"/>
    </row>
    <row r="140" ht="15.75" customHeight="1">
      <c r="A140" s="308"/>
      <c r="B140" s="1026">
        <v>116.0</v>
      </c>
      <c r="C140" s="1048">
        <f t="shared" si="12"/>
        <v>49324</v>
      </c>
      <c r="D140" s="1049">
        <f t="shared" si="6"/>
        <v>1</v>
      </c>
      <c r="E140" s="1050">
        <f t="shared" si="7"/>
        <v>2035</v>
      </c>
      <c r="F140" s="1050">
        <f t="shared" si="13"/>
        <v>0.000000000642284734</v>
      </c>
      <c r="G140" s="1050">
        <f t="shared" si="8"/>
        <v>0</v>
      </c>
      <c r="H140" s="1050">
        <f t="shared" si="9"/>
        <v>0</v>
      </c>
      <c r="I140" s="1050">
        <f t="shared" si="10"/>
        <v>0</v>
      </c>
      <c r="J140" s="1051">
        <f t="shared" si="11"/>
        <v>0</v>
      </c>
      <c r="K140" s="1043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897"/>
      <c r="W140" s="897"/>
      <c r="X140" s="897"/>
      <c r="Y140" s="897"/>
      <c r="Z140" s="897"/>
    </row>
    <row r="141" ht="15.75" customHeight="1">
      <c r="A141" s="308"/>
      <c r="B141" s="1026">
        <v>117.0</v>
      </c>
      <c r="C141" s="1048">
        <f t="shared" si="12"/>
        <v>49355</v>
      </c>
      <c r="D141" s="1049">
        <f t="shared" si="6"/>
        <v>2</v>
      </c>
      <c r="E141" s="1050">
        <f t="shared" si="7"/>
        <v>2035</v>
      </c>
      <c r="F141" s="1050">
        <f t="shared" si="13"/>
        <v>0.0000000006443989212</v>
      </c>
      <c r="G141" s="1050">
        <f t="shared" si="8"/>
        <v>0</v>
      </c>
      <c r="H141" s="1050">
        <f t="shared" si="9"/>
        <v>0</v>
      </c>
      <c r="I141" s="1050">
        <f t="shared" si="10"/>
        <v>0</v>
      </c>
      <c r="J141" s="1051">
        <f t="shared" si="11"/>
        <v>0</v>
      </c>
      <c r="K141" s="1043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897"/>
      <c r="W141" s="897"/>
      <c r="X141" s="897"/>
      <c r="Y141" s="897"/>
      <c r="Z141" s="897"/>
    </row>
    <row r="142" ht="15.75" customHeight="1">
      <c r="A142" s="308"/>
      <c r="B142" s="1026">
        <v>118.0</v>
      </c>
      <c r="C142" s="1048">
        <f t="shared" si="12"/>
        <v>49383</v>
      </c>
      <c r="D142" s="1049">
        <f t="shared" si="6"/>
        <v>3</v>
      </c>
      <c r="E142" s="1050">
        <f t="shared" si="7"/>
        <v>2035</v>
      </c>
      <c r="F142" s="1050">
        <f t="shared" si="13"/>
        <v>0.0000000006465200677</v>
      </c>
      <c r="G142" s="1050">
        <f t="shared" si="8"/>
        <v>0</v>
      </c>
      <c r="H142" s="1050">
        <f t="shared" si="9"/>
        <v>0</v>
      </c>
      <c r="I142" s="1050">
        <f t="shared" si="10"/>
        <v>0</v>
      </c>
      <c r="J142" s="1051">
        <f t="shared" si="11"/>
        <v>0</v>
      </c>
      <c r="K142" s="1043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897"/>
      <c r="W142" s="897"/>
      <c r="X142" s="897"/>
      <c r="Y142" s="897"/>
      <c r="Z142" s="897"/>
    </row>
    <row r="143" ht="15.75" customHeight="1">
      <c r="A143" s="308"/>
      <c r="B143" s="1026">
        <v>119.0</v>
      </c>
      <c r="C143" s="1048">
        <f t="shared" si="12"/>
        <v>49414</v>
      </c>
      <c r="D143" s="1049">
        <f t="shared" si="6"/>
        <v>4</v>
      </c>
      <c r="E143" s="1050">
        <f t="shared" si="7"/>
        <v>2035</v>
      </c>
      <c r="F143" s="1050">
        <f t="shared" si="13"/>
        <v>0.0000000006486481962</v>
      </c>
      <c r="G143" s="1050">
        <f t="shared" si="8"/>
        <v>0</v>
      </c>
      <c r="H143" s="1050">
        <f t="shared" si="9"/>
        <v>0</v>
      </c>
      <c r="I143" s="1050">
        <f t="shared" si="10"/>
        <v>0</v>
      </c>
      <c r="J143" s="1051">
        <f t="shared" si="11"/>
        <v>0</v>
      </c>
      <c r="K143" s="1043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897"/>
      <c r="W143" s="897"/>
      <c r="X143" s="897"/>
      <c r="Y143" s="897"/>
      <c r="Z143" s="897"/>
    </row>
    <row r="144" ht="15.75" customHeight="1">
      <c r="A144" s="308"/>
      <c r="B144" s="1026">
        <v>120.0</v>
      </c>
      <c r="C144" s="1048">
        <f t="shared" si="12"/>
        <v>49444</v>
      </c>
      <c r="D144" s="1049">
        <f t="shared" si="6"/>
        <v>5</v>
      </c>
      <c r="E144" s="1050">
        <f t="shared" si="7"/>
        <v>2035</v>
      </c>
      <c r="F144" s="1050">
        <f t="shared" si="13"/>
        <v>0.0000000006507833299</v>
      </c>
      <c r="G144" s="1050">
        <f t="shared" si="8"/>
        <v>0</v>
      </c>
      <c r="H144" s="1050">
        <f t="shared" si="9"/>
        <v>0</v>
      </c>
      <c r="I144" s="1050">
        <f t="shared" si="10"/>
        <v>0</v>
      </c>
      <c r="J144" s="1051">
        <f t="shared" si="11"/>
        <v>0</v>
      </c>
      <c r="K144" s="1043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897"/>
      <c r="W144" s="897"/>
      <c r="X144" s="897"/>
      <c r="Y144" s="897"/>
      <c r="Z144" s="897"/>
    </row>
    <row r="145" ht="15.75" customHeight="1">
      <c r="A145" s="308"/>
      <c r="B145" s="1026">
        <v>121.0</v>
      </c>
      <c r="C145" s="1048">
        <f t="shared" si="12"/>
        <v>49475</v>
      </c>
      <c r="D145" s="1049">
        <f t="shared" si="6"/>
        <v>6</v>
      </c>
      <c r="E145" s="1050">
        <f t="shared" si="7"/>
        <v>2035</v>
      </c>
      <c r="F145" s="1050">
        <f t="shared" si="13"/>
        <v>0.0000000006529254917</v>
      </c>
      <c r="G145" s="1050">
        <f t="shared" si="8"/>
        <v>0</v>
      </c>
      <c r="H145" s="1050">
        <f t="shared" si="9"/>
        <v>0</v>
      </c>
      <c r="I145" s="1050">
        <f t="shared" si="10"/>
        <v>0</v>
      </c>
      <c r="J145" s="1051">
        <f t="shared" si="11"/>
        <v>0</v>
      </c>
      <c r="K145" s="1043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897"/>
      <c r="W145" s="897"/>
      <c r="X145" s="897"/>
      <c r="Y145" s="897"/>
      <c r="Z145" s="897"/>
    </row>
    <row r="146" ht="15.75" customHeight="1">
      <c r="A146" s="308"/>
      <c r="B146" s="1026">
        <v>122.0</v>
      </c>
      <c r="C146" s="1048">
        <f t="shared" si="12"/>
        <v>49505</v>
      </c>
      <c r="D146" s="1049">
        <f t="shared" si="6"/>
        <v>7</v>
      </c>
      <c r="E146" s="1050">
        <f t="shared" si="7"/>
        <v>2035</v>
      </c>
      <c r="F146" s="1050">
        <f t="shared" si="13"/>
        <v>0.0000000006550747048</v>
      </c>
      <c r="G146" s="1050">
        <f t="shared" si="8"/>
        <v>0</v>
      </c>
      <c r="H146" s="1050">
        <f t="shared" si="9"/>
        <v>0</v>
      </c>
      <c r="I146" s="1050">
        <f t="shared" si="10"/>
        <v>0</v>
      </c>
      <c r="J146" s="1051">
        <f t="shared" si="11"/>
        <v>0</v>
      </c>
      <c r="K146" s="1043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897"/>
      <c r="W146" s="897"/>
      <c r="X146" s="897"/>
      <c r="Y146" s="897"/>
      <c r="Z146" s="897"/>
    </row>
    <row r="147" ht="15.75" customHeight="1">
      <c r="A147" s="308"/>
      <c r="B147" s="1026">
        <v>123.0</v>
      </c>
      <c r="C147" s="1048">
        <f t="shared" si="12"/>
        <v>49536</v>
      </c>
      <c r="D147" s="1049">
        <f t="shared" si="6"/>
        <v>8</v>
      </c>
      <c r="E147" s="1050">
        <f t="shared" si="7"/>
        <v>2035</v>
      </c>
      <c r="F147" s="1050">
        <f t="shared" si="13"/>
        <v>0.0000000006572309923</v>
      </c>
      <c r="G147" s="1050">
        <f t="shared" si="8"/>
        <v>0</v>
      </c>
      <c r="H147" s="1050">
        <f t="shared" si="9"/>
        <v>0</v>
      </c>
      <c r="I147" s="1050">
        <f t="shared" si="10"/>
        <v>0</v>
      </c>
      <c r="J147" s="1051">
        <f t="shared" si="11"/>
        <v>0</v>
      </c>
      <c r="K147" s="1043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897"/>
      <c r="W147" s="897"/>
      <c r="X147" s="897"/>
      <c r="Y147" s="897"/>
      <c r="Z147" s="897"/>
    </row>
    <row r="148" ht="15.75" customHeight="1">
      <c r="A148" s="308"/>
      <c r="B148" s="1026">
        <v>124.0</v>
      </c>
      <c r="C148" s="1048">
        <f t="shared" si="12"/>
        <v>49567</v>
      </c>
      <c r="D148" s="1049">
        <f t="shared" si="6"/>
        <v>9</v>
      </c>
      <c r="E148" s="1050">
        <f t="shared" si="7"/>
        <v>2035</v>
      </c>
      <c r="F148" s="1050">
        <f t="shared" si="13"/>
        <v>0.0000000006593943777</v>
      </c>
      <c r="G148" s="1050">
        <f t="shared" si="8"/>
        <v>0</v>
      </c>
      <c r="H148" s="1050">
        <f t="shared" si="9"/>
        <v>0</v>
      </c>
      <c r="I148" s="1050">
        <f t="shared" si="10"/>
        <v>0</v>
      </c>
      <c r="J148" s="1051">
        <f t="shared" si="11"/>
        <v>0</v>
      </c>
      <c r="K148" s="1043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897"/>
      <c r="W148" s="897"/>
      <c r="X148" s="897"/>
      <c r="Y148" s="897"/>
      <c r="Z148" s="897"/>
    </row>
    <row r="149" ht="15.75" customHeight="1">
      <c r="A149" s="308"/>
      <c r="B149" s="1026">
        <v>125.0</v>
      </c>
      <c r="C149" s="1048">
        <f t="shared" si="12"/>
        <v>49597</v>
      </c>
      <c r="D149" s="1049">
        <f t="shared" si="6"/>
        <v>10</v>
      </c>
      <c r="E149" s="1050">
        <f t="shared" si="7"/>
        <v>2035</v>
      </c>
      <c r="F149" s="1050">
        <f t="shared" si="13"/>
        <v>0.0000000006615648842</v>
      </c>
      <c r="G149" s="1050">
        <f t="shared" si="8"/>
        <v>0</v>
      </c>
      <c r="H149" s="1050">
        <f t="shared" si="9"/>
        <v>0</v>
      </c>
      <c r="I149" s="1050">
        <f t="shared" si="10"/>
        <v>0</v>
      </c>
      <c r="J149" s="1051">
        <f t="shared" si="11"/>
        <v>0</v>
      </c>
      <c r="K149" s="1043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897"/>
      <c r="W149" s="897"/>
      <c r="X149" s="897"/>
      <c r="Y149" s="897"/>
      <c r="Z149" s="897"/>
    </row>
    <row r="150" ht="15.75" customHeight="1">
      <c r="A150" s="308"/>
      <c r="B150" s="1026">
        <v>126.0</v>
      </c>
      <c r="C150" s="1048">
        <f t="shared" si="12"/>
        <v>49628</v>
      </c>
      <c r="D150" s="1049">
        <f t="shared" si="6"/>
        <v>11</v>
      </c>
      <c r="E150" s="1050">
        <f t="shared" si="7"/>
        <v>2035</v>
      </c>
      <c r="F150" s="1050">
        <f t="shared" si="13"/>
        <v>0.0000000006637425353</v>
      </c>
      <c r="G150" s="1050">
        <f t="shared" si="8"/>
        <v>0</v>
      </c>
      <c r="H150" s="1050">
        <f t="shared" si="9"/>
        <v>0</v>
      </c>
      <c r="I150" s="1050">
        <f t="shared" si="10"/>
        <v>0</v>
      </c>
      <c r="J150" s="1051">
        <f t="shared" si="11"/>
        <v>0</v>
      </c>
      <c r="K150" s="1043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897"/>
      <c r="W150" s="897"/>
      <c r="X150" s="897"/>
      <c r="Y150" s="897"/>
      <c r="Z150" s="897"/>
    </row>
    <row r="151" ht="15.75" customHeight="1">
      <c r="A151" s="308"/>
      <c r="B151" s="1026">
        <v>127.0</v>
      </c>
      <c r="C151" s="1048">
        <f t="shared" si="12"/>
        <v>49658</v>
      </c>
      <c r="D151" s="1049">
        <f t="shared" si="6"/>
        <v>12</v>
      </c>
      <c r="E151" s="1050">
        <f t="shared" si="7"/>
        <v>2035</v>
      </c>
      <c r="F151" s="1050">
        <f t="shared" si="13"/>
        <v>0.0000000006659273544</v>
      </c>
      <c r="G151" s="1050">
        <f t="shared" si="8"/>
        <v>0</v>
      </c>
      <c r="H151" s="1050">
        <f t="shared" si="9"/>
        <v>0</v>
      </c>
      <c r="I151" s="1050">
        <f t="shared" si="10"/>
        <v>0</v>
      </c>
      <c r="J151" s="1051">
        <f t="shared" si="11"/>
        <v>0</v>
      </c>
      <c r="K151" s="1043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897"/>
      <c r="W151" s="897"/>
      <c r="X151" s="897"/>
      <c r="Y151" s="897"/>
      <c r="Z151" s="897"/>
    </row>
    <row r="152" ht="15.75" customHeight="1">
      <c r="A152" s="308"/>
      <c r="B152" s="1026">
        <v>128.0</v>
      </c>
      <c r="C152" s="1048">
        <f t="shared" si="12"/>
        <v>49689</v>
      </c>
      <c r="D152" s="1049">
        <f t="shared" si="6"/>
        <v>1</v>
      </c>
      <c r="E152" s="1050">
        <f t="shared" si="7"/>
        <v>2036</v>
      </c>
      <c r="F152" s="1050">
        <f t="shared" si="13"/>
        <v>0.0000000006681193653</v>
      </c>
      <c r="G152" s="1050">
        <f t="shared" si="8"/>
        <v>0</v>
      </c>
      <c r="H152" s="1050">
        <f t="shared" si="9"/>
        <v>0</v>
      </c>
      <c r="I152" s="1050">
        <f t="shared" si="10"/>
        <v>0</v>
      </c>
      <c r="J152" s="1051">
        <f t="shared" si="11"/>
        <v>0</v>
      </c>
      <c r="K152" s="1043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897"/>
      <c r="W152" s="897"/>
      <c r="X152" s="897"/>
      <c r="Y152" s="897"/>
      <c r="Z152" s="897"/>
    </row>
    <row r="153" ht="15.75" customHeight="1">
      <c r="A153" s="308"/>
      <c r="B153" s="1026">
        <v>129.0</v>
      </c>
      <c r="C153" s="1048">
        <f t="shared" si="12"/>
        <v>49720</v>
      </c>
      <c r="D153" s="1049">
        <f t="shared" si="6"/>
        <v>2</v>
      </c>
      <c r="E153" s="1050">
        <f t="shared" si="7"/>
        <v>2036</v>
      </c>
      <c r="F153" s="1050">
        <f t="shared" si="13"/>
        <v>0.0000000006703185916</v>
      </c>
      <c r="G153" s="1050">
        <f t="shared" si="8"/>
        <v>0</v>
      </c>
      <c r="H153" s="1050">
        <f t="shared" si="9"/>
        <v>0</v>
      </c>
      <c r="I153" s="1050">
        <f t="shared" si="10"/>
        <v>0</v>
      </c>
      <c r="J153" s="1051">
        <f t="shared" si="11"/>
        <v>0</v>
      </c>
      <c r="K153" s="1043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897"/>
      <c r="W153" s="897"/>
      <c r="X153" s="897"/>
      <c r="Y153" s="897"/>
      <c r="Z153" s="897"/>
    </row>
    <row r="154" ht="15.75" customHeight="1">
      <c r="A154" s="308"/>
      <c r="B154" s="1026">
        <v>130.0</v>
      </c>
      <c r="C154" s="1048">
        <f t="shared" si="12"/>
        <v>49749</v>
      </c>
      <c r="D154" s="1049">
        <f t="shared" si="6"/>
        <v>3</v>
      </c>
      <c r="E154" s="1050">
        <f t="shared" si="7"/>
        <v>2036</v>
      </c>
      <c r="F154" s="1050">
        <f t="shared" si="13"/>
        <v>0.0000000006725250569</v>
      </c>
      <c r="G154" s="1050">
        <f t="shared" si="8"/>
        <v>0</v>
      </c>
      <c r="H154" s="1050">
        <f t="shared" si="9"/>
        <v>0</v>
      </c>
      <c r="I154" s="1050">
        <f t="shared" si="10"/>
        <v>0</v>
      </c>
      <c r="J154" s="1051">
        <f t="shared" si="11"/>
        <v>0</v>
      </c>
      <c r="K154" s="1043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897"/>
      <c r="W154" s="897"/>
      <c r="X154" s="897"/>
      <c r="Y154" s="897"/>
      <c r="Z154" s="897"/>
    </row>
    <row r="155" ht="15.75" customHeight="1">
      <c r="A155" s="308"/>
      <c r="B155" s="1026">
        <v>131.0</v>
      </c>
      <c r="C155" s="1048">
        <f t="shared" si="12"/>
        <v>49780</v>
      </c>
      <c r="D155" s="1049">
        <f t="shared" si="6"/>
        <v>4</v>
      </c>
      <c r="E155" s="1050">
        <f t="shared" si="7"/>
        <v>2036</v>
      </c>
      <c r="F155" s="1050">
        <f t="shared" si="13"/>
        <v>0.0000000006747387852</v>
      </c>
      <c r="G155" s="1050">
        <f t="shared" si="8"/>
        <v>0</v>
      </c>
      <c r="H155" s="1050">
        <f t="shared" si="9"/>
        <v>0</v>
      </c>
      <c r="I155" s="1050">
        <f t="shared" si="10"/>
        <v>0</v>
      </c>
      <c r="J155" s="1051">
        <f t="shared" si="11"/>
        <v>0</v>
      </c>
      <c r="K155" s="1043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897"/>
      <c r="W155" s="897"/>
      <c r="X155" s="897"/>
      <c r="Y155" s="897"/>
      <c r="Z155" s="897"/>
    </row>
    <row r="156" ht="15.75" customHeight="1">
      <c r="A156" s="308"/>
      <c r="B156" s="1026">
        <v>132.0</v>
      </c>
      <c r="C156" s="1048">
        <f t="shared" si="12"/>
        <v>49810</v>
      </c>
      <c r="D156" s="1049">
        <f t="shared" si="6"/>
        <v>5</v>
      </c>
      <c r="E156" s="1050">
        <f t="shared" si="7"/>
        <v>2036</v>
      </c>
      <c r="F156" s="1050">
        <f t="shared" si="13"/>
        <v>0.0000000006769598004</v>
      </c>
      <c r="G156" s="1050">
        <f t="shared" si="8"/>
        <v>0</v>
      </c>
      <c r="H156" s="1050">
        <f t="shared" si="9"/>
        <v>0</v>
      </c>
      <c r="I156" s="1050">
        <f t="shared" si="10"/>
        <v>0</v>
      </c>
      <c r="J156" s="1051">
        <f t="shared" si="11"/>
        <v>0</v>
      </c>
      <c r="K156" s="1043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897"/>
      <c r="W156" s="897"/>
      <c r="X156" s="897"/>
      <c r="Y156" s="897"/>
      <c r="Z156" s="897"/>
    </row>
    <row r="157" ht="15.75" customHeight="1">
      <c r="A157" s="308"/>
      <c r="B157" s="1026">
        <v>133.0</v>
      </c>
      <c r="C157" s="1048">
        <f t="shared" si="12"/>
        <v>49841</v>
      </c>
      <c r="D157" s="1049">
        <f t="shared" si="6"/>
        <v>6</v>
      </c>
      <c r="E157" s="1050">
        <f t="shared" si="7"/>
        <v>2036</v>
      </c>
      <c r="F157" s="1050">
        <f t="shared" si="13"/>
        <v>0.0000000006791881264</v>
      </c>
      <c r="G157" s="1050">
        <f t="shared" si="8"/>
        <v>0</v>
      </c>
      <c r="H157" s="1050">
        <f t="shared" si="9"/>
        <v>0</v>
      </c>
      <c r="I157" s="1050">
        <f t="shared" si="10"/>
        <v>0</v>
      </c>
      <c r="J157" s="1051">
        <f t="shared" si="11"/>
        <v>0</v>
      </c>
      <c r="K157" s="1043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897"/>
      <c r="W157" s="897"/>
      <c r="X157" s="897"/>
      <c r="Y157" s="897"/>
      <c r="Z157" s="897"/>
    </row>
    <row r="158" ht="15.75" customHeight="1">
      <c r="A158" s="308"/>
      <c r="B158" s="1026">
        <v>134.0</v>
      </c>
      <c r="C158" s="1048">
        <f t="shared" si="12"/>
        <v>49871</v>
      </c>
      <c r="D158" s="1049">
        <f t="shared" si="6"/>
        <v>7</v>
      </c>
      <c r="E158" s="1050">
        <f t="shared" si="7"/>
        <v>2036</v>
      </c>
      <c r="F158" s="1050">
        <f t="shared" si="13"/>
        <v>0.0000000006814237873</v>
      </c>
      <c r="G158" s="1050">
        <f t="shared" si="8"/>
        <v>0</v>
      </c>
      <c r="H158" s="1050">
        <f t="shared" si="9"/>
        <v>0</v>
      </c>
      <c r="I158" s="1050">
        <f t="shared" si="10"/>
        <v>0</v>
      </c>
      <c r="J158" s="1051">
        <f t="shared" si="11"/>
        <v>0</v>
      </c>
      <c r="K158" s="1043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897"/>
      <c r="W158" s="897"/>
      <c r="X158" s="897"/>
      <c r="Y158" s="897"/>
      <c r="Z158" s="897"/>
    </row>
    <row r="159" ht="15.75" customHeight="1">
      <c r="A159" s="308"/>
      <c r="B159" s="1026">
        <v>135.0</v>
      </c>
      <c r="C159" s="1048">
        <f t="shared" si="12"/>
        <v>49902</v>
      </c>
      <c r="D159" s="1049">
        <f t="shared" si="6"/>
        <v>8</v>
      </c>
      <c r="E159" s="1050">
        <f t="shared" si="7"/>
        <v>2036</v>
      </c>
      <c r="F159" s="1050">
        <f t="shared" si="13"/>
        <v>0.0000000006836668073</v>
      </c>
      <c r="G159" s="1050">
        <f t="shared" si="8"/>
        <v>0</v>
      </c>
      <c r="H159" s="1050">
        <f t="shared" si="9"/>
        <v>0</v>
      </c>
      <c r="I159" s="1050">
        <f t="shared" si="10"/>
        <v>0</v>
      </c>
      <c r="J159" s="1051">
        <f t="shared" si="11"/>
        <v>0</v>
      </c>
      <c r="K159" s="1043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897"/>
      <c r="W159" s="897"/>
      <c r="X159" s="897"/>
      <c r="Y159" s="897"/>
      <c r="Z159" s="897"/>
    </row>
    <row r="160" ht="15.75" customHeight="1">
      <c r="A160" s="308"/>
      <c r="B160" s="1026">
        <v>136.0</v>
      </c>
      <c r="C160" s="1048">
        <f t="shared" si="12"/>
        <v>49933</v>
      </c>
      <c r="D160" s="1049">
        <f t="shared" si="6"/>
        <v>9</v>
      </c>
      <c r="E160" s="1050">
        <f t="shared" si="7"/>
        <v>2036</v>
      </c>
      <c r="F160" s="1050">
        <f t="shared" si="13"/>
        <v>0.0000000006859172105</v>
      </c>
      <c r="G160" s="1050">
        <f t="shared" si="8"/>
        <v>0</v>
      </c>
      <c r="H160" s="1050">
        <f t="shared" si="9"/>
        <v>0</v>
      </c>
      <c r="I160" s="1050">
        <f t="shared" si="10"/>
        <v>0</v>
      </c>
      <c r="J160" s="1051">
        <f t="shared" si="11"/>
        <v>0</v>
      </c>
      <c r="K160" s="1043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897"/>
      <c r="W160" s="897"/>
      <c r="X160" s="897"/>
      <c r="Y160" s="897"/>
      <c r="Z160" s="897"/>
    </row>
    <row r="161" ht="15.75" customHeight="1">
      <c r="A161" s="308"/>
      <c r="B161" s="1026">
        <v>137.0</v>
      </c>
      <c r="C161" s="1048">
        <f t="shared" si="12"/>
        <v>49963</v>
      </c>
      <c r="D161" s="1049">
        <f t="shared" si="6"/>
        <v>10</v>
      </c>
      <c r="E161" s="1050">
        <f t="shared" si="7"/>
        <v>2036</v>
      </c>
      <c r="F161" s="1050">
        <f t="shared" si="13"/>
        <v>0.0000000006881750213</v>
      </c>
      <c r="G161" s="1050">
        <f t="shared" si="8"/>
        <v>0</v>
      </c>
      <c r="H161" s="1050">
        <f t="shared" si="9"/>
        <v>0</v>
      </c>
      <c r="I161" s="1050">
        <f t="shared" si="10"/>
        <v>0</v>
      </c>
      <c r="J161" s="1051">
        <f t="shared" si="11"/>
        <v>0</v>
      </c>
      <c r="K161" s="1043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897"/>
      <c r="W161" s="897"/>
      <c r="X161" s="897"/>
      <c r="Y161" s="897"/>
      <c r="Z161" s="897"/>
    </row>
    <row r="162" ht="15.75" customHeight="1">
      <c r="A162" s="308"/>
      <c r="B162" s="1026">
        <v>138.0</v>
      </c>
      <c r="C162" s="1048">
        <f t="shared" si="12"/>
        <v>49994</v>
      </c>
      <c r="D162" s="1049">
        <f t="shared" si="6"/>
        <v>11</v>
      </c>
      <c r="E162" s="1050">
        <f t="shared" si="7"/>
        <v>2036</v>
      </c>
      <c r="F162" s="1050">
        <f t="shared" si="13"/>
        <v>0.0000000006904402641</v>
      </c>
      <c r="G162" s="1050">
        <f t="shared" si="8"/>
        <v>0</v>
      </c>
      <c r="H162" s="1050">
        <f t="shared" si="9"/>
        <v>0</v>
      </c>
      <c r="I162" s="1050">
        <f t="shared" si="10"/>
        <v>0</v>
      </c>
      <c r="J162" s="1051">
        <f t="shared" si="11"/>
        <v>0</v>
      </c>
      <c r="K162" s="1043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897"/>
      <c r="W162" s="897"/>
      <c r="X162" s="897"/>
      <c r="Y162" s="897"/>
      <c r="Z162" s="897"/>
    </row>
    <row r="163" ht="15.75" customHeight="1">
      <c r="A163" s="308"/>
      <c r="B163" s="1026">
        <v>139.0</v>
      </c>
      <c r="C163" s="1048">
        <f t="shared" si="12"/>
        <v>50024</v>
      </c>
      <c r="D163" s="1049">
        <f t="shared" si="6"/>
        <v>12</v>
      </c>
      <c r="E163" s="1050">
        <f t="shared" si="7"/>
        <v>2036</v>
      </c>
      <c r="F163" s="1050">
        <f t="shared" si="13"/>
        <v>0.0000000006927129633</v>
      </c>
      <c r="G163" s="1050">
        <f t="shared" si="8"/>
        <v>0</v>
      </c>
      <c r="H163" s="1050">
        <f t="shared" si="9"/>
        <v>0</v>
      </c>
      <c r="I163" s="1050">
        <f t="shared" si="10"/>
        <v>0</v>
      </c>
      <c r="J163" s="1051">
        <f t="shared" si="11"/>
        <v>0</v>
      </c>
      <c r="K163" s="1043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897"/>
      <c r="W163" s="897"/>
      <c r="X163" s="897"/>
      <c r="Y163" s="897"/>
      <c r="Z163" s="897"/>
    </row>
    <row r="164" ht="15.75" customHeight="1">
      <c r="A164" s="308"/>
      <c r="B164" s="1026">
        <v>140.0</v>
      </c>
      <c r="C164" s="1048">
        <f t="shared" si="12"/>
        <v>50055</v>
      </c>
      <c r="D164" s="1049">
        <f t="shared" si="6"/>
        <v>1</v>
      </c>
      <c r="E164" s="1050">
        <f t="shared" si="7"/>
        <v>2037</v>
      </c>
      <c r="F164" s="1050">
        <f t="shared" si="13"/>
        <v>0.0000000006949931435</v>
      </c>
      <c r="G164" s="1050">
        <f t="shared" si="8"/>
        <v>0</v>
      </c>
      <c r="H164" s="1050">
        <f t="shared" si="9"/>
        <v>0</v>
      </c>
      <c r="I164" s="1050">
        <f t="shared" si="10"/>
        <v>0</v>
      </c>
      <c r="J164" s="1051">
        <f t="shared" si="11"/>
        <v>0</v>
      </c>
      <c r="K164" s="1043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897"/>
      <c r="W164" s="897"/>
      <c r="X164" s="897"/>
      <c r="Y164" s="897"/>
      <c r="Z164" s="897"/>
    </row>
    <row r="165" ht="15.75" customHeight="1">
      <c r="A165" s="308"/>
      <c r="B165" s="1026">
        <v>141.0</v>
      </c>
      <c r="C165" s="1048">
        <f t="shared" si="12"/>
        <v>50086</v>
      </c>
      <c r="D165" s="1049">
        <f t="shared" si="6"/>
        <v>2</v>
      </c>
      <c r="E165" s="1050">
        <f t="shared" si="7"/>
        <v>2037</v>
      </c>
      <c r="F165" s="1050">
        <f t="shared" si="13"/>
        <v>0.0000000006972808293</v>
      </c>
      <c r="G165" s="1050">
        <f t="shared" si="8"/>
        <v>0</v>
      </c>
      <c r="H165" s="1050">
        <f t="shared" si="9"/>
        <v>0</v>
      </c>
      <c r="I165" s="1050">
        <f t="shared" si="10"/>
        <v>0</v>
      </c>
      <c r="J165" s="1051">
        <f t="shared" si="11"/>
        <v>0</v>
      </c>
      <c r="K165" s="1043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897"/>
      <c r="W165" s="897"/>
      <c r="X165" s="897"/>
      <c r="Y165" s="897"/>
      <c r="Z165" s="897"/>
    </row>
    <row r="166" ht="15.75" customHeight="1">
      <c r="A166" s="308"/>
      <c r="B166" s="1026">
        <v>142.0</v>
      </c>
      <c r="C166" s="1048">
        <f t="shared" si="12"/>
        <v>50114</v>
      </c>
      <c r="D166" s="1049">
        <f t="shared" si="6"/>
        <v>3</v>
      </c>
      <c r="E166" s="1050">
        <f t="shared" si="7"/>
        <v>2037</v>
      </c>
      <c r="F166" s="1050">
        <f t="shared" si="13"/>
        <v>0.0000000006995760453</v>
      </c>
      <c r="G166" s="1050">
        <f t="shared" si="8"/>
        <v>0</v>
      </c>
      <c r="H166" s="1050">
        <f t="shared" si="9"/>
        <v>0</v>
      </c>
      <c r="I166" s="1050">
        <f t="shared" si="10"/>
        <v>0</v>
      </c>
      <c r="J166" s="1051">
        <f t="shared" si="11"/>
        <v>0</v>
      </c>
      <c r="K166" s="1043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897"/>
      <c r="W166" s="897"/>
      <c r="X166" s="897"/>
      <c r="Y166" s="897"/>
      <c r="Z166" s="897"/>
    </row>
    <row r="167" ht="15.75" customHeight="1">
      <c r="A167" s="308"/>
      <c r="B167" s="1026">
        <v>143.0</v>
      </c>
      <c r="C167" s="1048">
        <f t="shared" si="12"/>
        <v>50145</v>
      </c>
      <c r="D167" s="1049">
        <f t="shared" si="6"/>
        <v>4</v>
      </c>
      <c r="E167" s="1050">
        <f t="shared" si="7"/>
        <v>2037</v>
      </c>
      <c r="F167" s="1050">
        <f t="shared" si="13"/>
        <v>0.0000000007018788165</v>
      </c>
      <c r="G167" s="1050">
        <f t="shared" si="8"/>
        <v>0</v>
      </c>
      <c r="H167" s="1050">
        <f t="shared" si="9"/>
        <v>0</v>
      </c>
      <c r="I167" s="1050">
        <f t="shared" si="10"/>
        <v>0</v>
      </c>
      <c r="J167" s="1051">
        <f t="shared" si="11"/>
        <v>0</v>
      </c>
      <c r="K167" s="1043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897"/>
      <c r="W167" s="897"/>
      <c r="X167" s="897"/>
      <c r="Y167" s="897"/>
      <c r="Z167" s="897"/>
    </row>
    <row r="168" ht="15.75" customHeight="1">
      <c r="A168" s="308"/>
      <c r="B168" s="1026">
        <v>144.0</v>
      </c>
      <c r="C168" s="1048">
        <f t="shared" si="12"/>
        <v>50175</v>
      </c>
      <c r="D168" s="1049">
        <f t="shared" si="6"/>
        <v>5</v>
      </c>
      <c r="E168" s="1050">
        <f t="shared" si="7"/>
        <v>2037</v>
      </c>
      <c r="F168" s="1050">
        <f t="shared" si="13"/>
        <v>0.0000000007041891676</v>
      </c>
      <c r="G168" s="1050">
        <f t="shared" si="8"/>
        <v>0</v>
      </c>
      <c r="H168" s="1050">
        <f t="shared" si="9"/>
        <v>0</v>
      </c>
      <c r="I168" s="1050">
        <f t="shared" si="10"/>
        <v>0</v>
      </c>
      <c r="J168" s="1051">
        <f t="shared" si="11"/>
        <v>0</v>
      </c>
      <c r="K168" s="1043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897"/>
      <c r="W168" s="897"/>
      <c r="X168" s="897"/>
      <c r="Y168" s="897"/>
      <c r="Z168" s="897"/>
    </row>
    <row r="169" ht="15.75" customHeight="1">
      <c r="A169" s="308"/>
      <c r="B169" s="1026">
        <v>145.0</v>
      </c>
      <c r="C169" s="1048">
        <f t="shared" si="12"/>
        <v>50206</v>
      </c>
      <c r="D169" s="1049">
        <f t="shared" si="6"/>
        <v>6</v>
      </c>
      <c r="E169" s="1050">
        <f t="shared" si="7"/>
        <v>2037</v>
      </c>
      <c r="F169" s="1050">
        <f t="shared" si="13"/>
        <v>0.0000000007065071236</v>
      </c>
      <c r="G169" s="1050">
        <f t="shared" si="8"/>
        <v>0</v>
      </c>
      <c r="H169" s="1050">
        <f t="shared" si="9"/>
        <v>0</v>
      </c>
      <c r="I169" s="1050">
        <f t="shared" si="10"/>
        <v>0</v>
      </c>
      <c r="J169" s="1051">
        <f t="shared" si="11"/>
        <v>0</v>
      </c>
      <c r="K169" s="1043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897"/>
      <c r="W169" s="897"/>
      <c r="X169" s="897"/>
      <c r="Y169" s="897"/>
      <c r="Z169" s="897"/>
    </row>
    <row r="170" ht="15.75" customHeight="1">
      <c r="A170" s="308"/>
      <c r="B170" s="1026">
        <v>146.0</v>
      </c>
      <c r="C170" s="1048">
        <f t="shared" si="12"/>
        <v>50236</v>
      </c>
      <c r="D170" s="1049">
        <f t="shared" si="6"/>
        <v>7</v>
      </c>
      <c r="E170" s="1050">
        <f t="shared" si="7"/>
        <v>2037</v>
      </c>
      <c r="F170" s="1050">
        <f t="shared" si="13"/>
        <v>0.0000000007088327095</v>
      </c>
      <c r="G170" s="1050">
        <f t="shared" si="8"/>
        <v>0</v>
      </c>
      <c r="H170" s="1050">
        <f t="shared" si="9"/>
        <v>0</v>
      </c>
      <c r="I170" s="1050">
        <f t="shared" si="10"/>
        <v>0</v>
      </c>
      <c r="J170" s="1051">
        <f t="shared" si="11"/>
        <v>0</v>
      </c>
      <c r="K170" s="1043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897"/>
      <c r="W170" s="897"/>
      <c r="X170" s="897"/>
      <c r="Y170" s="897"/>
      <c r="Z170" s="897"/>
    </row>
    <row r="171" ht="15.75" customHeight="1">
      <c r="A171" s="308"/>
      <c r="B171" s="1026">
        <v>147.0</v>
      </c>
      <c r="C171" s="1048">
        <f t="shared" si="12"/>
        <v>50267</v>
      </c>
      <c r="D171" s="1049">
        <f t="shared" si="6"/>
        <v>8</v>
      </c>
      <c r="E171" s="1050">
        <f t="shared" si="7"/>
        <v>2037</v>
      </c>
      <c r="F171" s="1050">
        <f t="shared" si="13"/>
        <v>0.0000000007111659505</v>
      </c>
      <c r="G171" s="1050">
        <f t="shared" si="8"/>
        <v>0</v>
      </c>
      <c r="H171" s="1050">
        <f t="shared" si="9"/>
        <v>0</v>
      </c>
      <c r="I171" s="1050">
        <f t="shared" si="10"/>
        <v>0</v>
      </c>
      <c r="J171" s="1051">
        <f t="shared" si="11"/>
        <v>0</v>
      </c>
      <c r="K171" s="1043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897"/>
      <c r="W171" s="897"/>
      <c r="X171" s="897"/>
      <c r="Y171" s="897"/>
      <c r="Z171" s="897"/>
    </row>
    <row r="172" ht="15.75" customHeight="1">
      <c r="A172" s="308"/>
      <c r="B172" s="1026">
        <v>148.0</v>
      </c>
      <c r="C172" s="1048">
        <f t="shared" si="12"/>
        <v>50298</v>
      </c>
      <c r="D172" s="1049">
        <f t="shared" si="6"/>
        <v>9</v>
      </c>
      <c r="E172" s="1050">
        <f t="shared" si="7"/>
        <v>2037</v>
      </c>
      <c r="F172" s="1050">
        <f t="shared" si="13"/>
        <v>0.0000000007135068718</v>
      </c>
      <c r="G172" s="1050">
        <f t="shared" si="8"/>
        <v>0</v>
      </c>
      <c r="H172" s="1050">
        <f t="shared" si="9"/>
        <v>0</v>
      </c>
      <c r="I172" s="1050">
        <f t="shared" si="10"/>
        <v>0</v>
      </c>
      <c r="J172" s="1051">
        <f t="shared" si="11"/>
        <v>0</v>
      </c>
      <c r="K172" s="1043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897"/>
      <c r="W172" s="897"/>
      <c r="X172" s="897"/>
      <c r="Y172" s="897"/>
      <c r="Z172" s="897"/>
    </row>
    <row r="173" ht="15.75" customHeight="1">
      <c r="A173" s="308"/>
      <c r="B173" s="1026">
        <v>149.0</v>
      </c>
      <c r="C173" s="1048">
        <f t="shared" si="12"/>
        <v>50328</v>
      </c>
      <c r="D173" s="1049">
        <f t="shared" si="6"/>
        <v>10</v>
      </c>
      <c r="E173" s="1050">
        <f t="shared" si="7"/>
        <v>2037</v>
      </c>
      <c r="F173" s="1050">
        <f t="shared" si="13"/>
        <v>0.0000000007158554986</v>
      </c>
      <c r="G173" s="1050">
        <f t="shared" si="8"/>
        <v>0</v>
      </c>
      <c r="H173" s="1050">
        <f t="shared" si="9"/>
        <v>0</v>
      </c>
      <c r="I173" s="1050">
        <f t="shared" si="10"/>
        <v>0</v>
      </c>
      <c r="J173" s="1051">
        <f t="shared" si="11"/>
        <v>0</v>
      </c>
      <c r="K173" s="1043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897"/>
      <c r="W173" s="897"/>
      <c r="X173" s="897"/>
      <c r="Y173" s="897"/>
      <c r="Z173" s="897"/>
    </row>
    <row r="174" ht="15.75" customHeight="1">
      <c r="A174" s="308"/>
      <c r="B174" s="1026">
        <v>150.0</v>
      </c>
      <c r="C174" s="1048">
        <f t="shared" si="12"/>
        <v>50359</v>
      </c>
      <c r="D174" s="1049">
        <f t="shared" si="6"/>
        <v>11</v>
      </c>
      <c r="E174" s="1050">
        <f t="shared" si="7"/>
        <v>2037</v>
      </c>
      <c r="F174" s="1050">
        <f t="shared" si="13"/>
        <v>0.0000000007182118563</v>
      </c>
      <c r="G174" s="1050">
        <f t="shared" si="8"/>
        <v>0</v>
      </c>
      <c r="H174" s="1050">
        <f t="shared" si="9"/>
        <v>0</v>
      </c>
      <c r="I174" s="1050">
        <f t="shared" si="10"/>
        <v>0</v>
      </c>
      <c r="J174" s="1051">
        <f t="shared" si="11"/>
        <v>0</v>
      </c>
      <c r="K174" s="1043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897"/>
      <c r="W174" s="897"/>
      <c r="X174" s="897"/>
      <c r="Y174" s="897"/>
      <c r="Z174" s="897"/>
    </row>
    <row r="175" ht="15.75" customHeight="1">
      <c r="A175" s="308"/>
      <c r="B175" s="1026">
        <v>151.0</v>
      </c>
      <c r="C175" s="1048">
        <f t="shared" si="12"/>
        <v>50389</v>
      </c>
      <c r="D175" s="1049">
        <f t="shared" si="6"/>
        <v>12</v>
      </c>
      <c r="E175" s="1050">
        <f t="shared" si="7"/>
        <v>2037</v>
      </c>
      <c r="F175" s="1050">
        <f t="shared" si="13"/>
        <v>0.0000000007205759703</v>
      </c>
      <c r="G175" s="1050">
        <f t="shared" si="8"/>
        <v>0</v>
      </c>
      <c r="H175" s="1050">
        <f t="shared" si="9"/>
        <v>0</v>
      </c>
      <c r="I175" s="1050">
        <f t="shared" si="10"/>
        <v>0</v>
      </c>
      <c r="J175" s="1051">
        <f t="shared" si="11"/>
        <v>0</v>
      </c>
      <c r="K175" s="1043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897"/>
      <c r="W175" s="897"/>
      <c r="X175" s="897"/>
      <c r="Y175" s="897"/>
      <c r="Z175" s="897"/>
    </row>
    <row r="176" ht="15.75" customHeight="1">
      <c r="A176" s="308"/>
      <c r="B176" s="1026">
        <v>152.0</v>
      </c>
      <c r="C176" s="1048">
        <f t="shared" si="12"/>
        <v>50420</v>
      </c>
      <c r="D176" s="1049">
        <f t="shared" si="6"/>
        <v>1</v>
      </c>
      <c r="E176" s="1050">
        <f t="shared" si="7"/>
        <v>2038</v>
      </c>
      <c r="F176" s="1050">
        <f t="shared" si="13"/>
        <v>0.0000000007229478662</v>
      </c>
      <c r="G176" s="1050">
        <f t="shared" si="8"/>
        <v>0</v>
      </c>
      <c r="H176" s="1050">
        <f t="shared" si="9"/>
        <v>0</v>
      </c>
      <c r="I176" s="1050">
        <f t="shared" si="10"/>
        <v>0</v>
      </c>
      <c r="J176" s="1051">
        <f t="shared" si="11"/>
        <v>0</v>
      </c>
      <c r="K176" s="1043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897"/>
      <c r="W176" s="897"/>
      <c r="X176" s="897"/>
      <c r="Y176" s="897"/>
      <c r="Z176" s="897"/>
    </row>
    <row r="177" ht="15.75" customHeight="1">
      <c r="A177" s="308"/>
      <c r="B177" s="1026">
        <v>153.0</v>
      </c>
      <c r="C177" s="1048">
        <f t="shared" si="12"/>
        <v>50451</v>
      </c>
      <c r="D177" s="1049">
        <f t="shared" si="6"/>
        <v>2</v>
      </c>
      <c r="E177" s="1050">
        <f t="shared" si="7"/>
        <v>2038</v>
      </c>
      <c r="F177" s="1050">
        <f t="shared" si="13"/>
        <v>0.0000000007253275696</v>
      </c>
      <c r="G177" s="1050">
        <f t="shared" si="8"/>
        <v>0</v>
      </c>
      <c r="H177" s="1050">
        <f t="shared" si="9"/>
        <v>0</v>
      </c>
      <c r="I177" s="1050">
        <f t="shared" si="10"/>
        <v>0</v>
      </c>
      <c r="J177" s="1051">
        <f t="shared" si="11"/>
        <v>0</v>
      </c>
      <c r="K177" s="1043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897"/>
      <c r="W177" s="897"/>
      <c r="X177" s="897"/>
      <c r="Y177" s="897"/>
      <c r="Z177" s="897"/>
    </row>
    <row r="178" ht="15.75" customHeight="1">
      <c r="A178" s="308"/>
      <c r="B178" s="1026">
        <v>154.0</v>
      </c>
      <c r="C178" s="1048">
        <f t="shared" si="12"/>
        <v>50479</v>
      </c>
      <c r="D178" s="1049">
        <f t="shared" si="6"/>
        <v>3</v>
      </c>
      <c r="E178" s="1050">
        <f t="shared" si="7"/>
        <v>2038</v>
      </c>
      <c r="F178" s="1050">
        <f t="shared" si="13"/>
        <v>0.0000000007277151062</v>
      </c>
      <c r="G178" s="1050">
        <f t="shared" si="8"/>
        <v>0</v>
      </c>
      <c r="H178" s="1050">
        <f t="shared" si="9"/>
        <v>0</v>
      </c>
      <c r="I178" s="1050">
        <f t="shared" si="10"/>
        <v>0</v>
      </c>
      <c r="J178" s="1051">
        <f t="shared" si="11"/>
        <v>0</v>
      </c>
      <c r="K178" s="1043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897"/>
      <c r="W178" s="897"/>
      <c r="X178" s="897"/>
      <c r="Y178" s="897"/>
      <c r="Z178" s="897"/>
    </row>
    <row r="179" ht="15.75" customHeight="1">
      <c r="A179" s="308"/>
      <c r="B179" s="1026">
        <v>155.0</v>
      </c>
      <c r="C179" s="1048">
        <f t="shared" si="12"/>
        <v>50510</v>
      </c>
      <c r="D179" s="1049">
        <f t="shared" si="6"/>
        <v>4</v>
      </c>
      <c r="E179" s="1050">
        <f t="shared" si="7"/>
        <v>2038</v>
      </c>
      <c r="F179" s="1050">
        <f t="shared" si="13"/>
        <v>0.0000000007301105017</v>
      </c>
      <c r="G179" s="1050">
        <f t="shared" si="8"/>
        <v>0</v>
      </c>
      <c r="H179" s="1050">
        <f t="shared" si="9"/>
        <v>0</v>
      </c>
      <c r="I179" s="1050">
        <f t="shared" si="10"/>
        <v>0</v>
      </c>
      <c r="J179" s="1051">
        <f t="shared" si="11"/>
        <v>0</v>
      </c>
      <c r="K179" s="1043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897"/>
      <c r="W179" s="897"/>
      <c r="X179" s="897"/>
      <c r="Y179" s="897"/>
      <c r="Z179" s="897"/>
    </row>
    <row r="180" ht="15.75" customHeight="1">
      <c r="A180" s="308"/>
      <c r="B180" s="1026">
        <v>156.0</v>
      </c>
      <c r="C180" s="1048">
        <f t="shared" si="12"/>
        <v>50540</v>
      </c>
      <c r="D180" s="1049">
        <f t="shared" si="6"/>
        <v>5</v>
      </c>
      <c r="E180" s="1050">
        <f t="shared" si="7"/>
        <v>2038</v>
      </c>
      <c r="F180" s="1050">
        <f t="shared" si="13"/>
        <v>0.0000000007325137821</v>
      </c>
      <c r="G180" s="1050">
        <f t="shared" si="8"/>
        <v>0</v>
      </c>
      <c r="H180" s="1050">
        <f t="shared" si="9"/>
        <v>0</v>
      </c>
      <c r="I180" s="1050">
        <f t="shared" si="10"/>
        <v>0</v>
      </c>
      <c r="J180" s="1051">
        <f t="shared" si="11"/>
        <v>0</v>
      </c>
      <c r="K180" s="1043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897"/>
      <c r="W180" s="897"/>
      <c r="X180" s="897"/>
      <c r="Y180" s="897"/>
      <c r="Z180" s="897"/>
    </row>
    <row r="181" ht="15.75" customHeight="1">
      <c r="A181" s="308"/>
      <c r="B181" s="1026">
        <v>157.0</v>
      </c>
      <c r="C181" s="1048">
        <f t="shared" si="12"/>
        <v>50571</v>
      </c>
      <c r="D181" s="1049">
        <f t="shared" si="6"/>
        <v>6</v>
      </c>
      <c r="E181" s="1050">
        <f t="shared" si="7"/>
        <v>2038</v>
      </c>
      <c r="F181" s="1050">
        <f t="shared" si="13"/>
        <v>0.0000000007349249733</v>
      </c>
      <c r="G181" s="1050">
        <f t="shared" si="8"/>
        <v>0</v>
      </c>
      <c r="H181" s="1050">
        <f t="shared" si="9"/>
        <v>0</v>
      </c>
      <c r="I181" s="1050">
        <f t="shared" si="10"/>
        <v>0</v>
      </c>
      <c r="J181" s="1051">
        <f t="shared" si="11"/>
        <v>0</v>
      </c>
      <c r="K181" s="1043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897"/>
      <c r="W181" s="897"/>
      <c r="X181" s="897"/>
      <c r="Y181" s="897"/>
      <c r="Z181" s="897"/>
    </row>
    <row r="182" ht="15.75" customHeight="1">
      <c r="A182" s="308"/>
      <c r="B182" s="1026">
        <v>158.0</v>
      </c>
      <c r="C182" s="1048">
        <f t="shared" si="12"/>
        <v>50601</v>
      </c>
      <c r="D182" s="1049">
        <f t="shared" si="6"/>
        <v>7</v>
      </c>
      <c r="E182" s="1050">
        <f t="shared" si="7"/>
        <v>2038</v>
      </c>
      <c r="F182" s="1050">
        <f t="shared" si="13"/>
        <v>0.0000000007373441014</v>
      </c>
      <c r="G182" s="1050">
        <f t="shared" si="8"/>
        <v>0</v>
      </c>
      <c r="H182" s="1050">
        <f t="shared" si="9"/>
        <v>0</v>
      </c>
      <c r="I182" s="1050">
        <f t="shared" si="10"/>
        <v>0</v>
      </c>
      <c r="J182" s="1051">
        <f t="shared" si="11"/>
        <v>0</v>
      </c>
      <c r="K182" s="1043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897"/>
      <c r="W182" s="897"/>
      <c r="X182" s="897"/>
      <c r="Y182" s="897"/>
      <c r="Z182" s="897"/>
    </row>
    <row r="183" ht="15.75" customHeight="1">
      <c r="A183" s="308"/>
      <c r="B183" s="1026">
        <v>159.0</v>
      </c>
      <c r="C183" s="1048">
        <f t="shared" si="12"/>
        <v>50632</v>
      </c>
      <c r="D183" s="1049">
        <f t="shared" si="6"/>
        <v>8</v>
      </c>
      <c r="E183" s="1050">
        <f t="shared" si="7"/>
        <v>2038</v>
      </c>
      <c r="F183" s="1050">
        <f t="shared" si="13"/>
        <v>0.0000000007397711924</v>
      </c>
      <c r="G183" s="1050">
        <f t="shared" si="8"/>
        <v>0</v>
      </c>
      <c r="H183" s="1050">
        <f t="shared" si="9"/>
        <v>0</v>
      </c>
      <c r="I183" s="1050">
        <f t="shared" si="10"/>
        <v>0</v>
      </c>
      <c r="J183" s="1051">
        <f t="shared" si="11"/>
        <v>0</v>
      </c>
      <c r="K183" s="1043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897"/>
      <c r="W183" s="897"/>
      <c r="X183" s="897"/>
      <c r="Y183" s="897"/>
      <c r="Z183" s="897"/>
    </row>
    <row r="184" ht="15.75" customHeight="1">
      <c r="A184" s="308"/>
      <c r="B184" s="1026">
        <v>160.0</v>
      </c>
      <c r="C184" s="1048">
        <f t="shared" si="12"/>
        <v>50663</v>
      </c>
      <c r="D184" s="1049">
        <f t="shared" si="6"/>
        <v>9</v>
      </c>
      <c r="E184" s="1050">
        <f t="shared" si="7"/>
        <v>2038</v>
      </c>
      <c r="F184" s="1050">
        <f t="shared" si="13"/>
        <v>0.0000000007422062725</v>
      </c>
      <c r="G184" s="1050">
        <f t="shared" si="8"/>
        <v>0</v>
      </c>
      <c r="H184" s="1050">
        <f t="shared" si="9"/>
        <v>0</v>
      </c>
      <c r="I184" s="1050">
        <f t="shared" si="10"/>
        <v>0</v>
      </c>
      <c r="J184" s="1051">
        <f t="shared" si="11"/>
        <v>0</v>
      </c>
      <c r="K184" s="1043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897"/>
      <c r="W184" s="897"/>
      <c r="X184" s="897"/>
      <c r="Y184" s="897"/>
      <c r="Z184" s="897"/>
    </row>
    <row r="185" ht="15.75" customHeight="1">
      <c r="A185" s="308"/>
      <c r="B185" s="1026">
        <v>161.0</v>
      </c>
      <c r="C185" s="1048">
        <f t="shared" si="12"/>
        <v>50693</v>
      </c>
      <c r="D185" s="1049">
        <f t="shared" si="6"/>
        <v>10</v>
      </c>
      <c r="E185" s="1050">
        <f t="shared" si="7"/>
        <v>2038</v>
      </c>
      <c r="F185" s="1050">
        <f t="shared" si="13"/>
        <v>0.0000000007446493682</v>
      </c>
      <c r="G185" s="1050">
        <f t="shared" si="8"/>
        <v>0</v>
      </c>
      <c r="H185" s="1050">
        <f t="shared" si="9"/>
        <v>0</v>
      </c>
      <c r="I185" s="1050">
        <f t="shared" si="10"/>
        <v>0</v>
      </c>
      <c r="J185" s="1051">
        <f t="shared" si="11"/>
        <v>0</v>
      </c>
      <c r="K185" s="1043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897"/>
      <c r="W185" s="897"/>
      <c r="X185" s="897"/>
      <c r="Y185" s="897"/>
      <c r="Z185" s="897"/>
    </row>
    <row r="186" ht="15.75" customHeight="1">
      <c r="A186" s="308"/>
      <c r="B186" s="1026">
        <v>162.0</v>
      </c>
      <c r="C186" s="1048">
        <f t="shared" si="12"/>
        <v>50724</v>
      </c>
      <c r="D186" s="1049">
        <f t="shared" si="6"/>
        <v>11</v>
      </c>
      <c r="E186" s="1050">
        <f t="shared" si="7"/>
        <v>2038</v>
      </c>
      <c r="F186" s="1050">
        <f t="shared" si="13"/>
        <v>0.0000000007471005057</v>
      </c>
      <c r="G186" s="1050">
        <f t="shared" si="8"/>
        <v>0</v>
      </c>
      <c r="H186" s="1050">
        <f t="shared" si="9"/>
        <v>0</v>
      </c>
      <c r="I186" s="1050">
        <f t="shared" si="10"/>
        <v>0</v>
      </c>
      <c r="J186" s="1051">
        <f t="shared" si="11"/>
        <v>0</v>
      </c>
      <c r="K186" s="1043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897"/>
      <c r="W186" s="897"/>
      <c r="X186" s="897"/>
      <c r="Y186" s="897"/>
      <c r="Z186" s="897"/>
    </row>
    <row r="187" ht="15.75" customHeight="1">
      <c r="A187" s="308"/>
      <c r="B187" s="1026">
        <v>163.0</v>
      </c>
      <c r="C187" s="1048">
        <f t="shared" si="12"/>
        <v>50754</v>
      </c>
      <c r="D187" s="1049">
        <f t="shared" si="6"/>
        <v>12</v>
      </c>
      <c r="E187" s="1050">
        <f t="shared" si="7"/>
        <v>2038</v>
      </c>
      <c r="F187" s="1050">
        <f t="shared" si="13"/>
        <v>0.0000000007495597115</v>
      </c>
      <c r="G187" s="1050">
        <f t="shared" si="8"/>
        <v>0</v>
      </c>
      <c r="H187" s="1050">
        <f t="shared" si="9"/>
        <v>0</v>
      </c>
      <c r="I187" s="1050">
        <f t="shared" si="10"/>
        <v>0</v>
      </c>
      <c r="J187" s="1051">
        <f t="shared" si="11"/>
        <v>0</v>
      </c>
      <c r="K187" s="1043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897"/>
      <c r="W187" s="897"/>
      <c r="X187" s="897"/>
      <c r="Y187" s="897"/>
      <c r="Z187" s="897"/>
    </row>
    <row r="188" ht="15.75" customHeight="1">
      <c r="A188" s="308"/>
      <c r="B188" s="1026">
        <v>164.0</v>
      </c>
      <c r="C188" s="1048">
        <f t="shared" si="12"/>
        <v>50785</v>
      </c>
      <c r="D188" s="1049">
        <f t="shared" si="6"/>
        <v>1</v>
      </c>
      <c r="E188" s="1050">
        <f t="shared" si="7"/>
        <v>2039</v>
      </c>
      <c r="F188" s="1050">
        <f t="shared" si="13"/>
        <v>0.0000000007520270122</v>
      </c>
      <c r="G188" s="1050">
        <f t="shared" si="8"/>
        <v>0</v>
      </c>
      <c r="H188" s="1050">
        <f t="shared" si="9"/>
        <v>0</v>
      </c>
      <c r="I188" s="1050">
        <f t="shared" si="10"/>
        <v>0</v>
      </c>
      <c r="J188" s="1051">
        <f t="shared" si="11"/>
        <v>0</v>
      </c>
      <c r="K188" s="1043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897"/>
      <c r="W188" s="897"/>
      <c r="X188" s="897"/>
      <c r="Y188" s="897"/>
      <c r="Z188" s="897"/>
    </row>
    <row r="189" ht="15.75" customHeight="1">
      <c r="A189" s="308"/>
      <c r="B189" s="1026">
        <v>165.0</v>
      </c>
      <c r="C189" s="1048">
        <f t="shared" si="12"/>
        <v>50816</v>
      </c>
      <c r="D189" s="1049">
        <f t="shared" si="6"/>
        <v>2</v>
      </c>
      <c r="E189" s="1050">
        <f t="shared" si="7"/>
        <v>2039</v>
      </c>
      <c r="F189" s="1050">
        <f t="shared" si="13"/>
        <v>0.0000000007545024345</v>
      </c>
      <c r="G189" s="1050">
        <f t="shared" si="8"/>
        <v>0</v>
      </c>
      <c r="H189" s="1050">
        <f t="shared" si="9"/>
        <v>0</v>
      </c>
      <c r="I189" s="1050">
        <f t="shared" si="10"/>
        <v>0</v>
      </c>
      <c r="J189" s="1051">
        <f t="shared" si="11"/>
        <v>0</v>
      </c>
      <c r="K189" s="1043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897"/>
      <c r="W189" s="897"/>
      <c r="X189" s="897"/>
      <c r="Y189" s="897"/>
      <c r="Z189" s="897"/>
    </row>
    <row r="190" ht="15.75" customHeight="1">
      <c r="A190" s="308"/>
      <c r="B190" s="1026">
        <v>166.0</v>
      </c>
      <c r="C190" s="1048">
        <f t="shared" si="12"/>
        <v>50844</v>
      </c>
      <c r="D190" s="1049">
        <f t="shared" si="6"/>
        <v>3</v>
      </c>
      <c r="E190" s="1050">
        <f t="shared" si="7"/>
        <v>2039</v>
      </c>
      <c r="F190" s="1050">
        <f t="shared" si="13"/>
        <v>0.000000000756986005</v>
      </c>
      <c r="G190" s="1050">
        <f t="shared" si="8"/>
        <v>0</v>
      </c>
      <c r="H190" s="1050">
        <f t="shared" si="9"/>
        <v>0</v>
      </c>
      <c r="I190" s="1050">
        <f t="shared" si="10"/>
        <v>0</v>
      </c>
      <c r="J190" s="1051">
        <f t="shared" si="11"/>
        <v>0</v>
      </c>
      <c r="K190" s="1043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897"/>
      <c r="W190" s="897"/>
      <c r="X190" s="897"/>
      <c r="Y190" s="897"/>
      <c r="Z190" s="897"/>
    </row>
    <row r="191" ht="15.75" customHeight="1">
      <c r="A191" s="308"/>
      <c r="B191" s="1026">
        <v>167.0</v>
      </c>
      <c r="C191" s="1048">
        <f t="shared" si="12"/>
        <v>50875</v>
      </c>
      <c r="D191" s="1049">
        <f t="shared" si="6"/>
        <v>4</v>
      </c>
      <c r="E191" s="1050">
        <f t="shared" si="7"/>
        <v>2039</v>
      </c>
      <c r="F191" s="1050">
        <f t="shared" si="13"/>
        <v>0.0000000007594777506</v>
      </c>
      <c r="G191" s="1050">
        <f t="shared" si="8"/>
        <v>0</v>
      </c>
      <c r="H191" s="1050">
        <f t="shared" si="9"/>
        <v>0</v>
      </c>
      <c r="I191" s="1050">
        <f t="shared" si="10"/>
        <v>0</v>
      </c>
      <c r="J191" s="1051">
        <f t="shared" si="11"/>
        <v>0</v>
      </c>
      <c r="K191" s="1043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897"/>
      <c r="W191" s="897"/>
      <c r="X191" s="897"/>
      <c r="Y191" s="897"/>
      <c r="Z191" s="897"/>
    </row>
    <row r="192" ht="15.75" customHeight="1">
      <c r="A192" s="308"/>
      <c r="B192" s="1026">
        <v>168.0</v>
      </c>
      <c r="C192" s="1048">
        <f t="shared" si="12"/>
        <v>50905</v>
      </c>
      <c r="D192" s="1049">
        <f t="shared" si="6"/>
        <v>5</v>
      </c>
      <c r="E192" s="1050">
        <f t="shared" si="7"/>
        <v>2039</v>
      </c>
      <c r="F192" s="1050">
        <f t="shared" si="13"/>
        <v>0.0000000007619776982</v>
      </c>
      <c r="G192" s="1050">
        <f t="shared" si="8"/>
        <v>0</v>
      </c>
      <c r="H192" s="1050">
        <f t="shared" si="9"/>
        <v>0</v>
      </c>
      <c r="I192" s="1050">
        <f t="shared" si="10"/>
        <v>0</v>
      </c>
      <c r="J192" s="1051">
        <f t="shared" si="11"/>
        <v>0</v>
      </c>
      <c r="K192" s="1043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897"/>
      <c r="W192" s="897"/>
      <c r="X192" s="897"/>
      <c r="Y192" s="897"/>
      <c r="Z192" s="897"/>
    </row>
    <row r="193" ht="15.75" customHeight="1">
      <c r="A193" s="308"/>
      <c r="B193" s="1026">
        <v>169.0</v>
      </c>
      <c r="C193" s="1048">
        <f t="shared" si="12"/>
        <v>50936</v>
      </c>
      <c r="D193" s="1049">
        <f t="shared" si="6"/>
        <v>6</v>
      </c>
      <c r="E193" s="1050">
        <f t="shared" si="7"/>
        <v>2039</v>
      </c>
      <c r="F193" s="1050">
        <f t="shared" si="13"/>
        <v>0.0000000007644858748</v>
      </c>
      <c r="G193" s="1050">
        <f t="shared" si="8"/>
        <v>0</v>
      </c>
      <c r="H193" s="1050">
        <f t="shared" si="9"/>
        <v>0</v>
      </c>
      <c r="I193" s="1050">
        <f t="shared" si="10"/>
        <v>0</v>
      </c>
      <c r="J193" s="1051">
        <f t="shared" si="11"/>
        <v>0</v>
      </c>
      <c r="K193" s="1043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897"/>
      <c r="W193" s="897"/>
      <c r="X193" s="897"/>
      <c r="Y193" s="897"/>
      <c r="Z193" s="897"/>
    </row>
    <row r="194" ht="15.75" customHeight="1">
      <c r="A194" s="308"/>
      <c r="B194" s="1026">
        <v>170.0</v>
      </c>
      <c r="C194" s="1048">
        <f t="shared" si="12"/>
        <v>50966</v>
      </c>
      <c r="D194" s="1049">
        <f t="shared" si="6"/>
        <v>7</v>
      </c>
      <c r="E194" s="1050">
        <f t="shared" si="7"/>
        <v>2039</v>
      </c>
      <c r="F194" s="1050">
        <f t="shared" si="13"/>
        <v>0.0000000007670023075</v>
      </c>
      <c r="G194" s="1050">
        <f t="shared" si="8"/>
        <v>0</v>
      </c>
      <c r="H194" s="1050">
        <f t="shared" si="9"/>
        <v>0</v>
      </c>
      <c r="I194" s="1050">
        <f t="shared" si="10"/>
        <v>0</v>
      </c>
      <c r="J194" s="1051">
        <f t="shared" si="11"/>
        <v>0</v>
      </c>
      <c r="K194" s="1043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897"/>
      <c r="W194" s="897"/>
      <c r="X194" s="897"/>
      <c r="Y194" s="897"/>
      <c r="Z194" s="897"/>
    </row>
    <row r="195" ht="15.75" customHeight="1">
      <c r="A195" s="308"/>
      <c r="B195" s="1026">
        <v>171.0</v>
      </c>
      <c r="C195" s="1048">
        <f t="shared" si="12"/>
        <v>50997</v>
      </c>
      <c r="D195" s="1049">
        <f t="shared" si="6"/>
        <v>8</v>
      </c>
      <c r="E195" s="1050">
        <f t="shared" si="7"/>
        <v>2039</v>
      </c>
      <c r="F195" s="1050">
        <f t="shared" si="13"/>
        <v>0.0000000007695270234</v>
      </c>
      <c r="G195" s="1050">
        <f t="shared" si="8"/>
        <v>0</v>
      </c>
      <c r="H195" s="1050">
        <f t="shared" si="9"/>
        <v>0</v>
      </c>
      <c r="I195" s="1050">
        <f t="shared" si="10"/>
        <v>0</v>
      </c>
      <c r="J195" s="1051">
        <f t="shared" si="11"/>
        <v>0</v>
      </c>
      <c r="K195" s="1043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897"/>
      <c r="W195" s="897"/>
      <c r="X195" s="897"/>
      <c r="Y195" s="897"/>
      <c r="Z195" s="897"/>
    </row>
    <row r="196" ht="15.75" customHeight="1">
      <c r="A196" s="308"/>
      <c r="B196" s="1026">
        <v>172.0</v>
      </c>
      <c r="C196" s="1048">
        <f t="shared" si="12"/>
        <v>51028</v>
      </c>
      <c r="D196" s="1049">
        <f t="shared" si="6"/>
        <v>9</v>
      </c>
      <c r="E196" s="1050">
        <f t="shared" si="7"/>
        <v>2039</v>
      </c>
      <c r="F196" s="1050">
        <f t="shared" si="13"/>
        <v>0.0000000007720600498</v>
      </c>
      <c r="G196" s="1050">
        <f t="shared" si="8"/>
        <v>0</v>
      </c>
      <c r="H196" s="1050">
        <f t="shared" si="9"/>
        <v>0</v>
      </c>
      <c r="I196" s="1050">
        <f t="shared" si="10"/>
        <v>0</v>
      </c>
      <c r="J196" s="1051">
        <f t="shared" si="11"/>
        <v>0</v>
      </c>
      <c r="K196" s="1043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897"/>
      <c r="W196" s="897"/>
      <c r="X196" s="897"/>
      <c r="Y196" s="897"/>
      <c r="Z196" s="897"/>
    </row>
    <row r="197" ht="15.75" customHeight="1">
      <c r="A197" s="308"/>
      <c r="B197" s="1026">
        <v>173.0</v>
      </c>
      <c r="C197" s="1048">
        <f t="shared" si="12"/>
        <v>51058</v>
      </c>
      <c r="D197" s="1049">
        <f t="shared" si="6"/>
        <v>10</v>
      </c>
      <c r="E197" s="1050">
        <f t="shared" si="7"/>
        <v>2039</v>
      </c>
      <c r="F197" s="1050">
        <f t="shared" si="13"/>
        <v>0.0000000007746014142</v>
      </c>
      <c r="G197" s="1050">
        <f t="shared" si="8"/>
        <v>0</v>
      </c>
      <c r="H197" s="1050">
        <f t="shared" si="9"/>
        <v>0</v>
      </c>
      <c r="I197" s="1050">
        <f t="shared" si="10"/>
        <v>0</v>
      </c>
      <c r="J197" s="1051">
        <f t="shared" si="11"/>
        <v>0</v>
      </c>
      <c r="K197" s="1043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897"/>
      <c r="W197" s="897"/>
      <c r="X197" s="897"/>
      <c r="Y197" s="897"/>
      <c r="Z197" s="897"/>
    </row>
    <row r="198" ht="15.75" customHeight="1">
      <c r="A198" s="308"/>
      <c r="B198" s="1026">
        <v>174.0</v>
      </c>
      <c r="C198" s="1048">
        <f t="shared" si="12"/>
        <v>51089</v>
      </c>
      <c r="D198" s="1049">
        <f t="shared" si="6"/>
        <v>11</v>
      </c>
      <c r="E198" s="1050">
        <f t="shared" si="7"/>
        <v>2039</v>
      </c>
      <c r="F198" s="1050">
        <f t="shared" si="13"/>
        <v>0.0000000007771511438</v>
      </c>
      <c r="G198" s="1050">
        <f t="shared" si="8"/>
        <v>0</v>
      </c>
      <c r="H198" s="1050">
        <f t="shared" si="9"/>
        <v>0</v>
      </c>
      <c r="I198" s="1050">
        <f t="shared" si="10"/>
        <v>0</v>
      </c>
      <c r="J198" s="1051">
        <f t="shared" si="11"/>
        <v>0</v>
      </c>
      <c r="K198" s="1043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897"/>
      <c r="W198" s="897"/>
      <c r="X198" s="897"/>
      <c r="Y198" s="897"/>
      <c r="Z198" s="897"/>
    </row>
    <row r="199" ht="15.75" customHeight="1">
      <c r="A199" s="308"/>
      <c r="B199" s="1026">
        <v>175.0</v>
      </c>
      <c r="C199" s="1048">
        <f t="shared" si="12"/>
        <v>51119</v>
      </c>
      <c r="D199" s="1049">
        <f t="shared" si="6"/>
        <v>12</v>
      </c>
      <c r="E199" s="1050">
        <f t="shared" si="7"/>
        <v>2039</v>
      </c>
      <c r="F199" s="1050">
        <f t="shared" si="13"/>
        <v>0.0000000007797092663</v>
      </c>
      <c r="G199" s="1050">
        <f t="shared" si="8"/>
        <v>0</v>
      </c>
      <c r="H199" s="1050">
        <f t="shared" si="9"/>
        <v>0</v>
      </c>
      <c r="I199" s="1050">
        <f t="shared" si="10"/>
        <v>0</v>
      </c>
      <c r="J199" s="1051">
        <f t="shared" si="11"/>
        <v>0</v>
      </c>
      <c r="K199" s="1043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897"/>
      <c r="W199" s="897"/>
      <c r="X199" s="897"/>
      <c r="Y199" s="897"/>
      <c r="Z199" s="897"/>
    </row>
    <row r="200" ht="15.75" customHeight="1">
      <c r="A200" s="308"/>
      <c r="B200" s="1026">
        <v>176.0</v>
      </c>
      <c r="C200" s="1048">
        <f t="shared" si="12"/>
        <v>51150</v>
      </c>
      <c r="D200" s="1049">
        <f t="shared" si="6"/>
        <v>1</v>
      </c>
      <c r="E200" s="1050">
        <f t="shared" si="7"/>
        <v>2040</v>
      </c>
      <c r="F200" s="1050">
        <f t="shared" si="13"/>
        <v>0.0000000007822758093</v>
      </c>
      <c r="G200" s="1050">
        <f t="shared" si="8"/>
        <v>0</v>
      </c>
      <c r="H200" s="1050">
        <f t="shared" si="9"/>
        <v>0</v>
      </c>
      <c r="I200" s="1050">
        <f t="shared" si="10"/>
        <v>0</v>
      </c>
      <c r="J200" s="1051">
        <f t="shared" si="11"/>
        <v>0</v>
      </c>
      <c r="K200" s="1043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897"/>
      <c r="W200" s="897"/>
      <c r="X200" s="897"/>
      <c r="Y200" s="897"/>
      <c r="Z200" s="897"/>
    </row>
    <row r="201" ht="15.75" customHeight="1">
      <c r="A201" s="308"/>
      <c r="B201" s="1026">
        <v>177.0</v>
      </c>
      <c r="C201" s="1048">
        <f t="shared" si="12"/>
        <v>51181</v>
      </c>
      <c r="D201" s="1049">
        <f t="shared" si="6"/>
        <v>2</v>
      </c>
      <c r="E201" s="1050">
        <f t="shared" si="7"/>
        <v>2040</v>
      </c>
      <c r="F201" s="1050">
        <f t="shared" si="13"/>
        <v>0.0000000007848508005</v>
      </c>
      <c r="G201" s="1050">
        <f t="shared" si="8"/>
        <v>0</v>
      </c>
      <c r="H201" s="1050">
        <f t="shared" si="9"/>
        <v>0</v>
      </c>
      <c r="I201" s="1050">
        <f t="shared" si="10"/>
        <v>0</v>
      </c>
      <c r="J201" s="1051">
        <f t="shared" si="11"/>
        <v>0</v>
      </c>
      <c r="K201" s="1043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897"/>
      <c r="W201" s="897"/>
      <c r="X201" s="897"/>
      <c r="Y201" s="897"/>
      <c r="Z201" s="897"/>
    </row>
    <row r="202" ht="15.75" customHeight="1">
      <c r="A202" s="308"/>
      <c r="B202" s="1026">
        <v>178.0</v>
      </c>
      <c r="C202" s="1048">
        <f t="shared" si="12"/>
        <v>51210</v>
      </c>
      <c r="D202" s="1049">
        <f t="shared" si="6"/>
        <v>3</v>
      </c>
      <c r="E202" s="1050">
        <f t="shared" si="7"/>
        <v>2040</v>
      </c>
      <c r="F202" s="1050">
        <f t="shared" si="13"/>
        <v>0.0000000007874342678</v>
      </c>
      <c r="G202" s="1050">
        <f t="shared" si="8"/>
        <v>0</v>
      </c>
      <c r="H202" s="1050">
        <f t="shared" si="9"/>
        <v>0</v>
      </c>
      <c r="I202" s="1050">
        <f t="shared" si="10"/>
        <v>0</v>
      </c>
      <c r="J202" s="1051">
        <f t="shared" si="11"/>
        <v>0</v>
      </c>
      <c r="K202" s="1043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897"/>
      <c r="W202" s="897"/>
      <c r="X202" s="897"/>
      <c r="Y202" s="897"/>
      <c r="Z202" s="897"/>
    </row>
    <row r="203" ht="15.75" customHeight="1">
      <c r="A203" s="308"/>
      <c r="B203" s="1026">
        <v>179.0</v>
      </c>
      <c r="C203" s="1048">
        <f t="shared" si="12"/>
        <v>51241</v>
      </c>
      <c r="D203" s="1049">
        <f t="shared" si="6"/>
        <v>4</v>
      </c>
      <c r="E203" s="1050">
        <f t="shared" si="7"/>
        <v>2040</v>
      </c>
      <c r="F203" s="1050">
        <f t="shared" si="13"/>
        <v>0.0000000007900262389</v>
      </c>
      <c r="G203" s="1050">
        <f t="shared" si="8"/>
        <v>0</v>
      </c>
      <c r="H203" s="1050">
        <f t="shared" si="9"/>
        <v>0</v>
      </c>
      <c r="I203" s="1050">
        <f t="shared" si="10"/>
        <v>0</v>
      </c>
      <c r="J203" s="1051">
        <f t="shared" si="11"/>
        <v>0</v>
      </c>
      <c r="K203" s="1043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897"/>
      <c r="W203" s="897"/>
      <c r="X203" s="897"/>
      <c r="Y203" s="897"/>
      <c r="Z203" s="897"/>
    </row>
    <row r="204" ht="15.75" customHeight="1">
      <c r="A204" s="308"/>
      <c r="B204" s="1026">
        <v>180.0</v>
      </c>
      <c r="C204" s="1048">
        <f t="shared" si="12"/>
        <v>51271</v>
      </c>
      <c r="D204" s="1049">
        <f t="shared" si="6"/>
        <v>5</v>
      </c>
      <c r="E204" s="1050">
        <f t="shared" si="7"/>
        <v>2040</v>
      </c>
      <c r="F204" s="1050">
        <f t="shared" si="13"/>
        <v>0.0000000007926267419</v>
      </c>
      <c r="G204" s="1050">
        <f t="shared" si="8"/>
        <v>0</v>
      </c>
      <c r="H204" s="1050">
        <f t="shared" si="9"/>
        <v>0</v>
      </c>
      <c r="I204" s="1050">
        <f t="shared" si="10"/>
        <v>0</v>
      </c>
      <c r="J204" s="1051">
        <f t="shared" si="11"/>
        <v>0</v>
      </c>
      <c r="K204" s="1043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897"/>
      <c r="W204" s="897"/>
      <c r="X204" s="897"/>
      <c r="Y204" s="897"/>
      <c r="Z204" s="897"/>
    </row>
    <row r="205" ht="15.75" customHeight="1">
      <c r="A205" s="308"/>
      <c r="B205" s="1026">
        <v>181.0</v>
      </c>
      <c r="C205" s="1048">
        <f t="shared" si="12"/>
        <v>51302</v>
      </c>
      <c r="D205" s="1049">
        <f t="shared" si="6"/>
        <v>6</v>
      </c>
      <c r="E205" s="1050">
        <f t="shared" si="7"/>
        <v>2040</v>
      </c>
      <c r="F205" s="1050">
        <f t="shared" si="13"/>
        <v>0.000000000795235805</v>
      </c>
      <c r="G205" s="1050">
        <f t="shared" si="8"/>
        <v>0</v>
      </c>
      <c r="H205" s="1050">
        <f t="shared" si="9"/>
        <v>0</v>
      </c>
      <c r="I205" s="1050">
        <f t="shared" si="10"/>
        <v>0</v>
      </c>
      <c r="J205" s="1051">
        <f t="shared" si="11"/>
        <v>0</v>
      </c>
      <c r="K205" s="1043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897"/>
      <c r="W205" s="897"/>
      <c r="X205" s="897"/>
      <c r="Y205" s="897"/>
      <c r="Z205" s="897"/>
    </row>
    <row r="206" ht="15.75" customHeight="1">
      <c r="A206" s="308"/>
      <c r="B206" s="1026">
        <v>182.0</v>
      </c>
      <c r="C206" s="1048">
        <f t="shared" si="12"/>
        <v>51332</v>
      </c>
      <c r="D206" s="1049">
        <f t="shared" si="6"/>
        <v>7</v>
      </c>
      <c r="E206" s="1050">
        <f t="shared" si="7"/>
        <v>2040</v>
      </c>
      <c r="F206" s="1050">
        <f t="shared" si="13"/>
        <v>0.0000000007978534562</v>
      </c>
      <c r="G206" s="1050">
        <f t="shared" si="8"/>
        <v>0</v>
      </c>
      <c r="H206" s="1050">
        <f t="shared" si="9"/>
        <v>0</v>
      </c>
      <c r="I206" s="1050">
        <f t="shared" si="10"/>
        <v>0</v>
      </c>
      <c r="J206" s="1051">
        <f t="shared" si="11"/>
        <v>0</v>
      </c>
      <c r="K206" s="1043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897"/>
      <c r="W206" s="897"/>
      <c r="X206" s="897"/>
      <c r="Y206" s="897"/>
      <c r="Z206" s="897"/>
    </row>
    <row r="207" ht="15.75" customHeight="1">
      <c r="A207" s="308"/>
      <c r="B207" s="1026">
        <v>183.0</v>
      </c>
      <c r="C207" s="1048">
        <f t="shared" si="12"/>
        <v>51363</v>
      </c>
      <c r="D207" s="1049">
        <f t="shared" si="6"/>
        <v>8</v>
      </c>
      <c r="E207" s="1050">
        <f t="shared" si="7"/>
        <v>2040</v>
      </c>
      <c r="F207" s="1050">
        <f t="shared" si="13"/>
        <v>0.0000000008004797238</v>
      </c>
      <c r="G207" s="1050">
        <f t="shared" si="8"/>
        <v>0</v>
      </c>
      <c r="H207" s="1050">
        <f t="shared" si="9"/>
        <v>0</v>
      </c>
      <c r="I207" s="1050">
        <f t="shared" si="10"/>
        <v>0</v>
      </c>
      <c r="J207" s="1051">
        <f t="shared" si="11"/>
        <v>0</v>
      </c>
      <c r="K207" s="1043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897"/>
      <c r="W207" s="897"/>
      <c r="X207" s="897"/>
      <c r="Y207" s="897"/>
      <c r="Z207" s="897"/>
    </row>
    <row r="208" ht="15.75" customHeight="1">
      <c r="A208" s="308"/>
      <c r="B208" s="1026">
        <v>184.0</v>
      </c>
      <c r="C208" s="1048">
        <f t="shared" si="12"/>
        <v>51394</v>
      </c>
      <c r="D208" s="1049">
        <f t="shared" si="6"/>
        <v>9</v>
      </c>
      <c r="E208" s="1050">
        <f t="shared" si="7"/>
        <v>2040</v>
      </c>
      <c r="F208" s="1050">
        <f t="shared" si="13"/>
        <v>0.0000000008031146362</v>
      </c>
      <c r="G208" s="1050">
        <f t="shared" si="8"/>
        <v>0</v>
      </c>
      <c r="H208" s="1050">
        <f t="shared" si="9"/>
        <v>0</v>
      </c>
      <c r="I208" s="1050">
        <f t="shared" si="10"/>
        <v>0</v>
      </c>
      <c r="J208" s="1051">
        <f t="shared" si="11"/>
        <v>0</v>
      </c>
      <c r="K208" s="1043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897"/>
      <c r="W208" s="897"/>
      <c r="X208" s="897"/>
      <c r="Y208" s="897"/>
      <c r="Z208" s="897"/>
    </row>
    <row r="209" ht="15.75" customHeight="1">
      <c r="A209" s="308"/>
      <c r="B209" s="1026">
        <v>185.0</v>
      </c>
      <c r="C209" s="1048">
        <f t="shared" si="12"/>
        <v>51424</v>
      </c>
      <c r="D209" s="1049">
        <f t="shared" si="6"/>
        <v>10</v>
      </c>
      <c r="E209" s="1050">
        <f t="shared" si="7"/>
        <v>2040</v>
      </c>
      <c r="F209" s="1050">
        <f t="shared" si="13"/>
        <v>0.0000000008057582219</v>
      </c>
      <c r="G209" s="1050">
        <f t="shared" si="8"/>
        <v>0</v>
      </c>
      <c r="H209" s="1050">
        <f t="shared" si="9"/>
        <v>0</v>
      </c>
      <c r="I209" s="1050">
        <f t="shared" si="10"/>
        <v>0</v>
      </c>
      <c r="J209" s="1051">
        <f t="shared" si="11"/>
        <v>0</v>
      </c>
      <c r="K209" s="1043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897"/>
      <c r="W209" s="897"/>
      <c r="X209" s="897"/>
      <c r="Y209" s="897"/>
      <c r="Z209" s="897"/>
    </row>
    <row r="210" ht="15.75" customHeight="1">
      <c r="A210" s="308"/>
      <c r="B210" s="1026">
        <v>186.0</v>
      </c>
      <c r="C210" s="1048">
        <f t="shared" si="12"/>
        <v>51455</v>
      </c>
      <c r="D210" s="1049">
        <f t="shared" si="6"/>
        <v>11</v>
      </c>
      <c r="E210" s="1050">
        <f t="shared" si="7"/>
        <v>2040</v>
      </c>
      <c r="F210" s="1050">
        <f t="shared" si="13"/>
        <v>0.0000000008084105094</v>
      </c>
      <c r="G210" s="1050">
        <f t="shared" si="8"/>
        <v>0</v>
      </c>
      <c r="H210" s="1050">
        <f t="shared" si="9"/>
        <v>0</v>
      </c>
      <c r="I210" s="1050">
        <f t="shared" si="10"/>
        <v>0</v>
      </c>
      <c r="J210" s="1051">
        <f t="shared" si="11"/>
        <v>0</v>
      </c>
      <c r="K210" s="1043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897"/>
      <c r="W210" s="897"/>
      <c r="X210" s="897"/>
      <c r="Y210" s="897"/>
      <c r="Z210" s="897"/>
    </row>
    <row r="211" ht="15.75" customHeight="1">
      <c r="A211" s="308"/>
      <c r="B211" s="1026">
        <v>187.0</v>
      </c>
      <c r="C211" s="1048">
        <f t="shared" si="12"/>
        <v>51485</v>
      </c>
      <c r="D211" s="1049">
        <f t="shared" si="6"/>
        <v>12</v>
      </c>
      <c r="E211" s="1050">
        <f t="shared" si="7"/>
        <v>2040</v>
      </c>
      <c r="F211" s="1050">
        <f t="shared" si="13"/>
        <v>0.0000000008110715273</v>
      </c>
      <c r="G211" s="1050">
        <f t="shared" si="8"/>
        <v>0</v>
      </c>
      <c r="H211" s="1050">
        <f t="shared" si="9"/>
        <v>0</v>
      </c>
      <c r="I211" s="1050">
        <f t="shared" si="10"/>
        <v>0</v>
      </c>
      <c r="J211" s="1051">
        <f t="shared" si="11"/>
        <v>0</v>
      </c>
      <c r="K211" s="1043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897"/>
      <c r="W211" s="897"/>
      <c r="X211" s="897"/>
      <c r="Y211" s="897"/>
      <c r="Z211" s="897"/>
    </row>
    <row r="212" ht="15.75" customHeight="1">
      <c r="A212" s="308"/>
      <c r="B212" s="1026">
        <v>188.0</v>
      </c>
      <c r="C212" s="1048">
        <f t="shared" si="12"/>
        <v>51516</v>
      </c>
      <c r="D212" s="1049">
        <f t="shared" si="6"/>
        <v>1</v>
      </c>
      <c r="E212" s="1050">
        <f t="shared" si="7"/>
        <v>2041</v>
      </c>
      <c r="F212" s="1050">
        <f t="shared" si="13"/>
        <v>0.0000000008137413044</v>
      </c>
      <c r="G212" s="1050">
        <f t="shared" si="8"/>
        <v>0</v>
      </c>
      <c r="H212" s="1050">
        <f t="shared" si="9"/>
        <v>0</v>
      </c>
      <c r="I212" s="1050">
        <f t="shared" si="10"/>
        <v>0</v>
      </c>
      <c r="J212" s="1051">
        <f t="shared" si="11"/>
        <v>0</v>
      </c>
      <c r="K212" s="1043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897"/>
      <c r="W212" s="897"/>
      <c r="X212" s="897"/>
      <c r="Y212" s="897"/>
      <c r="Z212" s="897"/>
    </row>
    <row r="213" ht="15.75" customHeight="1">
      <c r="A213" s="308"/>
      <c r="B213" s="1026">
        <v>189.0</v>
      </c>
      <c r="C213" s="1048">
        <f t="shared" si="12"/>
        <v>51547</v>
      </c>
      <c r="D213" s="1049">
        <f t="shared" si="6"/>
        <v>2</v>
      </c>
      <c r="E213" s="1050">
        <f t="shared" si="7"/>
        <v>2041</v>
      </c>
      <c r="F213" s="1050">
        <f t="shared" si="13"/>
        <v>0.0000000008164198695</v>
      </c>
      <c r="G213" s="1050">
        <f t="shared" si="8"/>
        <v>0</v>
      </c>
      <c r="H213" s="1050">
        <f t="shared" si="9"/>
        <v>0</v>
      </c>
      <c r="I213" s="1050">
        <f t="shared" si="10"/>
        <v>0</v>
      </c>
      <c r="J213" s="1051">
        <f t="shared" si="11"/>
        <v>0</v>
      </c>
      <c r="K213" s="1043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897"/>
      <c r="W213" s="897"/>
      <c r="X213" s="897"/>
      <c r="Y213" s="897"/>
      <c r="Z213" s="897"/>
    </row>
    <row r="214" ht="15.75" customHeight="1">
      <c r="A214" s="308"/>
      <c r="B214" s="1026">
        <v>190.0</v>
      </c>
      <c r="C214" s="1048">
        <f t="shared" si="12"/>
        <v>51575</v>
      </c>
      <c r="D214" s="1049">
        <f t="shared" si="6"/>
        <v>3</v>
      </c>
      <c r="E214" s="1050">
        <f t="shared" si="7"/>
        <v>2041</v>
      </c>
      <c r="F214" s="1050">
        <f t="shared" si="13"/>
        <v>0.0000000008191072516</v>
      </c>
      <c r="G214" s="1050">
        <f t="shared" si="8"/>
        <v>0</v>
      </c>
      <c r="H214" s="1050">
        <f t="shared" si="9"/>
        <v>0</v>
      </c>
      <c r="I214" s="1050">
        <f t="shared" si="10"/>
        <v>0</v>
      </c>
      <c r="J214" s="1051">
        <f t="shared" si="11"/>
        <v>0</v>
      </c>
      <c r="K214" s="1043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897"/>
      <c r="W214" s="897"/>
      <c r="X214" s="897"/>
      <c r="Y214" s="897"/>
      <c r="Z214" s="897"/>
    </row>
    <row r="215" ht="15.75" customHeight="1">
      <c r="A215" s="308"/>
      <c r="B215" s="1026">
        <v>191.0</v>
      </c>
      <c r="C215" s="1048">
        <f t="shared" si="12"/>
        <v>51606</v>
      </c>
      <c r="D215" s="1049">
        <f t="shared" si="6"/>
        <v>4</v>
      </c>
      <c r="E215" s="1050">
        <f t="shared" si="7"/>
        <v>2041</v>
      </c>
      <c r="F215" s="1050">
        <f t="shared" si="13"/>
        <v>0.0000000008218034796</v>
      </c>
      <c r="G215" s="1050">
        <f t="shared" si="8"/>
        <v>0</v>
      </c>
      <c r="H215" s="1050">
        <f t="shared" si="9"/>
        <v>0</v>
      </c>
      <c r="I215" s="1050">
        <f t="shared" si="10"/>
        <v>0</v>
      </c>
      <c r="J215" s="1051">
        <f t="shared" si="11"/>
        <v>0</v>
      </c>
      <c r="K215" s="1043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897"/>
      <c r="W215" s="897"/>
      <c r="X215" s="897"/>
      <c r="Y215" s="897"/>
      <c r="Z215" s="897"/>
    </row>
    <row r="216" ht="15.75" customHeight="1">
      <c r="A216" s="308"/>
      <c r="B216" s="1026">
        <v>192.0</v>
      </c>
      <c r="C216" s="1048">
        <f t="shared" si="12"/>
        <v>51636</v>
      </c>
      <c r="D216" s="1049">
        <f t="shared" si="6"/>
        <v>5</v>
      </c>
      <c r="E216" s="1050">
        <f t="shared" si="7"/>
        <v>2041</v>
      </c>
      <c r="F216" s="1050">
        <f t="shared" si="13"/>
        <v>0.0000000008245085828</v>
      </c>
      <c r="G216" s="1050">
        <f t="shared" si="8"/>
        <v>0</v>
      </c>
      <c r="H216" s="1050">
        <f t="shared" si="9"/>
        <v>0</v>
      </c>
      <c r="I216" s="1050">
        <f t="shared" si="10"/>
        <v>0</v>
      </c>
      <c r="J216" s="1051">
        <f t="shared" si="11"/>
        <v>0</v>
      </c>
      <c r="K216" s="1043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897"/>
      <c r="W216" s="897"/>
      <c r="X216" s="897"/>
      <c r="Y216" s="897"/>
      <c r="Z216" s="897"/>
    </row>
    <row r="217" ht="15.75" customHeight="1">
      <c r="A217" s="308"/>
      <c r="B217" s="1026">
        <v>193.0</v>
      </c>
      <c r="C217" s="1048">
        <f t="shared" si="12"/>
        <v>51667</v>
      </c>
      <c r="D217" s="1049">
        <f t="shared" si="6"/>
        <v>6</v>
      </c>
      <c r="E217" s="1050">
        <f t="shared" si="7"/>
        <v>2041</v>
      </c>
      <c r="F217" s="1050">
        <f t="shared" si="13"/>
        <v>0.0000000008272225902</v>
      </c>
      <c r="G217" s="1050">
        <f t="shared" si="8"/>
        <v>0</v>
      </c>
      <c r="H217" s="1050">
        <f t="shared" si="9"/>
        <v>0</v>
      </c>
      <c r="I217" s="1050">
        <f t="shared" si="10"/>
        <v>0</v>
      </c>
      <c r="J217" s="1051">
        <f t="shared" si="11"/>
        <v>0</v>
      </c>
      <c r="K217" s="1043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897"/>
      <c r="W217" s="897"/>
      <c r="X217" s="897"/>
      <c r="Y217" s="897"/>
      <c r="Z217" s="897"/>
    </row>
    <row r="218" ht="15.75" customHeight="1">
      <c r="A218" s="308"/>
      <c r="B218" s="1026">
        <v>194.0</v>
      </c>
      <c r="C218" s="1048">
        <f t="shared" si="12"/>
        <v>51697</v>
      </c>
      <c r="D218" s="1049">
        <f t="shared" si="6"/>
        <v>7</v>
      </c>
      <c r="E218" s="1050">
        <f t="shared" si="7"/>
        <v>2041</v>
      </c>
      <c r="F218" s="1050">
        <f t="shared" si="13"/>
        <v>0.0000000008299455312</v>
      </c>
      <c r="G218" s="1050">
        <f t="shared" si="8"/>
        <v>0</v>
      </c>
      <c r="H218" s="1050">
        <f t="shared" si="9"/>
        <v>0</v>
      </c>
      <c r="I218" s="1050">
        <f t="shared" si="10"/>
        <v>0</v>
      </c>
      <c r="J218" s="1051">
        <f t="shared" si="11"/>
        <v>0</v>
      </c>
      <c r="K218" s="1043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897"/>
      <c r="W218" s="897"/>
      <c r="X218" s="897"/>
      <c r="Y218" s="897"/>
      <c r="Z218" s="897"/>
    </row>
    <row r="219" ht="15.75" customHeight="1">
      <c r="A219" s="308"/>
      <c r="B219" s="1026">
        <v>195.0</v>
      </c>
      <c r="C219" s="1048">
        <f t="shared" si="12"/>
        <v>51728</v>
      </c>
      <c r="D219" s="1049">
        <f t="shared" si="6"/>
        <v>8</v>
      </c>
      <c r="E219" s="1050">
        <f t="shared" si="7"/>
        <v>2041</v>
      </c>
      <c r="F219" s="1050">
        <f t="shared" si="13"/>
        <v>0.0000000008326774352</v>
      </c>
      <c r="G219" s="1050">
        <f t="shared" si="8"/>
        <v>0</v>
      </c>
      <c r="H219" s="1050">
        <f t="shared" si="9"/>
        <v>0</v>
      </c>
      <c r="I219" s="1050">
        <f t="shared" si="10"/>
        <v>0</v>
      </c>
      <c r="J219" s="1051">
        <f t="shared" si="11"/>
        <v>0</v>
      </c>
      <c r="K219" s="1043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897"/>
      <c r="W219" s="897"/>
      <c r="X219" s="897"/>
      <c r="Y219" s="897"/>
      <c r="Z219" s="897"/>
    </row>
    <row r="220" ht="15.75" customHeight="1">
      <c r="A220" s="308"/>
      <c r="B220" s="1026">
        <v>196.0</v>
      </c>
      <c r="C220" s="1048">
        <f t="shared" si="12"/>
        <v>51759</v>
      </c>
      <c r="D220" s="1049">
        <f t="shared" si="6"/>
        <v>9</v>
      </c>
      <c r="E220" s="1050">
        <f t="shared" si="7"/>
        <v>2041</v>
      </c>
      <c r="F220" s="1050">
        <f t="shared" si="13"/>
        <v>0.0000000008354183318</v>
      </c>
      <c r="G220" s="1050">
        <f t="shared" si="8"/>
        <v>0</v>
      </c>
      <c r="H220" s="1050">
        <f t="shared" si="9"/>
        <v>0</v>
      </c>
      <c r="I220" s="1050">
        <f t="shared" si="10"/>
        <v>0</v>
      </c>
      <c r="J220" s="1051">
        <f t="shared" si="11"/>
        <v>0</v>
      </c>
      <c r="K220" s="1043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897"/>
      <c r="W220" s="897"/>
      <c r="X220" s="897"/>
      <c r="Y220" s="897"/>
      <c r="Z220" s="897"/>
    </row>
    <row r="221" ht="15.75" customHeight="1">
      <c r="A221" s="308"/>
      <c r="B221" s="1026">
        <v>197.0</v>
      </c>
      <c r="C221" s="1048">
        <f t="shared" si="12"/>
        <v>51789</v>
      </c>
      <c r="D221" s="1049">
        <f t="shared" si="6"/>
        <v>10</v>
      </c>
      <c r="E221" s="1050">
        <f t="shared" si="7"/>
        <v>2041</v>
      </c>
      <c r="F221" s="1050">
        <f t="shared" si="13"/>
        <v>0.0000000008381682505</v>
      </c>
      <c r="G221" s="1050">
        <f t="shared" si="8"/>
        <v>0</v>
      </c>
      <c r="H221" s="1050">
        <f t="shared" si="9"/>
        <v>0</v>
      </c>
      <c r="I221" s="1050">
        <f t="shared" si="10"/>
        <v>0</v>
      </c>
      <c r="J221" s="1051">
        <f t="shared" si="11"/>
        <v>0</v>
      </c>
      <c r="K221" s="1043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897"/>
      <c r="W221" s="897"/>
      <c r="X221" s="897"/>
      <c r="Y221" s="897"/>
      <c r="Z221" s="897"/>
    </row>
    <row r="222" ht="15.75" customHeight="1">
      <c r="A222" s="308"/>
      <c r="B222" s="1026">
        <v>198.0</v>
      </c>
      <c r="C222" s="1048">
        <f t="shared" si="12"/>
        <v>51820</v>
      </c>
      <c r="D222" s="1049">
        <f t="shared" si="6"/>
        <v>11</v>
      </c>
      <c r="E222" s="1050">
        <f t="shared" si="7"/>
        <v>2041</v>
      </c>
      <c r="F222" s="1050">
        <f t="shared" si="13"/>
        <v>0.000000000840927221</v>
      </c>
      <c r="G222" s="1050">
        <f t="shared" si="8"/>
        <v>0</v>
      </c>
      <c r="H222" s="1050">
        <f t="shared" si="9"/>
        <v>0</v>
      </c>
      <c r="I222" s="1050">
        <f t="shared" si="10"/>
        <v>0</v>
      </c>
      <c r="J222" s="1051">
        <f t="shared" si="11"/>
        <v>0</v>
      </c>
      <c r="K222" s="1043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897"/>
      <c r="W222" s="897"/>
      <c r="X222" s="897"/>
      <c r="Y222" s="897"/>
      <c r="Z222" s="897"/>
    </row>
    <row r="223" ht="15.75" customHeight="1">
      <c r="A223" s="308"/>
      <c r="B223" s="1026">
        <v>199.0</v>
      </c>
      <c r="C223" s="1048">
        <f t="shared" si="12"/>
        <v>51850</v>
      </c>
      <c r="D223" s="1049">
        <f t="shared" si="6"/>
        <v>12</v>
      </c>
      <c r="E223" s="1050">
        <f t="shared" si="7"/>
        <v>2041</v>
      </c>
      <c r="F223" s="1050">
        <f t="shared" si="13"/>
        <v>0.0000000008436952731</v>
      </c>
      <c r="G223" s="1050">
        <f t="shared" si="8"/>
        <v>0</v>
      </c>
      <c r="H223" s="1050">
        <f t="shared" si="9"/>
        <v>0</v>
      </c>
      <c r="I223" s="1050">
        <f t="shared" si="10"/>
        <v>0</v>
      </c>
      <c r="J223" s="1051">
        <f t="shared" si="11"/>
        <v>0</v>
      </c>
      <c r="K223" s="1043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897"/>
      <c r="W223" s="897"/>
      <c r="X223" s="897"/>
      <c r="Y223" s="897"/>
      <c r="Z223" s="897"/>
    </row>
    <row r="224" ht="15.75" customHeight="1">
      <c r="A224" s="308"/>
      <c r="B224" s="1026">
        <v>200.0</v>
      </c>
      <c r="C224" s="1048">
        <f t="shared" si="12"/>
        <v>51881</v>
      </c>
      <c r="D224" s="1049">
        <f t="shared" si="6"/>
        <v>1</v>
      </c>
      <c r="E224" s="1050">
        <f t="shared" si="7"/>
        <v>2042</v>
      </c>
      <c r="F224" s="1050">
        <f t="shared" si="13"/>
        <v>0.0000000008464724367</v>
      </c>
      <c r="G224" s="1050">
        <f t="shared" si="8"/>
        <v>0</v>
      </c>
      <c r="H224" s="1050">
        <f t="shared" si="9"/>
        <v>0</v>
      </c>
      <c r="I224" s="1050">
        <f t="shared" si="10"/>
        <v>0</v>
      </c>
      <c r="J224" s="1051">
        <f t="shared" si="11"/>
        <v>0</v>
      </c>
      <c r="K224" s="1043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897"/>
      <c r="W224" s="897"/>
      <c r="X224" s="897"/>
      <c r="Y224" s="897"/>
      <c r="Z224" s="897"/>
    </row>
    <row r="225" ht="15.75" customHeight="1">
      <c r="A225" s="308"/>
      <c r="B225" s="1026">
        <v>201.0</v>
      </c>
      <c r="C225" s="1048">
        <f t="shared" si="12"/>
        <v>51912</v>
      </c>
      <c r="D225" s="1049">
        <f t="shared" si="6"/>
        <v>2</v>
      </c>
      <c r="E225" s="1050">
        <f t="shared" si="7"/>
        <v>2042</v>
      </c>
      <c r="F225" s="1050">
        <f t="shared" si="13"/>
        <v>0.0000000008492587418</v>
      </c>
      <c r="G225" s="1050">
        <f t="shared" si="8"/>
        <v>0</v>
      </c>
      <c r="H225" s="1050">
        <f t="shared" si="9"/>
        <v>0</v>
      </c>
      <c r="I225" s="1050">
        <f t="shared" si="10"/>
        <v>0</v>
      </c>
      <c r="J225" s="1051">
        <f t="shared" si="11"/>
        <v>0</v>
      </c>
      <c r="K225" s="1043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897"/>
      <c r="W225" s="897"/>
      <c r="X225" s="897"/>
      <c r="Y225" s="897"/>
      <c r="Z225" s="897"/>
    </row>
    <row r="226" ht="15.75" customHeight="1">
      <c r="A226" s="308"/>
      <c r="B226" s="1026">
        <v>202.0</v>
      </c>
      <c r="C226" s="1048">
        <f t="shared" si="12"/>
        <v>51940</v>
      </c>
      <c r="D226" s="1049">
        <f t="shared" si="6"/>
        <v>3</v>
      </c>
      <c r="E226" s="1050">
        <f t="shared" si="7"/>
        <v>2042</v>
      </c>
      <c r="F226" s="1050">
        <f t="shared" si="13"/>
        <v>0.0000000008520542185</v>
      </c>
      <c r="G226" s="1050">
        <f t="shared" si="8"/>
        <v>0</v>
      </c>
      <c r="H226" s="1050">
        <f t="shared" si="9"/>
        <v>0</v>
      </c>
      <c r="I226" s="1050">
        <f t="shared" si="10"/>
        <v>0</v>
      </c>
      <c r="J226" s="1051">
        <f t="shared" si="11"/>
        <v>0</v>
      </c>
      <c r="K226" s="1043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897"/>
      <c r="W226" s="897"/>
      <c r="X226" s="897"/>
      <c r="Y226" s="897"/>
      <c r="Z226" s="897"/>
    </row>
    <row r="227" ht="15.75" customHeight="1">
      <c r="A227" s="308"/>
      <c r="B227" s="1026">
        <v>203.0</v>
      </c>
      <c r="C227" s="1048">
        <f t="shared" si="12"/>
        <v>51971</v>
      </c>
      <c r="D227" s="1049">
        <f t="shared" si="6"/>
        <v>4</v>
      </c>
      <c r="E227" s="1050">
        <f t="shared" si="7"/>
        <v>2042</v>
      </c>
      <c r="F227" s="1050">
        <f t="shared" si="13"/>
        <v>0.0000000008548588969</v>
      </c>
      <c r="G227" s="1050">
        <f t="shared" si="8"/>
        <v>0</v>
      </c>
      <c r="H227" s="1050">
        <f t="shared" si="9"/>
        <v>0</v>
      </c>
      <c r="I227" s="1050">
        <f t="shared" si="10"/>
        <v>0</v>
      </c>
      <c r="J227" s="1051">
        <f t="shared" si="11"/>
        <v>0</v>
      </c>
      <c r="K227" s="1043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897"/>
      <c r="W227" s="897"/>
      <c r="X227" s="897"/>
      <c r="Y227" s="897"/>
      <c r="Z227" s="897"/>
    </row>
    <row r="228" ht="15.75" customHeight="1">
      <c r="A228" s="308"/>
      <c r="B228" s="1026">
        <v>204.0</v>
      </c>
      <c r="C228" s="1048">
        <f t="shared" si="12"/>
        <v>52001</v>
      </c>
      <c r="D228" s="1049">
        <f t="shared" si="6"/>
        <v>5</v>
      </c>
      <c r="E228" s="1050">
        <f t="shared" si="7"/>
        <v>2042</v>
      </c>
      <c r="F228" s="1050">
        <f t="shared" si="13"/>
        <v>0.0000000008576728075</v>
      </c>
      <c r="G228" s="1050">
        <f t="shared" si="8"/>
        <v>0</v>
      </c>
      <c r="H228" s="1050">
        <f t="shared" si="9"/>
        <v>0</v>
      </c>
      <c r="I228" s="1050">
        <f t="shared" si="10"/>
        <v>0</v>
      </c>
      <c r="J228" s="1051">
        <f t="shared" si="11"/>
        <v>0</v>
      </c>
      <c r="K228" s="1043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897"/>
      <c r="W228" s="897"/>
      <c r="X228" s="897"/>
      <c r="Y228" s="897"/>
      <c r="Z228" s="897"/>
    </row>
    <row r="229" ht="15.75" customHeight="1">
      <c r="A229" s="308"/>
      <c r="B229" s="1026">
        <v>205.0</v>
      </c>
      <c r="C229" s="1048">
        <f t="shared" si="12"/>
        <v>52032</v>
      </c>
      <c r="D229" s="1049">
        <f t="shared" si="6"/>
        <v>6</v>
      </c>
      <c r="E229" s="1050">
        <f t="shared" si="7"/>
        <v>2042</v>
      </c>
      <c r="F229" s="1050">
        <f t="shared" si="13"/>
        <v>0.0000000008604959805</v>
      </c>
      <c r="G229" s="1050">
        <f t="shared" si="8"/>
        <v>0</v>
      </c>
      <c r="H229" s="1050">
        <f t="shared" si="9"/>
        <v>0</v>
      </c>
      <c r="I229" s="1050">
        <f t="shared" si="10"/>
        <v>0</v>
      </c>
      <c r="J229" s="1051">
        <f t="shared" si="11"/>
        <v>0</v>
      </c>
      <c r="K229" s="1043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897"/>
      <c r="W229" s="897"/>
      <c r="X229" s="897"/>
      <c r="Y229" s="897"/>
      <c r="Z229" s="897"/>
    </row>
    <row r="230" ht="15.75" customHeight="1">
      <c r="A230" s="308"/>
      <c r="B230" s="1026">
        <v>206.0</v>
      </c>
      <c r="C230" s="1048">
        <f t="shared" si="12"/>
        <v>52062</v>
      </c>
      <c r="D230" s="1049">
        <f t="shared" si="6"/>
        <v>7</v>
      </c>
      <c r="E230" s="1050">
        <f t="shared" si="7"/>
        <v>2042</v>
      </c>
      <c r="F230" s="1050">
        <f t="shared" si="13"/>
        <v>0.0000000008633284464</v>
      </c>
      <c r="G230" s="1050">
        <f t="shared" si="8"/>
        <v>0</v>
      </c>
      <c r="H230" s="1050">
        <f t="shared" si="9"/>
        <v>0</v>
      </c>
      <c r="I230" s="1050">
        <f t="shared" si="10"/>
        <v>0</v>
      </c>
      <c r="J230" s="1051">
        <f t="shared" si="11"/>
        <v>0</v>
      </c>
      <c r="K230" s="1043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897"/>
      <c r="W230" s="897"/>
      <c r="X230" s="897"/>
      <c r="Y230" s="897"/>
      <c r="Z230" s="897"/>
    </row>
    <row r="231" ht="15.75" customHeight="1">
      <c r="A231" s="308"/>
      <c r="B231" s="1026">
        <v>207.0</v>
      </c>
      <c r="C231" s="1048">
        <f t="shared" si="12"/>
        <v>52093</v>
      </c>
      <c r="D231" s="1049">
        <f t="shared" si="6"/>
        <v>8</v>
      </c>
      <c r="E231" s="1050">
        <f t="shared" si="7"/>
        <v>2042</v>
      </c>
      <c r="F231" s="1050">
        <f t="shared" si="13"/>
        <v>0.0000000008661702359</v>
      </c>
      <c r="G231" s="1050">
        <f t="shared" si="8"/>
        <v>0</v>
      </c>
      <c r="H231" s="1050">
        <f t="shared" si="9"/>
        <v>0</v>
      </c>
      <c r="I231" s="1050">
        <f t="shared" si="10"/>
        <v>0</v>
      </c>
      <c r="J231" s="1051">
        <f t="shared" si="11"/>
        <v>0</v>
      </c>
      <c r="K231" s="1043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897"/>
      <c r="W231" s="897"/>
      <c r="X231" s="897"/>
      <c r="Y231" s="897"/>
      <c r="Z231" s="897"/>
    </row>
    <row r="232" ht="15.75" customHeight="1">
      <c r="A232" s="308"/>
      <c r="B232" s="1026">
        <v>208.0</v>
      </c>
      <c r="C232" s="1048">
        <f t="shared" si="12"/>
        <v>52124</v>
      </c>
      <c r="D232" s="1049">
        <f t="shared" si="6"/>
        <v>9</v>
      </c>
      <c r="E232" s="1050">
        <f t="shared" si="7"/>
        <v>2042</v>
      </c>
      <c r="F232" s="1050">
        <f t="shared" si="13"/>
        <v>0.0000000008690213796</v>
      </c>
      <c r="G232" s="1050">
        <f t="shared" si="8"/>
        <v>0</v>
      </c>
      <c r="H232" s="1050">
        <f t="shared" si="9"/>
        <v>0</v>
      </c>
      <c r="I232" s="1050">
        <f t="shared" si="10"/>
        <v>0</v>
      </c>
      <c r="J232" s="1051">
        <f t="shared" si="11"/>
        <v>0</v>
      </c>
      <c r="K232" s="1043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897"/>
      <c r="W232" s="897"/>
      <c r="X232" s="897"/>
      <c r="Y232" s="897"/>
      <c r="Z232" s="897"/>
    </row>
    <row r="233" ht="15.75" customHeight="1">
      <c r="A233" s="308"/>
      <c r="B233" s="1026">
        <v>209.0</v>
      </c>
      <c r="C233" s="1048">
        <f t="shared" si="12"/>
        <v>52154</v>
      </c>
      <c r="D233" s="1049">
        <f t="shared" si="6"/>
        <v>10</v>
      </c>
      <c r="E233" s="1050">
        <f t="shared" si="7"/>
        <v>2042</v>
      </c>
      <c r="F233" s="1050">
        <f t="shared" si="13"/>
        <v>0.0000000008718819083</v>
      </c>
      <c r="G233" s="1050">
        <f t="shared" si="8"/>
        <v>0</v>
      </c>
      <c r="H233" s="1050">
        <f t="shared" si="9"/>
        <v>0</v>
      </c>
      <c r="I233" s="1050">
        <f t="shared" si="10"/>
        <v>0</v>
      </c>
      <c r="J233" s="1051">
        <f t="shared" si="11"/>
        <v>0</v>
      </c>
      <c r="K233" s="1043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897"/>
      <c r="W233" s="897"/>
      <c r="X233" s="897"/>
      <c r="Y233" s="897"/>
      <c r="Z233" s="897"/>
    </row>
    <row r="234" ht="15.75" customHeight="1">
      <c r="A234" s="308"/>
      <c r="B234" s="1026">
        <v>210.0</v>
      </c>
      <c r="C234" s="1048">
        <f t="shared" si="12"/>
        <v>52185</v>
      </c>
      <c r="D234" s="1049">
        <f t="shared" si="6"/>
        <v>11</v>
      </c>
      <c r="E234" s="1050">
        <f t="shared" si="7"/>
        <v>2042</v>
      </c>
      <c r="F234" s="1050">
        <f t="shared" si="13"/>
        <v>0.0000000008747518529</v>
      </c>
      <c r="G234" s="1050">
        <f t="shared" si="8"/>
        <v>0</v>
      </c>
      <c r="H234" s="1050">
        <f t="shared" si="9"/>
        <v>0</v>
      </c>
      <c r="I234" s="1050">
        <f t="shared" si="10"/>
        <v>0</v>
      </c>
      <c r="J234" s="1051">
        <f t="shared" si="11"/>
        <v>0</v>
      </c>
      <c r="K234" s="1043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897"/>
      <c r="W234" s="897"/>
      <c r="X234" s="897"/>
      <c r="Y234" s="897"/>
      <c r="Z234" s="897"/>
    </row>
    <row r="235" ht="15.75" customHeight="1">
      <c r="A235" s="308"/>
      <c r="B235" s="1026">
        <v>211.0</v>
      </c>
      <c r="C235" s="1048">
        <f t="shared" si="12"/>
        <v>52215</v>
      </c>
      <c r="D235" s="1049">
        <f t="shared" si="6"/>
        <v>12</v>
      </c>
      <c r="E235" s="1050">
        <f t="shared" si="7"/>
        <v>2042</v>
      </c>
      <c r="F235" s="1050">
        <f t="shared" si="13"/>
        <v>0.0000000008776312444</v>
      </c>
      <c r="G235" s="1050">
        <f t="shared" si="8"/>
        <v>0</v>
      </c>
      <c r="H235" s="1050">
        <f t="shared" si="9"/>
        <v>0</v>
      </c>
      <c r="I235" s="1050">
        <f t="shared" si="10"/>
        <v>0</v>
      </c>
      <c r="J235" s="1051">
        <f t="shared" si="11"/>
        <v>0</v>
      </c>
      <c r="K235" s="1043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897"/>
      <c r="W235" s="897"/>
      <c r="X235" s="897"/>
      <c r="Y235" s="897"/>
      <c r="Z235" s="897"/>
    </row>
    <row r="236" ht="15.75" customHeight="1">
      <c r="A236" s="308"/>
      <c r="B236" s="1026">
        <v>212.0</v>
      </c>
      <c r="C236" s="1048">
        <f t="shared" si="12"/>
        <v>52246</v>
      </c>
      <c r="D236" s="1049">
        <f t="shared" si="6"/>
        <v>1</v>
      </c>
      <c r="E236" s="1050">
        <f t="shared" si="7"/>
        <v>2043</v>
      </c>
      <c r="F236" s="1050">
        <f t="shared" si="13"/>
        <v>0.0000000008805201139</v>
      </c>
      <c r="G236" s="1050">
        <f t="shared" si="8"/>
        <v>0</v>
      </c>
      <c r="H236" s="1050">
        <f t="shared" si="9"/>
        <v>0</v>
      </c>
      <c r="I236" s="1050">
        <f t="shared" si="10"/>
        <v>0</v>
      </c>
      <c r="J236" s="1051">
        <f t="shared" si="11"/>
        <v>0</v>
      </c>
      <c r="K236" s="1043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897"/>
      <c r="W236" s="897"/>
      <c r="X236" s="897"/>
      <c r="Y236" s="897"/>
      <c r="Z236" s="897"/>
    </row>
    <row r="237" ht="15.75" customHeight="1">
      <c r="A237" s="308"/>
      <c r="B237" s="1026">
        <v>213.0</v>
      </c>
      <c r="C237" s="1048">
        <f t="shared" si="12"/>
        <v>52277</v>
      </c>
      <c r="D237" s="1049">
        <f t="shared" si="6"/>
        <v>2</v>
      </c>
      <c r="E237" s="1050">
        <f t="shared" si="7"/>
        <v>2043</v>
      </c>
      <c r="F237" s="1050">
        <f t="shared" si="13"/>
        <v>0.0000000008834184926</v>
      </c>
      <c r="G237" s="1050">
        <f t="shared" si="8"/>
        <v>0</v>
      </c>
      <c r="H237" s="1050">
        <f t="shared" si="9"/>
        <v>0</v>
      </c>
      <c r="I237" s="1050">
        <f t="shared" si="10"/>
        <v>0</v>
      </c>
      <c r="J237" s="1051">
        <f t="shared" si="11"/>
        <v>0</v>
      </c>
      <c r="K237" s="1043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897"/>
      <c r="W237" s="897"/>
      <c r="X237" s="897"/>
      <c r="Y237" s="897"/>
      <c r="Z237" s="897"/>
    </row>
    <row r="238" ht="15.75" customHeight="1">
      <c r="A238" s="308"/>
      <c r="B238" s="1026">
        <v>214.0</v>
      </c>
      <c r="C238" s="1048">
        <f t="shared" si="12"/>
        <v>52305</v>
      </c>
      <c r="D238" s="1049">
        <f t="shared" si="6"/>
        <v>3</v>
      </c>
      <c r="E238" s="1050">
        <f t="shared" si="7"/>
        <v>2043</v>
      </c>
      <c r="F238" s="1050">
        <f t="shared" si="13"/>
        <v>0.0000000008863264118</v>
      </c>
      <c r="G238" s="1050">
        <f t="shared" si="8"/>
        <v>0</v>
      </c>
      <c r="H238" s="1050">
        <f t="shared" si="9"/>
        <v>0</v>
      </c>
      <c r="I238" s="1050">
        <f t="shared" si="10"/>
        <v>0</v>
      </c>
      <c r="J238" s="1051">
        <f t="shared" si="11"/>
        <v>0</v>
      </c>
      <c r="K238" s="1043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897"/>
      <c r="W238" s="897"/>
      <c r="X238" s="897"/>
      <c r="Y238" s="897"/>
      <c r="Z238" s="897"/>
    </row>
    <row r="239" ht="15.75" customHeight="1">
      <c r="A239" s="308"/>
      <c r="B239" s="1026">
        <v>215.0</v>
      </c>
      <c r="C239" s="1048">
        <f t="shared" si="12"/>
        <v>52336</v>
      </c>
      <c r="D239" s="1049">
        <f t="shared" si="6"/>
        <v>4</v>
      </c>
      <c r="E239" s="1050">
        <f t="shared" si="7"/>
        <v>2043</v>
      </c>
      <c r="F239" s="1050">
        <f t="shared" si="13"/>
        <v>0.0000000008892439029</v>
      </c>
      <c r="G239" s="1050">
        <f t="shared" si="8"/>
        <v>0</v>
      </c>
      <c r="H239" s="1050">
        <f t="shared" si="9"/>
        <v>0</v>
      </c>
      <c r="I239" s="1050">
        <f t="shared" si="10"/>
        <v>0</v>
      </c>
      <c r="J239" s="1051">
        <f t="shared" si="11"/>
        <v>0</v>
      </c>
      <c r="K239" s="1043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897"/>
      <c r="W239" s="897"/>
      <c r="X239" s="897"/>
      <c r="Y239" s="897"/>
      <c r="Z239" s="897"/>
    </row>
    <row r="240" ht="15.75" customHeight="1">
      <c r="A240" s="308"/>
      <c r="B240" s="1026">
        <v>216.0</v>
      </c>
      <c r="C240" s="1048">
        <f t="shared" si="12"/>
        <v>52366</v>
      </c>
      <c r="D240" s="1049">
        <f t="shared" si="6"/>
        <v>5</v>
      </c>
      <c r="E240" s="1050">
        <f t="shared" si="7"/>
        <v>2043</v>
      </c>
      <c r="F240" s="1050">
        <f t="shared" si="13"/>
        <v>0.0000000008921709974</v>
      </c>
      <c r="G240" s="1050">
        <f t="shared" si="8"/>
        <v>0</v>
      </c>
      <c r="H240" s="1050">
        <f t="shared" si="9"/>
        <v>0</v>
      </c>
      <c r="I240" s="1050">
        <f t="shared" si="10"/>
        <v>0</v>
      </c>
      <c r="J240" s="1051">
        <f t="shared" si="11"/>
        <v>0</v>
      </c>
      <c r="K240" s="1043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897"/>
      <c r="W240" s="897"/>
      <c r="X240" s="897"/>
      <c r="Y240" s="897"/>
      <c r="Z240" s="897"/>
    </row>
    <row r="241" ht="15.75" customHeight="1">
      <c r="A241" s="308"/>
      <c r="B241" s="1026">
        <v>217.0</v>
      </c>
      <c r="C241" s="1048">
        <f t="shared" si="12"/>
        <v>52397</v>
      </c>
      <c r="D241" s="1049">
        <f t="shared" si="6"/>
        <v>6</v>
      </c>
      <c r="E241" s="1050">
        <f t="shared" si="7"/>
        <v>2043</v>
      </c>
      <c r="F241" s="1050">
        <f t="shared" si="13"/>
        <v>0.000000000895107727</v>
      </c>
      <c r="G241" s="1050">
        <f t="shared" si="8"/>
        <v>0</v>
      </c>
      <c r="H241" s="1050">
        <f t="shared" si="9"/>
        <v>0</v>
      </c>
      <c r="I241" s="1050">
        <f t="shared" si="10"/>
        <v>0</v>
      </c>
      <c r="J241" s="1051">
        <f t="shared" si="11"/>
        <v>0</v>
      </c>
      <c r="K241" s="1043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897"/>
      <c r="W241" s="897"/>
      <c r="X241" s="897"/>
      <c r="Y241" s="897"/>
      <c r="Z241" s="897"/>
    </row>
    <row r="242" ht="15.75" customHeight="1">
      <c r="A242" s="308"/>
      <c r="B242" s="1026">
        <v>218.0</v>
      </c>
      <c r="C242" s="1048">
        <f t="shared" si="12"/>
        <v>52427</v>
      </c>
      <c r="D242" s="1049">
        <f t="shared" si="6"/>
        <v>7</v>
      </c>
      <c r="E242" s="1050">
        <f t="shared" si="7"/>
        <v>2043</v>
      </c>
      <c r="F242" s="1050">
        <f t="shared" si="13"/>
        <v>0.0000000008980541232</v>
      </c>
      <c r="G242" s="1050">
        <f t="shared" si="8"/>
        <v>0</v>
      </c>
      <c r="H242" s="1050">
        <f t="shared" si="9"/>
        <v>0</v>
      </c>
      <c r="I242" s="1050">
        <f t="shared" si="10"/>
        <v>0</v>
      </c>
      <c r="J242" s="1051">
        <f t="shared" si="11"/>
        <v>0</v>
      </c>
      <c r="K242" s="1043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897"/>
      <c r="W242" s="897"/>
      <c r="X242" s="897"/>
      <c r="Y242" s="897"/>
      <c r="Z242" s="897"/>
    </row>
    <row r="243" ht="15.75" customHeight="1">
      <c r="A243" s="308"/>
      <c r="B243" s="1026">
        <v>219.0</v>
      </c>
      <c r="C243" s="1048">
        <f t="shared" si="12"/>
        <v>52458</v>
      </c>
      <c r="D243" s="1049">
        <f t="shared" si="6"/>
        <v>8</v>
      </c>
      <c r="E243" s="1050">
        <f t="shared" si="7"/>
        <v>2043</v>
      </c>
      <c r="F243" s="1050">
        <f t="shared" si="13"/>
        <v>0.0000000009010102181</v>
      </c>
      <c r="G243" s="1050">
        <f t="shared" si="8"/>
        <v>0</v>
      </c>
      <c r="H243" s="1050">
        <f t="shared" si="9"/>
        <v>0</v>
      </c>
      <c r="I243" s="1050">
        <f t="shared" si="10"/>
        <v>0</v>
      </c>
      <c r="J243" s="1051">
        <f t="shared" si="11"/>
        <v>0</v>
      </c>
      <c r="K243" s="1043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897"/>
      <c r="W243" s="897"/>
      <c r="X243" s="897"/>
      <c r="Y243" s="897"/>
      <c r="Z243" s="897"/>
    </row>
    <row r="244" ht="15.75" customHeight="1">
      <c r="A244" s="308"/>
      <c r="B244" s="1026">
        <v>220.0</v>
      </c>
      <c r="C244" s="1048">
        <f t="shared" si="12"/>
        <v>52489</v>
      </c>
      <c r="D244" s="1049">
        <f t="shared" si="6"/>
        <v>9</v>
      </c>
      <c r="E244" s="1050">
        <f t="shared" si="7"/>
        <v>2043</v>
      </c>
      <c r="F244" s="1050">
        <f t="shared" si="13"/>
        <v>0.0000000009039760434</v>
      </c>
      <c r="G244" s="1050">
        <f t="shared" si="8"/>
        <v>0</v>
      </c>
      <c r="H244" s="1050">
        <f t="shared" si="9"/>
        <v>0</v>
      </c>
      <c r="I244" s="1050">
        <f t="shared" si="10"/>
        <v>0</v>
      </c>
      <c r="J244" s="1051">
        <f t="shared" si="11"/>
        <v>0</v>
      </c>
      <c r="K244" s="1043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897"/>
      <c r="W244" s="897"/>
      <c r="X244" s="897"/>
      <c r="Y244" s="897"/>
      <c r="Z244" s="897"/>
    </row>
    <row r="245" ht="15.75" customHeight="1">
      <c r="A245" s="308"/>
      <c r="B245" s="1026">
        <v>221.0</v>
      </c>
      <c r="C245" s="1048">
        <f t="shared" si="12"/>
        <v>52519</v>
      </c>
      <c r="D245" s="1049">
        <f t="shared" si="6"/>
        <v>10</v>
      </c>
      <c r="E245" s="1050">
        <f t="shared" si="7"/>
        <v>2043</v>
      </c>
      <c r="F245" s="1050">
        <f t="shared" si="13"/>
        <v>0.0000000009069516312</v>
      </c>
      <c r="G245" s="1050">
        <f t="shared" si="8"/>
        <v>0</v>
      </c>
      <c r="H245" s="1050">
        <f t="shared" si="9"/>
        <v>0</v>
      </c>
      <c r="I245" s="1050">
        <f t="shared" si="10"/>
        <v>0</v>
      </c>
      <c r="J245" s="1051">
        <f t="shared" si="11"/>
        <v>0</v>
      </c>
      <c r="K245" s="1043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897"/>
      <c r="W245" s="897"/>
      <c r="X245" s="897"/>
      <c r="Y245" s="897"/>
      <c r="Z245" s="897"/>
    </row>
    <row r="246" ht="15.75" customHeight="1">
      <c r="A246" s="308"/>
      <c r="B246" s="1026">
        <v>222.0</v>
      </c>
      <c r="C246" s="1048">
        <f t="shared" si="12"/>
        <v>52550</v>
      </c>
      <c r="D246" s="1049">
        <f t="shared" si="6"/>
        <v>11</v>
      </c>
      <c r="E246" s="1050">
        <f t="shared" si="7"/>
        <v>2043</v>
      </c>
      <c r="F246" s="1050">
        <f t="shared" si="13"/>
        <v>0.0000000009099370136</v>
      </c>
      <c r="G246" s="1050">
        <f t="shared" si="8"/>
        <v>0</v>
      </c>
      <c r="H246" s="1050">
        <f t="shared" si="9"/>
        <v>0</v>
      </c>
      <c r="I246" s="1050">
        <f t="shared" si="10"/>
        <v>0</v>
      </c>
      <c r="J246" s="1051">
        <f t="shared" si="11"/>
        <v>0</v>
      </c>
      <c r="K246" s="1043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897"/>
      <c r="W246" s="897"/>
      <c r="X246" s="897"/>
      <c r="Y246" s="897"/>
      <c r="Z246" s="897"/>
    </row>
    <row r="247" ht="15.75" customHeight="1">
      <c r="A247" s="308"/>
      <c r="B247" s="1026">
        <v>223.0</v>
      </c>
      <c r="C247" s="1048">
        <f t="shared" si="12"/>
        <v>52580</v>
      </c>
      <c r="D247" s="1049">
        <f t="shared" si="6"/>
        <v>12</v>
      </c>
      <c r="E247" s="1050">
        <f t="shared" si="7"/>
        <v>2043</v>
      </c>
      <c r="F247" s="1050">
        <f t="shared" si="13"/>
        <v>0.000000000912932223</v>
      </c>
      <c r="G247" s="1050">
        <f t="shared" si="8"/>
        <v>0</v>
      </c>
      <c r="H247" s="1050">
        <f t="shared" si="9"/>
        <v>0</v>
      </c>
      <c r="I247" s="1050">
        <f t="shared" si="10"/>
        <v>0</v>
      </c>
      <c r="J247" s="1051">
        <f t="shared" si="11"/>
        <v>0</v>
      </c>
      <c r="K247" s="1043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897"/>
      <c r="W247" s="897"/>
      <c r="X247" s="897"/>
      <c r="Y247" s="897"/>
      <c r="Z247" s="897"/>
    </row>
    <row r="248" ht="15.75" customHeight="1">
      <c r="A248" s="308"/>
      <c r="B248" s="1026">
        <v>224.0</v>
      </c>
      <c r="C248" s="1048">
        <f t="shared" si="12"/>
        <v>52611</v>
      </c>
      <c r="D248" s="1049">
        <f t="shared" si="6"/>
        <v>1</v>
      </c>
      <c r="E248" s="1050">
        <f t="shared" si="7"/>
        <v>2044</v>
      </c>
      <c r="F248" s="1050">
        <f t="shared" si="13"/>
        <v>0.0000000009159372915</v>
      </c>
      <c r="G248" s="1050">
        <f t="shared" si="8"/>
        <v>0</v>
      </c>
      <c r="H248" s="1050">
        <f t="shared" si="9"/>
        <v>0</v>
      </c>
      <c r="I248" s="1050">
        <f t="shared" si="10"/>
        <v>0</v>
      </c>
      <c r="J248" s="1051">
        <f t="shared" si="11"/>
        <v>0</v>
      </c>
      <c r="K248" s="1043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897"/>
      <c r="W248" s="897"/>
      <c r="X248" s="897"/>
      <c r="Y248" s="897"/>
      <c r="Z248" s="897"/>
    </row>
    <row r="249" ht="15.75" customHeight="1">
      <c r="A249" s="308"/>
      <c r="B249" s="1026">
        <v>225.0</v>
      </c>
      <c r="C249" s="1048">
        <f t="shared" si="12"/>
        <v>52642</v>
      </c>
      <c r="D249" s="1049">
        <f t="shared" si="6"/>
        <v>2</v>
      </c>
      <c r="E249" s="1050">
        <f t="shared" si="7"/>
        <v>2044</v>
      </c>
      <c r="F249" s="1050">
        <f t="shared" si="13"/>
        <v>0.0000000009189522518</v>
      </c>
      <c r="G249" s="1050">
        <f t="shared" si="8"/>
        <v>0</v>
      </c>
      <c r="H249" s="1050">
        <f t="shared" si="9"/>
        <v>0</v>
      </c>
      <c r="I249" s="1050">
        <f t="shared" si="10"/>
        <v>0</v>
      </c>
      <c r="J249" s="1051">
        <f t="shared" si="11"/>
        <v>0</v>
      </c>
      <c r="K249" s="1043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897"/>
      <c r="W249" s="897"/>
      <c r="X249" s="897"/>
      <c r="Y249" s="897"/>
      <c r="Z249" s="897"/>
    </row>
    <row r="250" ht="15.75" customHeight="1">
      <c r="A250" s="308"/>
      <c r="B250" s="1026">
        <v>226.0</v>
      </c>
      <c r="C250" s="1048">
        <f t="shared" si="12"/>
        <v>52671</v>
      </c>
      <c r="D250" s="1049">
        <f t="shared" si="6"/>
        <v>3</v>
      </c>
      <c r="E250" s="1050">
        <f t="shared" si="7"/>
        <v>2044</v>
      </c>
      <c r="F250" s="1050">
        <f t="shared" si="13"/>
        <v>0.0000000009219771363</v>
      </c>
      <c r="G250" s="1050">
        <f t="shared" si="8"/>
        <v>0</v>
      </c>
      <c r="H250" s="1050">
        <f t="shared" si="9"/>
        <v>0</v>
      </c>
      <c r="I250" s="1050">
        <f t="shared" si="10"/>
        <v>0</v>
      </c>
      <c r="J250" s="1051">
        <f t="shared" si="11"/>
        <v>0</v>
      </c>
      <c r="K250" s="1043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897"/>
      <c r="W250" s="897"/>
      <c r="X250" s="897"/>
      <c r="Y250" s="897"/>
      <c r="Z250" s="897"/>
    </row>
    <row r="251" ht="15.75" customHeight="1">
      <c r="A251" s="308"/>
      <c r="B251" s="1026">
        <v>227.0</v>
      </c>
      <c r="C251" s="1048">
        <f t="shared" si="12"/>
        <v>52702</v>
      </c>
      <c r="D251" s="1049">
        <f t="shared" si="6"/>
        <v>4</v>
      </c>
      <c r="E251" s="1050">
        <f t="shared" si="7"/>
        <v>2044</v>
      </c>
      <c r="F251" s="1050">
        <f t="shared" si="13"/>
        <v>0.0000000009250119777</v>
      </c>
      <c r="G251" s="1050">
        <f t="shared" si="8"/>
        <v>0</v>
      </c>
      <c r="H251" s="1050">
        <f t="shared" si="9"/>
        <v>0</v>
      </c>
      <c r="I251" s="1050">
        <f t="shared" si="10"/>
        <v>0</v>
      </c>
      <c r="J251" s="1051">
        <f t="shared" si="11"/>
        <v>0</v>
      </c>
      <c r="K251" s="1043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897"/>
      <c r="W251" s="897"/>
      <c r="X251" s="897"/>
      <c r="Y251" s="897"/>
      <c r="Z251" s="897"/>
    </row>
    <row r="252" ht="15.75" customHeight="1">
      <c r="A252" s="308"/>
      <c r="B252" s="1026">
        <v>228.0</v>
      </c>
      <c r="C252" s="1048">
        <f t="shared" si="12"/>
        <v>52732</v>
      </c>
      <c r="D252" s="1049">
        <f t="shared" si="6"/>
        <v>5</v>
      </c>
      <c r="E252" s="1050">
        <f t="shared" si="7"/>
        <v>2044</v>
      </c>
      <c r="F252" s="1050">
        <f t="shared" si="13"/>
        <v>0.0000000009280568088</v>
      </c>
      <c r="G252" s="1050">
        <f t="shared" si="8"/>
        <v>0</v>
      </c>
      <c r="H252" s="1050">
        <f t="shared" si="9"/>
        <v>0</v>
      </c>
      <c r="I252" s="1050">
        <f t="shared" si="10"/>
        <v>0</v>
      </c>
      <c r="J252" s="1051">
        <f t="shared" si="11"/>
        <v>0</v>
      </c>
      <c r="K252" s="1043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897"/>
      <c r="W252" s="897"/>
      <c r="X252" s="897"/>
      <c r="Y252" s="897"/>
      <c r="Z252" s="897"/>
    </row>
    <row r="253" ht="15.75" customHeight="1">
      <c r="A253" s="308"/>
      <c r="B253" s="1026">
        <v>229.0</v>
      </c>
      <c r="C253" s="1048">
        <f t="shared" si="12"/>
        <v>52763</v>
      </c>
      <c r="D253" s="1049">
        <f t="shared" si="6"/>
        <v>6</v>
      </c>
      <c r="E253" s="1050">
        <f t="shared" si="7"/>
        <v>2044</v>
      </c>
      <c r="F253" s="1050">
        <f t="shared" si="13"/>
        <v>0.0000000009311116624</v>
      </c>
      <c r="G253" s="1050">
        <f t="shared" si="8"/>
        <v>0</v>
      </c>
      <c r="H253" s="1050">
        <f t="shared" si="9"/>
        <v>0</v>
      </c>
      <c r="I253" s="1050">
        <f t="shared" si="10"/>
        <v>0</v>
      </c>
      <c r="J253" s="1051">
        <f t="shared" si="11"/>
        <v>0</v>
      </c>
      <c r="K253" s="1043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897"/>
      <c r="W253" s="897"/>
      <c r="X253" s="897"/>
      <c r="Y253" s="897"/>
      <c r="Z253" s="897"/>
    </row>
    <row r="254" ht="15.75" customHeight="1">
      <c r="A254" s="308"/>
      <c r="B254" s="1026">
        <v>230.0</v>
      </c>
      <c r="C254" s="1048">
        <f t="shared" si="12"/>
        <v>52793</v>
      </c>
      <c r="D254" s="1049">
        <f t="shared" si="6"/>
        <v>7</v>
      </c>
      <c r="E254" s="1050">
        <f t="shared" si="7"/>
        <v>2044</v>
      </c>
      <c r="F254" s="1050">
        <f t="shared" si="13"/>
        <v>0.0000000009341765717</v>
      </c>
      <c r="G254" s="1050">
        <f t="shared" si="8"/>
        <v>0</v>
      </c>
      <c r="H254" s="1050">
        <f t="shared" si="9"/>
        <v>0</v>
      </c>
      <c r="I254" s="1050">
        <f t="shared" si="10"/>
        <v>0</v>
      </c>
      <c r="J254" s="1051">
        <f t="shared" si="11"/>
        <v>0</v>
      </c>
      <c r="K254" s="1043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897"/>
      <c r="W254" s="897"/>
      <c r="X254" s="897"/>
      <c r="Y254" s="897"/>
      <c r="Z254" s="897"/>
    </row>
    <row r="255" ht="15.75" customHeight="1">
      <c r="A255" s="308"/>
      <c r="B255" s="1026">
        <v>231.0</v>
      </c>
      <c r="C255" s="1048">
        <f t="shared" si="12"/>
        <v>52824</v>
      </c>
      <c r="D255" s="1049">
        <f t="shared" si="6"/>
        <v>8</v>
      </c>
      <c r="E255" s="1050">
        <f t="shared" si="7"/>
        <v>2044</v>
      </c>
      <c r="F255" s="1050">
        <f t="shared" si="13"/>
        <v>0.0000000009372515695</v>
      </c>
      <c r="G255" s="1050">
        <f t="shared" si="8"/>
        <v>0</v>
      </c>
      <c r="H255" s="1050">
        <f t="shared" si="9"/>
        <v>0</v>
      </c>
      <c r="I255" s="1050">
        <f t="shared" si="10"/>
        <v>0</v>
      </c>
      <c r="J255" s="1051">
        <f t="shared" si="11"/>
        <v>0</v>
      </c>
      <c r="K255" s="1043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897"/>
      <c r="W255" s="897"/>
      <c r="X255" s="897"/>
      <c r="Y255" s="897"/>
      <c r="Z255" s="897"/>
    </row>
    <row r="256" ht="15.75" customHeight="1">
      <c r="A256" s="308"/>
      <c r="B256" s="1026">
        <v>232.0</v>
      </c>
      <c r="C256" s="1048">
        <f t="shared" si="12"/>
        <v>52855</v>
      </c>
      <c r="D256" s="1049">
        <f t="shared" si="6"/>
        <v>9</v>
      </c>
      <c r="E256" s="1050">
        <f t="shared" si="7"/>
        <v>2044</v>
      </c>
      <c r="F256" s="1050">
        <f t="shared" si="13"/>
        <v>0.0000000009403366893</v>
      </c>
      <c r="G256" s="1050">
        <f t="shared" si="8"/>
        <v>0</v>
      </c>
      <c r="H256" s="1050">
        <f t="shared" si="9"/>
        <v>0</v>
      </c>
      <c r="I256" s="1050">
        <f t="shared" si="10"/>
        <v>0</v>
      </c>
      <c r="J256" s="1051">
        <f t="shared" si="11"/>
        <v>0</v>
      </c>
      <c r="K256" s="1043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897"/>
      <c r="W256" s="897"/>
      <c r="X256" s="897"/>
      <c r="Y256" s="897"/>
      <c r="Z256" s="897"/>
    </row>
    <row r="257" ht="15.75" customHeight="1">
      <c r="A257" s="308"/>
      <c r="B257" s="1026">
        <v>233.0</v>
      </c>
      <c r="C257" s="1048">
        <f t="shared" si="12"/>
        <v>52885</v>
      </c>
      <c r="D257" s="1049">
        <f t="shared" si="6"/>
        <v>10</v>
      </c>
      <c r="E257" s="1050">
        <f t="shared" si="7"/>
        <v>2044</v>
      </c>
      <c r="F257" s="1050">
        <f t="shared" si="13"/>
        <v>0.0000000009434319642</v>
      </c>
      <c r="G257" s="1050">
        <f t="shared" si="8"/>
        <v>0</v>
      </c>
      <c r="H257" s="1050">
        <f t="shared" si="9"/>
        <v>0</v>
      </c>
      <c r="I257" s="1050">
        <f t="shared" si="10"/>
        <v>0</v>
      </c>
      <c r="J257" s="1051">
        <f t="shared" si="11"/>
        <v>0</v>
      </c>
      <c r="K257" s="1043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897"/>
      <c r="W257" s="897"/>
      <c r="X257" s="897"/>
      <c r="Y257" s="897"/>
      <c r="Z257" s="897"/>
    </row>
    <row r="258" ht="15.75" customHeight="1">
      <c r="A258" s="308"/>
      <c r="B258" s="1026">
        <v>234.0</v>
      </c>
      <c r="C258" s="1048">
        <f t="shared" si="12"/>
        <v>52916</v>
      </c>
      <c r="D258" s="1049">
        <f t="shared" si="6"/>
        <v>11</v>
      </c>
      <c r="E258" s="1050">
        <f t="shared" si="7"/>
        <v>2044</v>
      </c>
      <c r="F258" s="1050">
        <f t="shared" si="13"/>
        <v>0.0000000009465374278</v>
      </c>
      <c r="G258" s="1050">
        <f t="shared" si="8"/>
        <v>0</v>
      </c>
      <c r="H258" s="1050">
        <f t="shared" si="9"/>
        <v>0</v>
      </c>
      <c r="I258" s="1050">
        <f t="shared" si="10"/>
        <v>0</v>
      </c>
      <c r="J258" s="1051">
        <f t="shared" si="11"/>
        <v>0</v>
      </c>
      <c r="K258" s="1043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897"/>
      <c r="W258" s="897"/>
      <c r="X258" s="897"/>
      <c r="Y258" s="897"/>
      <c r="Z258" s="897"/>
    </row>
    <row r="259" ht="15.75" customHeight="1">
      <c r="A259" s="308"/>
      <c r="B259" s="1026">
        <v>235.0</v>
      </c>
      <c r="C259" s="1048">
        <f t="shared" si="12"/>
        <v>52946</v>
      </c>
      <c r="D259" s="1049">
        <f t="shared" si="6"/>
        <v>12</v>
      </c>
      <c r="E259" s="1050">
        <f t="shared" si="7"/>
        <v>2044</v>
      </c>
      <c r="F259" s="1050">
        <f t="shared" si="13"/>
        <v>0.0000000009496531135</v>
      </c>
      <c r="G259" s="1050">
        <f t="shared" si="8"/>
        <v>0</v>
      </c>
      <c r="H259" s="1050">
        <f t="shared" si="9"/>
        <v>0</v>
      </c>
      <c r="I259" s="1050">
        <f t="shared" si="10"/>
        <v>0</v>
      </c>
      <c r="J259" s="1051">
        <f t="shared" si="11"/>
        <v>0</v>
      </c>
      <c r="K259" s="1043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897"/>
      <c r="W259" s="897"/>
      <c r="X259" s="897"/>
      <c r="Y259" s="897"/>
      <c r="Z259" s="897"/>
    </row>
    <row r="260" ht="15.75" customHeight="1">
      <c r="A260" s="308"/>
      <c r="B260" s="1026">
        <v>236.0</v>
      </c>
      <c r="C260" s="1048">
        <f t="shared" si="12"/>
        <v>52977</v>
      </c>
      <c r="D260" s="1049">
        <f t="shared" si="6"/>
        <v>1</v>
      </c>
      <c r="E260" s="1050">
        <f t="shared" si="7"/>
        <v>2045</v>
      </c>
      <c r="F260" s="1050">
        <f t="shared" si="13"/>
        <v>0.000000000952779055</v>
      </c>
      <c r="G260" s="1050">
        <f t="shared" si="8"/>
        <v>0</v>
      </c>
      <c r="H260" s="1050">
        <f t="shared" si="9"/>
        <v>0</v>
      </c>
      <c r="I260" s="1050">
        <f t="shared" si="10"/>
        <v>0</v>
      </c>
      <c r="J260" s="1051">
        <f t="shared" si="11"/>
        <v>0</v>
      </c>
      <c r="K260" s="1043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897"/>
      <c r="W260" s="897"/>
      <c r="X260" s="897"/>
      <c r="Y260" s="897"/>
      <c r="Z260" s="897"/>
    </row>
    <row r="261" ht="15.75" customHeight="1">
      <c r="A261" s="308"/>
      <c r="B261" s="1026">
        <v>237.0</v>
      </c>
      <c r="C261" s="1048">
        <f t="shared" si="12"/>
        <v>53008</v>
      </c>
      <c r="D261" s="1049">
        <f t="shared" si="6"/>
        <v>2</v>
      </c>
      <c r="E261" s="1050">
        <f t="shared" si="7"/>
        <v>2045</v>
      </c>
      <c r="F261" s="1050">
        <f t="shared" si="13"/>
        <v>0.000000000955915286</v>
      </c>
      <c r="G261" s="1050">
        <f t="shared" si="8"/>
        <v>0</v>
      </c>
      <c r="H261" s="1050">
        <f t="shared" si="9"/>
        <v>0</v>
      </c>
      <c r="I261" s="1050">
        <f t="shared" si="10"/>
        <v>0</v>
      </c>
      <c r="J261" s="1051">
        <f t="shared" si="11"/>
        <v>0</v>
      </c>
      <c r="K261" s="1043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897"/>
      <c r="W261" s="897"/>
      <c r="X261" s="897"/>
      <c r="Y261" s="897"/>
      <c r="Z261" s="897"/>
    </row>
    <row r="262" ht="15.75" customHeight="1">
      <c r="A262" s="308"/>
      <c r="B262" s="1026">
        <v>238.0</v>
      </c>
      <c r="C262" s="1048">
        <f t="shared" si="12"/>
        <v>53036</v>
      </c>
      <c r="D262" s="1049">
        <f t="shared" si="6"/>
        <v>3</v>
      </c>
      <c r="E262" s="1050">
        <f t="shared" si="7"/>
        <v>2045</v>
      </c>
      <c r="F262" s="1050">
        <f t="shared" si="13"/>
        <v>0.0000000009590618405</v>
      </c>
      <c r="G262" s="1050">
        <f t="shared" si="8"/>
        <v>0</v>
      </c>
      <c r="H262" s="1050">
        <f t="shared" si="9"/>
        <v>0</v>
      </c>
      <c r="I262" s="1050">
        <f t="shared" si="10"/>
        <v>0</v>
      </c>
      <c r="J262" s="1051">
        <f t="shared" si="11"/>
        <v>0</v>
      </c>
      <c r="K262" s="1043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897"/>
      <c r="W262" s="897"/>
      <c r="X262" s="897"/>
      <c r="Y262" s="897"/>
      <c r="Z262" s="897"/>
    </row>
    <row r="263" ht="15.75" customHeight="1">
      <c r="A263" s="308"/>
      <c r="B263" s="1026">
        <v>239.0</v>
      </c>
      <c r="C263" s="1048">
        <f t="shared" si="12"/>
        <v>53067</v>
      </c>
      <c r="D263" s="1049">
        <f t="shared" si="6"/>
        <v>4</v>
      </c>
      <c r="E263" s="1050">
        <f t="shared" si="7"/>
        <v>2045</v>
      </c>
      <c r="F263" s="1050">
        <f t="shared" si="13"/>
        <v>0.0000000009622187524</v>
      </c>
      <c r="G263" s="1050">
        <f t="shared" si="8"/>
        <v>0</v>
      </c>
      <c r="H263" s="1050">
        <f t="shared" si="9"/>
        <v>0</v>
      </c>
      <c r="I263" s="1050">
        <f t="shared" si="10"/>
        <v>0</v>
      </c>
      <c r="J263" s="1051">
        <f t="shared" si="11"/>
        <v>0</v>
      </c>
      <c r="K263" s="1043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897"/>
      <c r="W263" s="897"/>
      <c r="X263" s="897"/>
      <c r="Y263" s="897"/>
      <c r="Z263" s="897"/>
    </row>
    <row r="264" ht="15.75" customHeight="1">
      <c r="A264" s="308"/>
      <c r="B264" s="1026">
        <v>240.0</v>
      </c>
      <c r="C264" s="1048">
        <f t="shared" si="12"/>
        <v>53097</v>
      </c>
      <c r="D264" s="1049">
        <f t="shared" si="6"/>
        <v>5</v>
      </c>
      <c r="E264" s="1050">
        <f t="shared" si="7"/>
        <v>2045</v>
      </c>
      <c r="F264" s="1050">
        <f t="shared" si="13"/>
        <v>0.0000000009653860558</v>
      </c>
      <c r="G264" s="1050">
        <f t="shared" si="8"/>
        <v>0</v>
      </c>
      <c r="H264" s="1050">
        <f t="shared" si="9"/>
        <v>0</v>
      </c>
      <c r="I264" s="1050">
        <f t="shared" si="10"/>
        <v>0</v>
      </c>
      <c r="J264" s="1051">
        <f t="shared" si="11"/>
        <v>0</v>
      </c>
      <c r="K264" s="1043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897"/>
      <c r="W264" s="897"/>
      <c r="X264" s="897"/>
      <c r="Y264" s="897"/>
      <c r="Z264" s="897"/>
    </row>
    <row r="265" ht="15.75" customHeight="1">
      <c r="A265" s="308"/>
      <c r="B265" s="1026">
        <v>241.0</v>
      </c>
      <c r="C265" s="1048">
        <f t="shared" si="12"/>
        <v>53128</v>
      </c>
      <c r="D265" s="1049">
        <f t="shared" si="6"/>
        <v>6</v>
      </c>
      <c r="E265" s="1050">
        <f t="shared" si="7"/>
        <v>2045</v>
      </c>
      <c r="F265" s="1050">
        <f t="shared" si="13"/>
        <v>0.0000000009685637849</v>
      </c>
      <c r="G265" s="1050">
        <f t="shared" si="8"/>
        <v>0</v>
      </c>
      <c r="H265" s="1050">
        <f t="shared" si="9"/>
        <v>0</v>
      </c>
      <c r="I265" s="1050">
        <f t="shared" si="10"/>
        <v>0</v>
      </c>
      <c r="J265" s="1051">
        <f t="shared" si="11"/>
        <v>0</v>
      </c>
      <c r="K265" s="1043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897"/>
      <c r="W265" s="897"/>
      <c r="X265" s="897"/>
      <c r="Y265" s="897"/>
      <c r="Z265" s="897"/>
    </row>
    <row r="266" ht="15.75" customHeight="1">
      <c r="A266" s="308"/>
      <c r="B266" s="1026">
        <v>242.0</v>
      </c>
      <c r="C266" s="1048">
        <f t="shared" si="12"/>
        <v>53158</v>
      </c>
      <c r="D266" s="1049">
        <f t="shared" si="6"/>
        <v>7</v>
      </c>
      <c r="E266" s="1050">
        <f t="shared" si="7"/>
        <v>2045</v>
      </c>
      <c r="F266" s="1050">
        <f t="shared" si="13"/>
        <v>0.000000000971751974</v>
      </c>
      <c r="G266" s="1050">
        <f t="shared" si="8"/>
        <v>0</v>
      </c>
      <c r="H266" s="1050">
        <f t="shared" si="9"/>
        <v>0</v>
      </c>
      <c r="I266" s="1050">
        <f t="shared" si="10"/>
        <v>0</v>
      </c>
      <c r="J266" s="1051">
        <f t="shared" si="11"/>
        <v>0</v>
      </c>
      <c r="K266" s="1043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897"/>
      <c r="W266" s="897"/>
      <c r="X266" s="897"/>
      <c r="Y266" s="897"/>
      <c r="Z266" s="897"/>
    </row>
    <row r="267" ht="15.75" customHeight="1">
      <c r="A267" s="308"/>
      <c r="B267" s="1026">
        <v>243.0</v>
      </c>
      <c r="C267" s="1048">
        <f t="shared" si="12"/>
        <v>53189</v>
      </c>
      <c r="D267" s="1049">
        <f t="shared" si="6"/>
        <v>8</v>
      </c>
      <c r="E267" s="1050">
        <f t="shared" si="7"/>
        <v>2045</v>
      </c>
      <c r="F267" s="1050">
        <f t="shared" si="13"/>
        <v>0.0000000009749506576</v>
      </c>
      <c r="G267" s="1050">
        <f t="shared" si="8"/>
        <v>0</v>
      </c>
      <c r="H267" s="1050">
        <f t="shared" si="9"/>
        <v>0</v>
      </c>
      <c r="I267" s="1050">
        <f t="shared" si="10"/>
        <v>0</v>
      </c>
      <c r="J267" s="1051">
        <f t="shared" si="11"/>
        <v>0</v>
      </c>
      <c r="K267" s="1043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897"/>
      <c r="W267" s="897"/>
      <c r="X267" s="897"/>
      <c r="Y267" s="897"/>
      <c r="Z267" s="897"/>
    </row>
    <row r="268" ht="15.75" customHeight="1">
      <c r="A268" s="308"/>
      <c r="B268" s="1026">
        <v>244.0</v>
      </c>
      <c r="C268" s="1048">
        <f t="shared" si="12"/>
        <v>53220</v>
      </c>
      <c r="D268" s="1049">
        <f t="shared" si="6"/>
        <v>9</v>
      </c>
      <c r="E268" s="1050">
        <f t="shared" si="7"/>
        <v>2045</v>
      </c>
      <c r="F268" s="1050">
        <f t="shared" si="13"/>
        <v>0.0000000009781598702</v>
      </c>
      <c r="G268" s="1050">
        <f t="shared" si="8"/>
        <v>0</v>
      </c>
      <c r="H268" s="1050">
        <f t="shared" si="9"/>
        <v>0</v>
      </c>
      <c r="I268" s="1050">
        <f t="shared" si="10"/>
        <v>0</v>
      </c>
      <c r="J268" s="1051">
        <f t="shared" si="11"/>
        <v>0</v>
      </c>
      <c r="K268" s="1043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897"/>
      <c r="W268" s="897"/>
      <c r="X268" s="897"/>
      <c r="Y268" s="897"/>
      <c r="Z268" s="897"/>
    </row>
    <row r="269" ht="15.75" customHeight="1">
      <c r="A269" s="308"/>
      <c r="B269" s="1026">
        <v>245.0</v>
      </c>
      <c r="C269" s="1048">
        <f t="shared" si="12"/>
        <v>53250</v>
      </c>
      <c r="D269" s="1049">
        <f t="shared" si="6"/>
        <v>10</v>
      </c>
      <c r="E269" s="1050">
        <f t="shared" si="7"/>
        <v>2045</v>
      </c>
      <c r="F269" s="1050">
        <f t="shared" si="13"/>
        <v>0.0000000009813796464</v>
      </c>
      <c r="G269" s="1050">
        <f t="shared" si="8"/>
        <v>0</v>
      </c>
      <c r="H269" s="1050">
        <f t="shared" si="9"/>
        <v>0</v>
      </c>
      <c r="I269" s="1050">
        <f t="shared" si="10"/>
        <v>0</v>
      </c>
      <c r="J269" s="1051">
        <f t="shared" si="11"/>
        <v>0</v>
      </c>
      <c r="K269" s="1043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897"/>
      <c r="W269" s="897"/>
      <c r="X269" s="897"/>
      <c r="Y269" s="897"/>
      <c r="Z269" s="897"/>
    </row>
    <row r="270" ht="15.75" customHeight="1">
      <c r="A270" s="308"/>
      <c r="B270" s="1026">
        <v>246.0</v>
      </c>
      <c r="C270" s="1048">
        <f t="shared" si="12"/>
        <v>53281</v>
      </c>
      <c r="D270" s="1049">
        <f t="shared" si="6"/>
        <v>11</v>
      </c>
      <c r="E270" s="1050">
        <f t="shared" si="7"/>
        <v>2045</v>
      </c>
      <c r="F270" s="1050">
        <f t="shared" si="13"/>
        <v>0.0000000009846100211</v>
      </c>
      <c r="G270" s="1050">
        <f t="shared" si="8"/>
        <v>0</v>
      </c>
      <c r="H270" s="1050">
        <f t="shared" si="9"/>
        <v>0</v>
      </c>
      <c r="I270" s="1050">
        <f t="shared" si="10"/>
        <v>0</v>
      </c>
      <c r="J270" s="1051">
        <f t="shared" si="11"/>
        <v>0</v>
      </c>
      <c r="K270" s="1043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897"/>
      <c r="W270" s="897"/>
      <c r="X270" s="897"/>
      <c r="Y270" s="897"/>
      <c r="Z270" s="897"/>
    </row>
    <row r="271" ht="15.75" customHeight="1">
      <c r="A271" s="308"/>
      <c r="B271" s="1026">
        <v>247.0</v>
      </c>
      <c r="C271" s="1048">
        <f t="shared" si="12"/>
        <v>53311</v>
      </c>
      <c r="D271" s="1049">
        <f t="shared" si="6"/>
        <v>12</v>
      </c>
      <c r="E271" s="1050">
        <f t="shared" si="7"/>
        <v>2045</v>
      </c>
      <c r="F271" s="1050">
        <f t="shared" si="13"/>
        <v>0.0000000009878510291</v>
      </c>
      <c r="G271" s="1050">
        <f t="shared" si="8"/>
        <v>0</v>
      </c>
      <c r="H271" s="1050">
        <f t="shared" si="9"/>
        <v>0</v>
      </c>
      <c r="I271" s="1050">
        <f t="shared" si="10"/>
        <v>0</v>
      </c>
      <c r="J271" s="1051">
        <f t="shared" si="11"/>
        <v>0</v>
      </c>
      <c r="K271" s="1043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897"/>
      <c r="W271" s="897"/>
      <c r="X271" s="897"/>
      <c r="Y271" s="897"/>
      <c r="Z271" s="897"/>
    </row>
    <row r="272" ht="15.75" customHeight="1">
      <c r="A272" s="308"/>
      <c r="B272" s="1026">
        <v>248.0</v>
      </c>
      <c r="C272" s="1048">
        <f t="shared" si="12"/>
        <v>53342</v>
      </c>
      <c r="D272" s="1049">
        <f t="shared" si="6"/>
        <v>1</v>
      </c>
      <c r="E272" s="1050">
        <f t="shared" si="7"/>
        <v>2046</v>
      </c>
      <c r="F272" s="1050">
        <f t="shared" si="13"/>
        <v>0.0000000009911027054</v>
      </c>
      <c r="G272" s="1050">
        <f t="shared" si="8"/>
        <v>0</v>
      </c>
      <c r="H272" s="1050">
        <f t="shared" si="9"/>
        <v>0</v>
      </c>
      <c r="I272" s="1050">
        <f t="shared" si="10"/>
        <v>0</v>
      </c>
      <c r="J272" s="1051">
        <f t="shared" si="11"/>
        <v>0</v>
      </c>
      <c r="K272" s="1043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897"/>
      <c r="W272" s="897"/>
      <c r="X272" s="897"/>
      <c r="Y272" s="897"/>
      <c r="Z272" s="897"/>
    </row>
    <row r="273" ht="15.75" customHeight="1">
      <c r="A273" s="308"/>
      <c r="B273" s="1026">
        <v>249.0</v>
      </c>
      <c r="C273" s="1048">
        <f t="shared" si="12"/>
        <v>53373</v>
      </c>
      <c r="D273" s="1049">
        <f t="shared" si="6"/>
        <v>2</v>
      </c>
      <c r="E273" s="1050">
        <f t="shared" si="7"/>
        <v>2046</v>
      </c>
      <c r="F273" s="1050">
        <f t="shared" si="13"/>
        <v>0.0000000009943650851</v>
      </c>
      <c r="G273" s="1050">
        <f t="shared" si="8"/>
        <v>0</v>
      </c>
      <c r="H273" s="1050">
        <f t="shared" si="9"/>
        <v>0</v>
      </c>
      <c r="I273" s="1050">
        <f t="shared" si="10"/>
        <v>0</v>
      </c>
      <c r="J273" s="1051">
        <f t="shared" si="11"/>
        <v>0</v>
      </c>
      <c r="K273" s="1043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897"/>
      <c r="W273" s="897"/>
      <c r="X273" s="897"/>
      <c r="Y273" s="897"/>
      <c r="Z273" s="897"/>
    </row>
    <row r="274" ht="15.75" customHeight="1">
      <c r="A274" s="308"/>
      <c r="B274" s="1026">
        <v>250.0</v>
      </c>
      <c r="C274" s="1048">
        <f t="shared" si="12"/>
        <v>53401</v>
      </c>
      <c r="D274" s="1049">
        <f t="shared" si="6"/>
        <v>3</v>
      </c>
      <c r="E274" s="1050">
        <f t="shared" si="7"/>
        <v>2046</v>
      </c>
      <c r="F274" s="1050">
        <f t="shared" si="13"/>
        <v>0.0000000009976382035</v>
      </c>
      <c r="G274" s="1050">
        <f t="shared" si="8"/>
        <v>0</v>
      </c>
      <c r="H274" s="1050">
        <f t="shared" si="9"/>
        <v>0</v>
      </c>
      <c r="I274" s="1050">
        <f t="shared" si="10"/>
        <v>0</v>
      </c>
      <c r="J274" s="1051">
        <f t="shared" si="11"/>
        <v>0</v>
      </c>
      <c r="K274" s="1043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897"/>
      <c r="W274" s="897"/>
      <c r="X274" s="897"/>
      <c r="Y274" s="897"/>
      <c r="Z274" s="897"/>
    </row>
    <row r="275" ht="15.75" customHeight="1">
      <c r="A275" s="308"/>
      <c r="B275" s="1026">
        <v>251.0</v>
      </c>
      <c r="C275" s="1048">
        <f t="shared" si="12"/>
        <v>53432</v>
      </c>
      <c r="D275" s="1049">
        <f t="shared" si="6"/>
        <v>4</v>
      </c>
      <c r="E275" s="1050">
        <f t="shared" si="7"/>
        <v>2046</v>
      </c>
      <c r="F275" s="1050">
        <f t="shared" si="13"/>
        <v>0.000000001000922096</v>
      </c>
      <c r="G275" s="1050">
        <f t="shared" si="8"/>
        <v>0</v>
      </c>
      <c r="H275" s="1050">
        <f t="shared" si="9"/>
        <v>0</v>
      </c>
      <c r="I275" s="1050">
        <f t="shared" si="10"/>
        <v>0</v>
      </c>
      <c r="J275" s="1051">
        <f t="shared" si="11"/>
        <v>0</v>
      </c>
      <c r="K275" s="1043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897"/>
      <c r="W275" s="897"/>
      <c r="X275" s="897"/>
      <c r="Y275" s="897"/>
      <c r="Z275" s="897"/>
    </row>
    <row r="276" ht="15.75" customHeight="1">
      <c r="A276" s="308"/>
      <c r="B276" s="1026">
        <v>252.0</v>
      </c>
      <c r="C276" s="1048">
        <f t="shared" si="12"/>
        <v>53462</v>
      </c>
      <c r="D276" s="1049">
        <f t="shared" si="6"/>
        <v>5</v>
      </c>
      <c r="E276" s="1050">
        <f t="shared" si="7"/>
        <v>2046</v>
      </c>
      <c r="F276" s="1050">
        <f t="shared" si="13"/>
        <v>0.000000001004216798</v>
      </c>
      <c r="G276" s="1050">
        <f t="shared" si="8"/>
        <v>0</v>
      </c>
      <c r="H276" s="1050">
        <f t="shared" si="9"/>
        <v>0</v>
      </c>
      <c r="I276" s="1050">
        <f t="shared" si="10"/>
        <v>0</v>
      </c>
      <c r="J276" s="1051">
        <f t="shared" si="11"/>
        <v>0</v>
      </c>
      <c r="K276" s="1043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897"/>
      <c r="W276" s="897"/>
      <c r="X276" s="897"/>
      <c r="Y276" s="897"/>
      <c r="Z276" s="897"/>
    </row>
    <row r="277" ht="15.75" customHeight="1">
      <c r="A277" s="308"/>
      <c r="B277" s="1026">
        <v>253.0</v>
      </c>
      <c r="C277" s="1048">
        <f t="shared" si="12"/>
        <v>53493</v>
      </c>
      <c r="D277" s="1049">
        <f t="shared" si="6"/>
        <v>6</v>
      </c>
      <c r="E277" s="1050">
        <f t="shared" si="7"/>
        <v>2046</v>
      </c>
      <c r="F277" s="1050">
        <f t="shared" si="13"/>
        <v>0.000000001007522345</v>
      </c>
      <c r="G277" s="1050">
        <f t="shared" si="8"/>
        <v>0</v>
      </c>
      <c r="H277" s="1050">
        <f t="shared" si="9"/>
        <v>0</v>
      </c>
      <c r="I277" s="1050">
        <f t="shared" si="10"/>
        <v>0</v>
      </c>
      <c r="J277" s="1051">
        <f t="shared" si="11"/>
        <v>0</v>
      </c>
      <c r="K277" s="1043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897"/>
      <c r="W277" s="897"/>
      <c r="X277" s="897"/>
      <c r="Y277" s="897"/>
      <c r="Z277" s="897"/>
    </row>
    <row r="278" ht="15.75" customHeight="1">
      <c r="A278" s="308"/>
      <c r="B278" s="1026">
        <v>254.0</v>
      </c>
      <c r="C278" s="1048">
        <f t="shared" si="12"/>
        <v>53523</v>
      </c>
      <c r="D278" s="1049">
        <f t="shared" si="6"/>
        <v>7</v>
      </c>
      <c r="E278" s="1050">
        <f t="shared" si="7"/>
        <v>2046</v>
      </c>
      <c r="F278" s="1050">
        <f t="shared" si="13"/>
        <v>0.000000001010838773</v>
      </c>
      <c r="G278" s="1050">
        <f t="shared" si="8"/>
        <v>0</v>
      </c>
      <c r="H278" s="1050">
        <f t="shared" si="9"/>
        <v>0</v>
      </c>
      <c r="I278" s="1050">
        <f t="shared" si="10"/>
        <v>0</v>
      </c>
      <c r="J278" s="1051">
        <f t="shared" si="11"/>
        <v>0</v>
      </c>
      <c r="K278" s="1043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897"/>
      <c r="W278" s="897"/>
      <c r="X278" s="897"/>
      <c r="Y278" s="897"/>
      <c r="Z278" s="897"/>
    </row>
    <row r="279" ht="15.75" customHeight="1">
      <c r="A279" s="308"/>
      <c r="B279" s="1026">
        <v>255.0</v>
      </c>
      <c r="C279" s="1048">
        <f t="shared" si="12"/>
        <v>53554</v>
      </c>
      <c r="D279" s="1049">
        <f t="shared" si="6"/>
        <v>8</v>
      </c>
      <c r="E279" s="1050">
        <f t="shared" si="7"/>
        <v>2046</v>
      </c>
      <c r="F279" s="1050">
        <f t="shared" si="13"/>
        <v>0.000000001014166117</v>
      </c>
      <c r="G279" s="1050">
        <f t="shared" si="8"/>
        <v>0</v>
      </c>
      <c r="H279" s="1050">
        <f t="shared" si="9"/>
        <v>0</v>
      </c>
      <c r="I279" s="1050">
        <f t="shared" si="10"/>
        <v>0</v>
      </c>
      <c r="J279" s="1051">
        <f t="shared" si="11"/>
        <v>0</v>
      </c>
      <c r="K279" s="1043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897"/>
      <c r="W279" s="897"/>
      <c r="X279" s="897"/>
      <c r="Y279" s="897"/>
      <c r="Z279" s="897"/>
    </row>
    <row r="280" ht="15.75" customHeight="1">
      <c r="A280" s="308"/>
      <c r="B280" s="1026">
        <v>256.0</v>
      </c>
      <c r="C280" s="1048">
        <f t="shared" si="12"/>
        <v>53585</v>
      </c>
      <c r="D280" s="1049">
        <f t="shared" si="6"/>
        <v>9</v>
      </c>
      <c r="E280" s="1050">
        <f t="shared" si="7"/>
        <v>2046</v>
      </c>
      <c r="F280" s="1050">
        <f t="shared" si="13"/>
        <v>0.000000001017504414</v>
      </c>
      <c r="G280" s="1050">
        <f t="shared" si="8"/>
        <v>0</v>
      </c>
      <c r="H280" s="1050">
        <f t="shared" si="9"/>
        <v>0</v>
      </c>
      <c r="I280" s="1050">
        <f t="shared" si="10"/>
        <v>0</v>
      </c>
      <c r="J280" s="1051">
        <f t="shared" si="11"/>
        <v>0</v>
      </c>
      <c r="K280" s="1043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897"/>
      <c r="W280" s="897"/>
      <c r="X280" s="897"/>
      <c r="Y280" s="897"/>
      <c r="Z280" s="897"/>
    </row>
    <row r="281" ht="15.75" customHeight="1">
      <c r="A281" s="308"/>
      <c r="B281" s="1026">
        <v>257.0</v>
      </c>
      <c r="C281" s="1048">
        <f t="shared" si="12"/>
        <v>53615</v>
      </c>
      <c r="D281" s="1049">
        <f t="shared" si="6"/>
        <v>10</v>
      </c>
      <c r="E281" s="1050">
        <f t="shared" si="7"/>
        <v>2046</v>
      </c>
      <c r="F281" s="1050">
        <f t="shared" si="13"/>
        <v>0.000000001020853699</v>
      </c>
      <c r="G281" s="1050">
        <f t="shared" si="8"/>
        <v>0</v>
      </c>
      <c r="H281" s="1050">
        <f t="shared" si="9"/>
        <v>0</v>
      </c>
      <c r="I281" s="1050">
        <f t="shared" si="10"/>
        <v>0</v>
      </c>
      <c r="J281" s="1051">
        <f t="shared" si="11"/>
        <v>0</v>
      </c>
      <c r="K281" s="1043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897"/>
      <c r="W281" s="897"/>
      <c r="X281" s="897"/>
      <c r="Y281" s="897"/>
      <c r="Z281" s="897"/>
    </row>
    <row r="282" ht="15.75" customHeight="1">
      <c r="A282" s="308"/>
      <c r="B282" s="1026">
        <v>258.0</v>
      </c>
      <c r="C282" s="1048">
        <f t="shared" si="12"/>
        <v>53646</v>
      </c>
      <c r="D282" s="1049">
        <f t="shared" si="6"/>
        <v>11</v>
      </c>
      <c r="E282" s="1050">
        <f t="shared" si="7"/>
        <v>2046</v>
      </c>
      <c r="F282" s="1050">
        <f t="shared" si="13"/>
        <v>0.000000001024214009</v>
      </c>
      <c r="G282" s="1050">
        <f t="shared" si="8"/>
        <v>0</v>
      </c>
      <c r="H282" s="1050">
        <f t="shared" si="9"/>
        <v>0</v>
      </c>
      <c r="I282" s="1050">
        <f t="shared" si="10"/>
        <v>0</v>
      </c>
      <c r="J282" s="1051">
        <f t="shared" si="11"/>
        <v>0</v>
      </c>
      <c r="K282" s="1043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897"/>
      <c r="W282" s="897"/>
      <c r="X282" s="897"/>
      <c r="Y282" s="897"/>
      <c r="Z282" s="897"/>
    </row>
    <row r="283" ht="15.75" customHeight="1">
      <c r="A283" s="308"/>
      <c r="B283" s="1026">
        <v>259.0</v>
      </c>
      <c r="C283" s="1048">
        <f t="shared" si="12"/>
        <v>53676</v>
      </c>
      <c r="D283" s="1049">
        <f t="shared" si="6"/>
        <v>12</v>
      </c>
      <c r="E283" s="1050">
        <f t="shared" si="7"/>
        <v>2046</v>
      </c>
      <c r="F283" s="1050">
        <f t="shared" si="13"/>
        <v>0.00000000102758538</v>
      </c>
      <c r="G283" s="1050">
        <f t="shared" si="8"/>
        <v>0</v>
      </c>
      <c r="H283" s="1050">
        <f t="shared" si="9"/>
        <v>0</v>
      </c>
      <c r="I283" s="1050">
        <f t="shared" si="10"/>
        <v>0</v>
      </c>
      <c r="J283" s="1051">
        <f t="shared" si="11"/>
        <v>0</v>
      </c>
      <c r="K283" s="1043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897"/>
      <c r="W283" s="897"/>
      <c r="X283" s="897"/>
      <c r="Y283" s="897"/>
      <c r="Z283" s="897"/>
    </row>
    <row r="284" ht="15.75" customHeight="1">
      <c r="A284" s="308"/>
      <c r="B284" s="1026">
        <v>260.0</v>
      </c>
      <c r="C284" s="1048">
        <f t="shared" si="12"/>
        <v>53707</v>
      </c>
      <c r="D284" s="1049">
        <f t="shared" si="6"/>
        <v>1</v>
      </c>
      <c r="E284" s="1050">
        <f t="shared" si="7"/>
        <v>2047</v>
      </c>
      <c r="F284" s="1050">
        <f t="shared" si="13"/>
        <v>0.000000001030967849</v>
      </c>
      <c r="G284" s="1050">
        <f t="shared" si="8"/>
        <v>0</v>
      </c>
      <c r="H284" s="1050">
        <f t="shared" si="9"/>
        <v>0</v>
      </c>
      <c r="I284" s="1050">
        <f t="shared" si="10"/>
        <v>0</v>
      </c>
      <c r="J284" s="1051">
        <f t="shared" si="11"/>
        <v>0</v>
      </c>
      <c r="K284" s="1043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897"/>
      <c r="W284" s="897"/>
      <c r="X284" s="897"/>
      <c r="Y284" s="897"/>
      <c r="Z284" s="897"/>
    </row>
    <row r="285" ht="15.75" customHeight="1">
      <c r="A285" s="308"/>
      <c r="B285" s="1026">
        <v>261.0</v>
      </c>
      <c r="C285" s="1048">
        <f t="shared" si="12"/>
        <v>53738</v>
      </c>
      <c r="D285" s="1049">
        <f t="shared" si="6"/>
        <v>2</v>
      </c>
      <c r="E285" s="1050">
        <f t="shared" si="7"/>
        <v>2047</v>
      </c>
      <c r="F285" s="1050">
        <f t="shared" si="13"/>
        <v>0.000000001034361451</v>
      </c>
      <c r="G285" s="1050">
        <f t="shared" si="8"/>
        <v>0</v>
      </c>
      <c r="H285" s="1050">
        <f t="shared" si="9"/>
        <v>0</v>
      </c>
      <c r="I285" s="1050">
        <f t="shared" si="10"/>
        <v>0</v>
      </c>
      <c r="J285" s="1051">
        <f t="shared" si="11"/>
        <v>0</v>
      </c>
      <c r="K285" s="1043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897"/>
      <c r="W285" s="897"/>
      <c r="X285" s="897"/>
      <c r="Y285" s="897"/>
      <c r="Z285" s="897"/>
    </row>
    <row r="286" ht="15.75" customHeight="1">
      <c r="A286" s="308"/>
      <c r="B286" s="1026">
        <v>262.0</v>
      </c>
      <c r="C286" s="1048">
        <f t="shared" si="12"/>
        <v>53766</v>
      </c>
      <c r="D286" s="1049">
        <f t="shared" si="6"/>
        <v>3</v>
      </c>
      <c r="E286" s="1050">
        <f t="shared" si="7"/>
        <v>2047</v>
      </c>
      <c r="F286" s="1050">
        <f t="shared" si="13"/>
        <v>0.000000001037766224</v>
      </c>
      <c r="G286" s="1050">
        <f t="shared" si="8"/>
        <v>0</v>
      </c>
      <c r="H286" s="1050">
        <f t="shared" si="9"/>
        <v>0</v>
      </c>
      <c r="I286" s="1050">
        <f t="shared" si="10"/>
        <v>0</v>
      </c>
      <c r="J286" s="1051">
        <f t="shared" si="11"/>
        <v>0</v>
      </c>
      <c r="K286" s="1043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897"/>
      <c r="W286" s="897"/>
      <c r="X286" s="897"/>
      <c r="Y286" s="897"/>
      <c r="Z286" s="897"/>
    </row>
    <row r="287" ht="15.75" customHeight="1">
      <c r="A287" s="308"/>
      <c r="B287" s="1026">
        <v>263.0</v>
      </c>
      <c r="C287" s="1048">
        <f t="shared" si="12"/>
        <v>53797</v>
      </c>
      <c r="D287" s="1049">
        <f t="shared" si="6"/>
        <v>4</v>
      </c>
      <c r="E287" s="1050">
        <f t="shared" si="7"/>
        <v>2047</v>
      </c>
      <c r="F287" s="1050">
        <f t="shared" si="13"/>
        <v>0.000000001041182205</v>
      </c>
      <c r="G287" s="1050">
        <f t="shared" si="8"/>
        <v>0</v>
      </c>
      <c r="H287" s="1050">
        <f t="shared" si="9"/>
        <v>0</v>
      </c>
      <c r="I287" s="1050">
        <f t="shared" si="10"/>
        <v>0</v>
      </c>
      <c r="J287" s="1051">
        <f t="shared" si="11"/>
        <v>0</v>
      </c>
      <c r="K287" s="1043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897"/>
      <c r="W287" s="897"/>
      <c r="X287" s="897"/>
      <c r="Y287" s="897"/>
      <c r="Z287" s="897"/>
    </row>
    <row r="288" ht="15.75" customHeight="1">
      <c r="A288" s="308"/>
      <c r="B288" s="1026">
        <v>264.0</v>
      </c>
      <c r="C288" s="1048">
        <f t="shared" si="12"/>
        <v>53827</v>
      </c>
      <c r="D288" s="1049">
        <f t="shared" si="6"/>
        <v>5</v>
      </c>
      <c r="E288" s="1050">
        <f t="shared" si="7"/>
        <v>2047</v>
      </c>
      <c r="F288" s="1050">
        <f t="shared" si="13"/>
        <v>0.00000000104460943</v>
      </c>
      <c r="G288" s="1050">
        <f t="shared" si="8"/>
        <v>0</v>
      </c>
      <c r="H288" s="1050">
        <f t="shared" si="9"/>
        <v>0</v>
      </c>
      <c r="I288" s="1050">
        <f t="shared" si="10"/>
        <v>0</v>
      </c>
      <c r="J288" s="1051">
        <f t="shared" si="11"/>
        <v>0</v>
      </c>
      <c r="K288" s="1043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897"/>
      <c r="W288" s="897"/>
      <c r="X288" s="897"/>
      <c r="Y288" s="897"/>
      <c r="Z288" s="897"/>
    </row>
    <row r="289" ht="15.75" customHeight="1">
      <c r="A289" s="308"/>
      <c r="B289" s="1026">
        <v>265.0</v>
      </c>
      <c r="C289" s="1048">
        <f t="shared" si="12"/>
        <v>53858</v>
      </c>
      <c r="D289" s="1049">
        <f t="shared" si="6"/>
        <v>6</v>
      </c>
      <c r="E289" s="1050">
        <f t="shared" si="7"/>
        <v>2047</v>
      </c>
      <c r="F289" s="1050">
        <f t="shared" si="13"/>
        <v>0.000000001048047936</v>
      </c>
      <c r="G289" s="1050">
        <f t="shared" si="8"/>
        <v>0</v>
      </c>
      <c r="H289" s="1050">
        <f t="shared" si="9"/>
        <v>0</v>
      </c>
      <c r="I289" s="1050">
        <f t="shared" si="10"/>
        <v>0</v>
      </c>
      <c r="J289" s="1051">
        <f t="shared" si="11"/>
        <v>0</v>
      </c>
      <c r="K289" s="1043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897"/>
      <c r="W289" s="897"/>
      <c r="X289" s="897"/>
      <c r="Y289" s="897"/>
      <c r="Z289" s="897"/>
    </row>
    <row r="290" ht="15.75" customHeight="1">
      <c r="A290" s="308"/>
      <c r="B290" s="1026">
        <v>266.0</v>
      </c>
      <c r="C290" s="1048">
        <f t="shared" si="12"/>
        <v>53888</v>
      </c>
      <c r="D290" s="1049">
        <f t="shared" si="6"/>
        <v>7</v>
      </c>
      <c r="E290" s="1050">
        <f t="shared" si="7"/>
        <v>2047</v>
      </c>
      <c r="F290" s="1050">
        <f t="shared" si="13"/>
        <v>0.00000000105149776</v>
      </c>
      <c r="G290" s="1050">
        <f t="shared" si="8"/>
        <v>0</v>
      </c>
      <c r="H290" s="1050">
        <f t="shared" si="9"/>
        <v>0</v>
      </c>
      <c r="I290" s="1050">
        <f t="shared" si="10"/>
        <v>0</v>
      </c>
      <c r="J290" s="1051">
        <f t="shared" si="11"/>
        <v>0</v>
      </c>
      <c r="K290" s="1043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897"/>
      <c r="W290" s="897"/>
      <c r="X290" s="897"/>
      <c r="Y290" s="897"/>
      <c r="Z290" s="897"/>
    </row>
    <row r="291" ht="15.75" customHeight="1">
      <c r="A291" s="308"/>
      <c r="B291" s="1026">
        <v>267.0</v>
      </c>
      <c r="C291" s="1048">
        <f t="shared" si="12"/>
        <v>53919</v>
      </c>
      <c r="D291" s="1049">
        <f t="shared" si="6"/>
        <v>8</v>
      </c>
      <c r="E291" s="1050">
        <f t="shared" si="7"/>
        <v>2047</v>
      </c>
      <c r="F291" s="1050">
        <f t="shared" si="13"/>
        <v>0.00000000105495894</v>
      </c>
      <c r="G291" s="1050">
        <f t="shared" si="8"/>
        <v>0</v>
      </c>
      <c r="H291" s="1050">
        <f t="shared" si="9"/>
        <v>0</v>
      </c>
      <c r="I291" s="1050">
        <f t="shared" si="10"/>
        <v>0</v>
      </c>
      <c r="J291" s="1051">
        <f t="shared" si="11"/>
        <v>0</v>
      </c>
      <c r="K291" s="1043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897"/>
      <c r="W291" s="897"/>
      <c r="X291" s="897"/>
      <c r="Y291" s="897"/>
      <c r="Z291" s="897"/>
    </row>
    <row r="292" ht="15.75" customHeight="1">
      <c r="A292" s="308"/>
      <c r="B292" s="1026">
        <v>268.0</v>
      </c>
      <c r="C292" s="1048">
        <f t="shared" si="12"/>
        <v>53950</v>
      </c>
      <c r="D292" s="1049">
        <f t="shared" si="6"/>
        <v>9</v>
      </c>
      <c r="E292" s="1050">
        <f t="shared" si="7"/>
        <v>2047</v>
      </c>
      <c r="F292" s="1050">
        <f t="shared" si="13"/>
        <v>0.000000001058431513</v>
      </c>
      <c r="G292" s="1050">
        <f t="shared" si="8"/>
        <v>0</v>
      </c>
      <c r="H292" s="1050">
        <f t="shared" si="9"/>
        <v>0</v>
      </c>
      <c r="I292" s="1050">
        <f t="shared" si="10"/>
        <v>0</v>
      </c>
      <c r="J292" s="1051">
        <f t="shared" si="11"/>
        <v>0</v>
      </c>
      <c r="K292" s="1043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897"/>
      <c r="W292" s="897"/>
      <c r="X292" s="897"/>
      <c r="Y292" s="897"/>
      <c r="Z292" s="897"/>
    </row>
    <row r="293" ht="15.75" customHeight="1">
      <c r="A293" s="308"/>
      <c r="B293" s="1026">
        <v>269.0</v>
      </c>
      <c r="C293" s="1048">
        <f t="shared" si="12"/>
        <v>53980</v>
      </c>
      <c r="D293" s="1049">
        <f t="shared" si="6"/>
        <v>10</v>
      </c>
      <c r="E293" s="1050">
        <f t="shared" si="7"/>
        <v>2047</v>
      </c>
      <c r="F293" s="1050">
        <f t="shared" si="13"/>
        <v>0.000000001061915517</v>
      </c>
      <c r="G293" s="1050">
        <f t="shared" si="8"/>
        <v>0</v>
      </c>
      <c r="H293" s="1050">
        <f t="shared" si="9"/>
        <v>0</v>
      </c>
      <c r="I293" s="1050">
        <f t="shared" si="10"/>
        <v>0</v>
      </c>
      <c r="J293" s="1051">
        <f t="shared" si="11"/>
        <v>0</v>
      </c>
      <c r="K293" s="1043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897"/>
      <c r="W293" s="897"/>
      <c r="X293" s="897"/>
      <c r="Y293" s="897"/>
      <c r="Z293" s="897"/>
    </row>
    <row r="294" ht="15.75" customHeight="1">
      <c r="A294" s="308"/>
      <c r="B294" s="1026">
        <v>270.0</v>
      </c>
      <c r="C294" s="1048">
        <f t="shared" si="12"/>
        <v>54011</v>
      </c>
      <c r="D294" s="1049">
        <f t="shared" si="6"/>
        <v>11</v>
      </c>
      <c r="E294" s="1050">
        <f t="shared" si="7"/>
        <v>2047</v>
      </c>
      <c r="F294" s="1050">
        <f t="shared" si="13"/>
        <v>0.000000001065410989</v>
      </c>
      <c r="G294" s="1050">
        <f t="shared" si="8"/>
        <v>0</v>
      </c>
      <c r="H294" s="1050">
        <f t="shared" si="9"/>
        <v>0</v>
      </c>
      <c r="I294" s="1050">
        <f t="shared" si="10"/>
        <v>0</v>
      </c>
      <c r="J294" s="1051">
        <f t="shared" si="11"/>
        <v>0</v>
      </c>
      <c r="K294" s="1043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897"/>
      <c r="W294" s="897"/>
      <c r="X294" s="897"/>
      <c r="Y294" s="897"/>
      <c r="Z294" s="897"/>
    </row>
    <row r="295" ht="15.75" customHeight="1">
      <c r="A295" s="308"/>
      <c r="B295" s="1026">
        <v>271.0</v>
      </c>
      <c r="C295" s="1048">
        <f t="shared" si="12"/>
        <v>54041</v>
      </c>
      <c r="D295" s="1049">
        <f t="shared" si="6"/>
        <v>12</v>
      </c>
      <c r="E295" s="1050">
        <f t="shared" si="7"/>
        <v>2047</v>
      </c>
      <c r="F295" s="1050">
        <f t="shared" si="13"/>
        <v>0.000000001068917967</v>
      </c>
      <c r="G295" s="1050">
        <f t="shared" si="8"/>
        <v>0</v>
      </c>
      <c r="H295" s="1050">
        <f t="shared" si="9"/>
        <v>0</v>
      </c>
      <c r="I295" s="1050">
        <f t="shared" si="10"/>
        <v>0</v>
      </c>
      <c r="J295" s="1051">
        <f t="shared" si="11"/>
        <v>0</v>
      </c>
      <c r="K295" s="1043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897"/>
      <c r="W295" s="897"/>
      <c r="X295" s="897"/>
      <c r="Y295" s="897"/>
      <c r="Z295" s="897"/>
    </row>
    <row r="296" ht="15.75" customHeight="1">
      <c r="A296" s="308"/>
      <c r="B296" s="1026">
        <v>272.0</v>
      </c>
      <c r="C296" s="1048">
        <f t="shared" si="12"/>
        <v>54072</v>
      </c>
      <c r="D296" s="1049">
        <f t="shared" si="6"/>
        <v>1</v>
      </c>
      <c r="E296" s="1050">
        <f t="shared" si="7"/>
        <v>2048</v>
      </c>
      <c r="F296" s="1050">
        <f t="shared" si="13"/>
        <v>0.000000001072436489</v>
      </c>
      <c r="G296" s="1050">
        <f t="shared" si="8"/>
        <v>0</v>
      </c>
      <c r="H296" s="1050">
        <f t="shared" si="9"/>
        <v>0</v>
      </c>
      <c r="I296" s="1050">
        <f t="shared" si="10"/>
        <v>0</v>
      </c>
      <c r="J296" s="1051">
        <f t="shared" si="11"/>
        <v>0</v>
      </c>
      <c r="K296" s="1043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897"/>
      <c r="W296" s="897"/>
      <c r="X296" s="897"/>
      <c r="Y296" s="897"/>
      <c r="Z296" s="897"/>
    </row>
    <row r="297" ht="15.75" customHeight="1">
      <c r="A297" s="308"/>
      <c r="B297" s="1026">
        <v>273.0</v>
      </c>
      <c r="C297" s="1048">
        <f t="shared" si="12"/>
        <v>54103</v>
      </c>
      <c r="D297" s="1049">
        <f t="shared" si="6"/>
        <v>2</v>
      </c>
      <c r="E297" s="1050">
        <f t="shared" si="7"/>
        <v>2048</v>
      </c>
      <c r="F297" s="1050">
        <f t="shared" si="13"/>
        <v>0.000000001075966592</v>
      </c>
      <c r="G297" s="1050">
        <f t="shared" si="8"/>
        <v>0</v>
      </c>
      <c r="H297" s="1050">
        <f t="shared" si="9"/>
        <v>0</v>
      </c>
      <c r="I297" s="1050">
        <f t="shared" si="10"/>
        <v>0</v>
      </c>
      <c r="J297" s="1051">
        <f t="shared" si="11"/>
        <v>0</v>
      </c>
      <c r="K297" s="1043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897"/>
      <c r="W297" s="897"/>
      <c r="X297" s="897"/>
      <c r="Y297" s="897"/>
      <c r="Z297" s="897"/>
    </row>
    <row r="298" ht="15.75" customHeight="1">
      <c r="A298" s="308"/>
      <c r="B298" s="1026">
        <v>274.0</v>
      </c>
      <c r="C298" s="1048">
        <f t="shared" si="12"/>
        <v>54132</v>
      </c>
      <c r="D298" s="1049">
        <f t="shared" si="6"/>
        <v>3</v>
      </c>
      <c r="E298" s="1050">
        <f t="shared" si="7"/>
        <v>2048</v>
      </c>
      <c r="F298" s="1050">
        <f t="shared" si="13"/>
        <v>0.000000001079508315</v>
      </c>
      <c r="G298" s="1050">
        <f t="shared" si="8"/>
        <v>0</v>
      </c>
      <c r="H298" s="1050">
        <f t="shared" si="9"/>
        <v>0</v>
      </c>
      <c r="I298" s="1050">
        <f t="shared" si="10"/>
        <v>0</v>
      </c>
      <c r="J298" s="1051">
        <f t="shared" si="11"/>
        <v>0</v>
      </c>
      <c r="K298" s="1043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897"/>
      <c r="W298" s="897"/>
      <c r="X298" s="897"/>
      <c r="Y298" s="897"/>
      <c r="Z298" s="897"/>
    </row>
    <row r="299" ht="15.75" customHeight="1">
      <c r="A299" s="308"/>
      <c r="B299" s="1026">
        <v>275.0</v>
      </c>
      <c r="C299" s="1048">
        <f t="shared" si="12"/>
        <v>54163</v>
      </c>
      <c r="D299" s="1049">
        <f t="shared" si="6"/>
        <v>4</v>
      </c>
      <c r="E299" s="1050">
        <f t="shared" si="7"/>
        <v>2048</v>
      </c>
      <c r="F299" s="1050">
        <f t="shared" si="13"/>
        <v>0.000000001083061697</v>
      </c>
      <c r="G299" s="1050">
        <f t="shared" si="8"/>
        <v>0</v>
      </c>
      <c r="H299" s="1050">
        <f t="shared" si="9"/>
        <v>0</v>
      </c>
      <c r="I299" s="1050">
        <f t="shared" si="10"/>
        <v>0</v>
      </c>
      <c r="J299" s="1051">
        <f t="shared" si="11"/>
        <v>0</v>
      </c>
      <c r="K299" s="1043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897"/>
      <c r="W299" s="897"/>
      <c r="X299" s="897"/>
      <c r="Y299" s="897"/>
      <c r="Z299" s="897"/>
    </row>
    <row r="300" ht="15.75" customHeight="1">
      <c r="A300" s="308"/>
      <c r="B300" s="1026">
        <v>276.0</v>
      </c>
      <c r="C300" s="1048">
        <f t="shared" si="12"/>
        <v>54193</v>
      </c>
      <c r="D300" s="1049">
        <f t="shared" si="6"/>
        <v>5</v>
      </c>
      <c r="E300" s="1050">
        <f t="shared" si="7"/>
        <v>2048</v>
      </c>
      <c r="F300" s="1050">
        <f t="shared" si="13"/>
        <v>0.000000001086626775</v>
      </c>
      <c r="G300" s="1050">
        <f t="shared" si="8"/>
        <v>0</v>
      </c>
      <c r="H300" s="1050">
        <f t="shared" si="9"/>
        <v>0</v>
      </c>
      <c r="I300" s="1050">
        <f t="shared" si="10"/>
        <v>0</v>
      </c>
      <c r="J300" s="1051">
        <f t="shared" si="11"/>
        <v>0</v>
      </c>
      <c r="K300" s="1043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897"/>
      <c r="W300" s="897"/>
      <c r="X300" s="897"/>
      <c r="Y300" s="897"/>
      <c r="Z300" s="897"/>
    </row>
    <row r="301" ht="15.75" customHeight="1">
      <c r="A301" s="308"/>
      <c r="B301" s="1026">
        <v>277.0</v>
      </c>
      <c r="C301" s="1048">
        <f t="shared" si="12"/>
        <v>54224</v>
      </c>
      <c r="D301" s="1049">
        <f t="shared" si="6"/>
        <v>6</v>
      </c>
      <c r="E301" s="1050">
        <f t="shared" si="7"/>
        <v>2048</v>
      </c>
      <c r="F301" s="1050">
        <f t="shared" si="13"/>
        <v>0.000000001090203588</v>
      </c>
      <c r="G301" s="1050">
        <f t="shared" si="8"/>
        <v>0</v>
      </c>
      <c r="H301" s="1050">
        <f t="shared" si="9"/>
        <v>0</v>
      </c>
      <c r="I301" s="1050">
        <f t="shared" si="10"/>
        <v>0</v>
      </c>
      <c r="J301" s="1051">
        <f t="shared" si="11"/>
        <v>0</v>
      </c>
      <c r="K301" s="1043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897"/>
      <c r="W301" s="897"/>
      <c r="X301" s="897"/>
      <c r="Y301" s="897"/>
      <c r="Z301" s="897"/>
    </row>
    <row r="302" ht="15.75" customHeight="1">
      <c r="A302" s="308"/>
      <c r="B302" s="1026">
        <v>278.0</v>
      </c>
      <c r="C302" s="1048">
        <f t="shared" si="12"/>
        <v>54254</v>
      </c>
      <c r="D302" s="1049">
        <f t="shared" si="6"/>
        <v>7</v>
      </c>
      <c r="E302" s="1050">
        <f t="shared" si="7"/>
        <v>2048</v>
      </c>
      <c r="F302" s="1050">
        <f t="shared" si="13"/>
        <v>0.000000001093792175</v>
      </c>
      <c r="G302" s="1050">
        <f t="shared" si="8"/>
        <v>0</v>
      </c>
      <c r="H302" s="1050">
        <f t="shared" si="9"/>
        <v>0</v>
      </c>
      <c r="I302" s="1050">
        <f t="shared" si="10"/>
        <v>0</v>
      </c>
      <c r="J302" s="1051">
        <f t="shared" si="11"/>
        <v>0</v>
      </c>
      <c r="K302" s="1043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897"/>
      <c r="W302" s="897"/>
      <c r="X302" s="897"/>
      <c r="Y302" s="897"/>
      <c r="Z302" s="897"/>
    </row>
    <row r="303" ht="15.75" customHeight="1">
      <c r="A303" s="308"/>
      <c r="B303" s="1026">
        <v>279.0</v>
      </c>
      <c r="C303" s="1048">
        <f t="shared" si="12"/>
        <v>54285</v>
      </c>
      <c r="D303" s="1049">
        <f t="shared" si="6"/>
        <v>8</v>
      </c>
      <c r="E303" s="1050">
        <f t="shared" si="7"/>
        <v>2048</v>
      </c>
      <c r="F303" s="1050">
        <f t="shared" si="13"/>
        <v>0.000000001097392574</v>
      </c>
      <c r="G303" s="1050">
        <f t="shared" si="8"/>
        <v>0</v>
      </c>
      <c r="H303" s="1050">
        <f t="shared" si="9"/>
        <v>0</v>
      </c>
      <c r="I303" s="1050">
        <f t="shared" si="10"/>
        <v>0</v>
      </c>
      <c r="J303" s="1051">
        <f t="shared" si="11"/>
        <v>0</v>
      </c>
      <c r="K303" s="1043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897"/>
      <c r="W303" s="897"/>
      <c r="X303" s="897"/>
      <c r="Y303" s="897"/>
      <c r="Z303" s="897"/>
    </row>
    <row r="304" ht="15.75" customHeight="1">
      <c r="A304" s="308"/>
      <c r="B304" s="1026">
        <v>280.0</v>
      </c>
      <c r="C304" s="1048">
        <f t="shared" si="12"/>
        <v>54316</v>
      </c>
      <c r="D304" s="1049">
        <f t="shared" si="6"/>
        <v>9</v>
      </c>
      <c r="E304" s="1050">
        <f t="shared" si="7"/>
        <v>2048</v>
      </c>
      <c r="F304" s="1050">
        <f t="shared" si="13"/>
        <v>0.000000001101004825</v>
      </c>
      <c r="G304" s="1050">
        <f t="shared" si="8"/>
        <v>0</v>
      </c>
      <c r="H304" s="1050">
        <f t="shared" si="9"/>
        <v>0</v>
      </c>
      <c r="I304" s="1050">
        <f t="shared" si="10"/>
        <v>0</v>
      </c>
      <c r="J304" s="1051">
        <f t="shared" si="11"/>
        <v>0</v>
      </c>
      <c r="K304" s="1043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897"/>
      <c r="W304" s="897"/>
      <c r="X304" s="897"/>
      <c r="Y304" s="897"/>
      <c r="Z304" s="897"/>
    </row>
    <row r="305" ht="15.75" customHeight="1">
      <c r="A305" s="308"/>
      <c r="B305" s="1026">
        <v>281.0</v>
      </c>
      <c r="C305" s="1048">
        <f t="shared" si="12"/>
        <v>54346</v>
      </c>
      <c r="D305" s="1049">
        <f t="shared" si="6"/>
        <v>10</v>
      </c>
      <c r="E305" s="1050">
        <f t="shared" si="7"/>
        <v>2048</v>
      </c>
      <c r="F305" s="1050">
        <f t="shared" si="13"/>
        <v>0.000000001104628966</v>
      </c>
      <c r="G305" s="1050">
        <f t="shared" si="8"/>
        <v>0</v>
      </c>
      <c r="H305" s="1050">
        <f t="shared" si="9"/>
        <v>0</v>
      </c>
      <c r="I305" s="1050">
        <f t="shared" si="10"/>
        <v>0</v>
      </c>
      <c r="J305" s="1051">
        <f t="shared" si="11"/>
        <v>0</v>
      </c>
      <c r="K305" s="1043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897"/>
      <c r="W305" s="897"/>
      <c r="X305" s="897"/>
      <c r="Y305" s="897"/>
      <c r="Z305" s="897"/>
    </row>
    <row r="306" ht="15.75" customHeight="1">
      <c r="A306" s="308"/>
      <c r="B306" s="1026">
        <v>282.0</v>
      </c>
      <c r="C306" s="1048">
        <f t="shared" si="12"/>
        <v>54377</v>
      </c>
      <c r="D306" s="1049">
        <f t="shared" si="6"/>
        <v>11</v>
      </c>
      <c r="E306" s="1050">
        <f t="shared" si="7"/>
        <v>2048</v>
      </c>
      <c r="F306" s="1050">
        <f t="shared" si="13"/>
        <v>0.000000001108265036</v>
      </c>
      <c r="G306" s="1050">
        <f t="shared" si="8"/>
        <v>0</v>
      </c>
      <c r="H306" s="1050">
        <f t="shared" si="9"/>
        <v>0</v>
      </c>
      <c r="I306" s="1050">
        <f t="shared" si="10"/>
        <v>0</v>
      </c>
      <c r="J306" s="1051">
        <f t="shared" si="11"/>
        <v>0</v>
      </c>
      <c r="K306" s="1043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897"/>
      <c r="W306" s="897"/>
      <c r="X306" s="897"/>
      <c r="Y306" s="897"/>
      <c r="Z306" s="897"/>
    </row>
    <row r="307" ht="15.75" customHeight="1">
      <c r="A307" s="308"/>
      <c r="B307" s="1026">
        <v>283.0</v>
      </c>
      <c r="C307" s="1048">
        <f t="shared" si="12"/>
        <v>54407</v>
      </c>
      <c r="D307" s="1049">
        <f t="shared" si="6"/>
        <v>12</v>
      </c>
      <c r="E307" s="1050">
        <f t="shared" si="7"/>
        <v>2048</v>
      </c>
      <c r="F307" s="1050">
        <f t="shared" si="13"/>
        <v>0.000000001111913075</v>
      </c>
      <c r="G307" s="1050">
        <f t="shared" si="8"/>
        <v>0</v>
      </c>
      <c r="H307" s="1050">
        <f t="shared" si="9"/>
        <v>0</v>
      </c>
      <c r="I307" s="1050">
        <f t="shared" si="10"/>
        <v>0</v>
      </c>
      <c r="J307" s="1051">
        <f t="shared" si="11"/>
        <v>0</v>
      </c>
      <c r="K307" s="1043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897"/>
      <c r="W307" s="897"/>
      <c r="X307" s="897"/>
      <c r="Y307" s="897"/>
      <c r="Z307" s="897"/>
    </row>
    <row r="308" ht="15.75" customHeight="1">
      <c r="A308" s="308"/>
      <c r="B308" s="1026">
        <v>284.0</v>
      </c>
      <c r="C308" s="1048">
        <f t="shared" si="12"/>
        <v>54438</v>
      </c>
      <c r="D308" s="1049">
        <f t="shared" si="6"/>
        <v>1</v>
      </c>
      <c r="E308" s="1050">
        <f t="shared" si="7"/>
        <v>2049</v>
      </c>
      <c r="F308" s="1050">
        <f t="shared" si="13"/>
        <v>0.000000001115573122</v>
      </c>
      <c r="G308" s="1050">
        <f t="shared" si="8"/>
        <v>0</v>
      </c>
      <c r="H308" s="1050">
        <f t="shared" si="9"/>
        <v>0</v>
      </c>
      <c r="I308" s="1050">
        <f t="shared" si="10"/>
        <v>0</v>
      </c>
      <c r="J308" s="1051">
        <f t="shared" si="11"/>
        <v>0</v>
      </c>
      <c r="K308" s="1043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897"/>
      <c r="W308" s="897"/>
      <c r="X308" s="897"/>
      <c r="Y308" s="897"/>
      <c r="Z308" s="897"/>
    </row>
    <row r="309" ht="15.75" customHeight="1">
      <c r="A309" s="308"/>
      <c r="B309" s="1026">
        <v>285.0</v>
      </c>
      <c r="C309" s="1048">
        <f t="shared" si="12"/>
        <v>54469</v>
      </c>
      <c r="D309" s="1049">
        <f t="shared" si="6"/>
        <v>2</v>
      </c>
      <c r="E309" s="1050">
        <f t="shared" si="7"/>
        <v>2049</v>
      </c>
      <c r="F309" s="1050">
        <f t="shared" si="13"/>
        <v>0.000000001119245217</v>
      </c>
      <c r="G309" s="1050">
        <f t="shared" si="8"/>
        <v>0</v>
      </c>
      <c r="H309" s="1050">
        <f t="shared" si="9"/>
        <v>0</v>
      </c>
      <c r="I309" s="1050">
        <f t="shared" si="10"/>
        <v>0</v>
      </c>
      <c r="J309" s="1051">
        <f t="shared" si="11"/>
        <v>0</v>
      </c>
      <c r="K309" s="1043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897"/>
      <c r="W309" s="897"/>
      <c r="X309" s="897"/>
      <c r="Y309" s="897"/>
      <c r="Z309" s="897"/>
    </row>
    <row r="310" ht="15.75" customHeight="1">
      <c r="A310" s="308"/>
      <c r="B310" s="1026">
        <v>286.0</v>
      </c>
      <c r="C310" s="1048">
        <f t="shared" si="12"/>
        <v>54497</v>
      </c>
      <c r="D310" s="1049">
        <f t="shared" si="6"/>
        <v>3</v>
      </c>
      <c r="E310" s="1050">
        <f t="shared" si="7"/>
        <v>2049</v>
      </c>
      <c r="F310" s="1050">
        <f t="shared" si="13"/>
        <v>0.000000001122929399</v>
      </c>
      <c r="G310" s="1050">
        <f t="shared" si="8"/>
        <v>0</v>
      </c>
      <c r="H310" s="1050">
        <f t="shared" si="9"/>
        <v>0</v>
      </c>
      <c r="I310" s="1050">
        <f t="shared" si="10"/>
        <v>0</v>
      </c>
      <c r="J310" s="1051">
        <f t="shared" si="11"/>
        <v>0</v>
      </c>
      <c r="K310" s="1043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897"/>
      <c r="W310" s="897"/>
      <c r="X310" s="897"/>
      <c r="Y310" s="897"/>
      <c r="Z310" s="897"/>
    </row>
    <row r="311" ht="15.75" customHeight="1">
      <c r="A311" s="308"/>
      <c r="B311" s="1026">
        <v>287.0</v>
      </c>
      <c r="C311" s="1048">
        <f t="shared" si="12"/>
        <v>54528</v>
      </c>
      <c r="D311" s="1049">
        <f t="shared" si="6"/>
        <v>4</v>
      </c>
      <c r="E311" s="1050">
        <f t="shared" si="7"/>
        <v>2049</v>
      </c>
      <c r="F311" s="1050">
        <f t="shared" si="13"/>
        <v>0.000000001126625709</v>
      </c>
      <c r="G311" s="1050">
        <f t="shared" si="8"/>
        <v>0</v>
      </c>
      <c r="H311" s="1050">
        <f t="shared" si="9"/>
        <v>0</v>
      </c>
      <c r="I311" s="1050">
        <f t="shared" si="10"/>
        <v>0</v>
      </c>
      <c r="J311" s="1051">
        <f t="shared" si="11"/>
        <v>0</v>
      </c>
      <c r="K311" s="1043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897"/>
      <c r="W311" s="897"/>
      <c r="X311" s="897"/>
      <c r="Y311" s="897"/>
      <c r="Z311" s="897"/>
    </row>
    <row r="312" ht="15.75" customHeight="1">
      <c r="A312" s="308"/>
      <c r="B312" s="1026">
        <v>288.0</v>
      </c>
      <c r="C312" s="1048">
        <f t="shared" si="12"/>
        <v>54558</v>
      </c>
      <c r="D312" s="1049">
        <f t="shared" si="6"/>
        <v>5</v>
      </c>
      <c r="E312" s="1050">
        <f t="shared" si="7"/>
        <v>2049</v>
      </c>
      <c r="F312" s="1050">
        <f t="shared" si="13"/>
        <v>0.000000001130334185</v>
      </c>
      <c r="G312" s="1050">
        <f t="shared" si="8"/>
        <v>0</v>
      </c>
      <c r="H312" s="1050">
        <f t="shared" si="9"/>
        <v>0</v>
      </c>
      <c r="I312" s="1050">
        <f t="shared" si="10"/>
        <v>0</v>
      </c>
      <c r="J312" s="1051">
        <f t="shared" si="11"/>
        <v>0</v>
      </c>
      <c r="K312" s="1043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897"/>
      <c r="W312" s="897"/>
      <c r="X312" s="897"/>
      <c r="Y312" s="897"/>
      <c r="Z312" s="897"/>
    </row>
    <row r="313" ht="15.75" customHeight="1">
      <c r="A313" s="308"/>
      <c r="B313" s="1026">
        <v>289.0</v>
      </c>
      <c r="C313" s="1048">
        <f t="shared" si="12"/>
        <v>54589</v>
      </c>
      <c r="D313" s="1049">
        <f t="shared" si="6"/>
        <v>6</v>
      </c>
      <c r="E313" s="1050">
        <f t="shared" si="7"/>
        <v>2049</v>
      </c>
      <c r="F313" s="1050">
        <f t="shared" si="13"/>
        <v>0.000000001134054868</v>
      </c>
      <c r="G313" s="1050">
        <f t="shared" si="8"/>
        <v>0</v>
      </c>
      <c r="H313" s="1050">
        <f t="shared" si="9"/>
        <v>0</v>
      </c>
      <c r="I313" s="1050">
        <f t="shared" si="10"/>
        <v>0</v>
      </c>
      <c r="J313" s="1051">
        <f t="shared" si="11"/>
        <v>0</v>
      </c>
      <c r="K313" s="1043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897"/>
      <c r="W313" s="897"/>
      <c r="X313" s="897"/>
      <c r="Y313" s="897"/>
      <c r="Z313" s="897"/>
    </row>
    <row r="314" ht="15.75" customHeight="1">
      <c r="A314" s="308"/>
      <c r="B314" s="1026">
        <v>290.0</v>
      </c>
      <c r="C314" s="1048">
        <f t="shared" si="12"/>
        <v>54619</v>
      </c>
      <c r="D314" s="1049">
        <f t="shared" si="6"/>
        <v>7</v>
      </c>
      <c r="E314" s="1050">
        <f t="shared" si="7"/>
        <v>2049</v>
      </c>
      <c r="F314" s="1050">
        <f t="shared" si="13"/>
        <v>0.000000001137787799</v>
      </c>
      <c r="G314" s="1050">
        <f t="shared" si="8"/>
        <v>0</v>
      </c>
      <c r="H314" s="1050">
        <f t="shared" si="9"/>
        <v>0</v>
      </c>
      <c r="I314" s="1050">
        <f t="shared" si="10"/>
        <v>0</v>
      </c>
      <c r="J314" s="1051">
        <f t="shared" si="11"/>
        <v>0</v>
      </c>
      <c r="K314" s="1043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897"/>
      <c r="W314" s="897"/>
      <c r="X314" s="897"/>
      <c r="Y314" s="897"/>
      <c r="Z314" s="897"/>
    </row>
    <row r="315" ht="15.75" customHeight="1">
      <c r="A315" s="308"/>
      <c r="B315" s="1026">
        <v>291.0</v>
      </c>
      <c r="C315" s="1048">
        <f t="shared" si="12"/>
        <v>54650</v>
      </c>
      <c r="D315" s="1049">
        <f t="shared" si="6"/>
        <v>8</v>
      </c>
      <c r="E315" s="1050">
        <f t="shared" si="7"/>
        <v>2049</v>
      </c>
      <c r="F315" s="1050">
        <f t="shared" si="13"/>
        <v>0.000000001141533017</v>
      </c>
      <c r="G315" s="1050">
        <f t="shared" si="8"/>
        <v>0</v>
      </c>
      <c r="H315" s="1050">
        <f t="shared" si="9"/>
        <v>0</v>
      </c>
      <c r="I315" s="1050">
        <f t="shared" si="10"/>
        <v>0</v>
      </c>
      <c r="J315" s="1051">
        <f t="shared" si="11"/>
        <v>0</v>
      </c>
      <c r="K315" s="1043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897"/>
      <c r="W315" s="897"/>
      <c r="X315" s="897"/>
      <c r="Y315" s="897"/>
      <c r="Z315" s="897"/>
    </row>
    <row r="316" ht="15.75" customHeight="1">
      <c r="A316" s="308"/>
      <c r="B316" s="1026">
        <v>292.0</v>
      </c>
      <c r="C316" s="1048">
        <f t="shared" si="12"/>
        <v>54681</v>
      </c>
      <c r="D316" s="1049">
        <f t="shared" si="6"/>
        <v>9</v>
      </c>
      <c r="E316" s="1050">
        <f t="shared" si="7"/>
        <v>2049</v>
      </c>
      <c r="F316" s="1050">
        <f t="shared" si="13"/>
        <v>0.000000001145290563</v>
      </c>
      <c r="G316" s="1050">
        <f t="shared" si="8"/>
        <v>0</v>
      </c>
      <c r="H316" s="1050">
        <f t="shared" si="9"/>
        <v>0</v>
      </c>
      <c r="I316" s="1050">
        <f t="shared" si="10"/>
        <v>0</v>
      </c>
      <c r="J316" s="1051">
        <f t="shared" si="11"/>
        <v>0</v>
      </c>
      <c r="K316" s="1043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897"/>
      <c r="W316" s="897"/>
      <c r="X316" s="897"/>
      <c r="Y316" s="897"/>
      <c r="Z316" s="897"/>
    </row>
    <row r="317" ht="15.75" customHeight="1">
      <c r="A317" s="308"/>
      <c r="B317" s="1026">
        <v>293.0</v>
      </c>
      <c r="C317" s="1048">
        <f t="shared" si="12"/>
        <v>54711</v>
      </c>
      <c r="D317" s="1049">
        <f t="shared" si="6"/>
        <v>10</v>
      </c>
      <c r="E317" s="1050">
        <f t="shared" si="7"/>
        <v>2049</v>
      </c>
      <c r="F317" s="1050">
        <f t="shared" si="13"/>
        <v>0.000000001149060478</v>
      </c>
      <c r="G317" s="1050">
        <f t="shared" si="8"/>
        <v>0</v>
      </c>
      <c r="H317" s="1050">
        <f t="shared" si="9"/>
        <v>0</v>
      </c>
      <c r="I317" s="1050">
        <f t="shared" si="10"/>
        <v>0</v>
      </c>
      <c r="J317" s="1051">
        <f t="shared" si="11"/>
        <v>0</v>
      </c>
      <c r="K317" s="1043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897"/>
      <c r="W317" s="897"/>
      <c r="X317" s="897"/>
      <c r="Y317" s="897"/>
      <c r="Z317" s="897"/>
    </row>
    <row r="318" ht="15.75" customHeight="1">
      <c r="A318" s="308"/>
      <c r="B318" s="1026">
        <v>294.0</v>
      </c>
      <c r="C318" s="1048">
        <f t="shared" si="12"/>
        <v>54742</v>
      </c>
      <c r="D318" s="1049">
        <f t="shared" si="6"/>
        <v>11</v>
      </c>
      <c r="E318" s="1050">
        <f t="shared" si="7"/>
        <v>2049</v>
      </c>
      <c r="F318" s="1050">
        <f t="shared" si="13"/>
        <v>0.000000001152842802</v>
      </c>
      <c r="G318" s="1050">
        <f t="shared" si="8"/>
        <v>0</v>
      </c>
      <c r="H318" s="1050">
        <f t="shared" si="9"/>
        <v>0</v>
      </c>
      <c r="I318" s="1050">
        <f t="shared" si="10"/>
        <v>0</v>
      </c>
      <c r="J318" s="1051">
        <f t="shared" si="11"/>
        <v>0</v>
      </c>
      <c r="K318" s="1043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897"/>
      <c r="W318" s="897"/>
      <c r="X318" s="897"/>
      <c r="Y318" s="897"/>
      <c r="Z318" s="897"/>
    </row>
    <row r="319" ht="15.75" customHeight="1">
      <c r="A319" s="308"/>
      <c r="B319" s="1026">
        <v>295.0</v>
      </c>
      <c r="C319" s="1048">
        <f t="shared" si="12"/>
        <v>54772</v>
      </c>
      <c r="D319" s="1049">
        <f t="shared" si="6"/>
        <v>12</v>
      </c>
      <c r="E319" s="1050">
        <f t="shared" si="7"/>
        <v>2049</v>
      </c>
      <c r="F319" s="1050">
        <f t="shared" si="13"/>
        <v>0.000000001156637576</v>
      </c>
      <c r="G319" s="1050">
        <f t="shared" si="8"/>
        <v>0</v>
      </c>
      <c r="H319" s="1050">
        <f t="shared" si="9"/>
        <v>0</v>
      </c>
      <c r="I319" s="1050">
        <f t="shared" si="10"/>
        <v>0</v>
      </c>
      <c r="J319" s="1051">
        <f t="shared" si="11"/>
        <v>0</v>
      </c>
      <c r="K319" s="1043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897"/>
      <c r="W319" s="897"/>
      <c r="X319" s="897"/>
      <c r="Y319" s="897"/>
      <c r="Z319" s="897"/>
    </row>
    <row r="320" ht="15.75" customHeight="1">
      <c r="A320" s="308"/>
      <c r="B320" s="1026">
        <v>296.0</v>
      </c>
      <c r="C320" s="1048">
        <f t="shared" si="12"/>
        <v>54803</v>
      </c>
      <c r="D320" s="1049">
        <f t="shared" si="6"/>
        <v>1</v>
      </c>
      <c r="E320" s="1050">
        <f t="shared" si="7"/>
        <v>2050</v>
      </c>
      <c r="F320" s="1050">
        <f t="shared" si="13"/>
        <v>0.000000001160444842</v>
      </c>
      <c r="G320" s="1050">
        <f t="shared" si="8"/>
        <v>0</v>
      </c>
      <c r="H320" s="1050">
        <f t="shared" si="9"/>
        <v>0</v>
      </c>
      <c r="I320" s="1050">
        <f t="shared" si="10"/>
        <v>0</v>
      </c>
      <c r="J320" s="1051">
        <f t="shared" si="11"/>
        <v>0</v>
      </c>
      <c r="K320" s="1043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897"/>
      <c r="W320" s="897"/>
      <c r="X320" s="897"/>
      <c r="Y320" s="897"/>
      <c r="Z320" s="897"/>
    </row>
    <row r="321" ht="15.75" customHeight="1">
      <c r="A321" s="308"/>
      <c r="B321" s="1026">
        <v>297.0</v>
      </c>
      <c r="C321" s="1048">
        <f t="shared" si="12"/>
        <v>54834</v>
      </c>
      <c r="D321" s="1049">
        <f t="shared" si="6"/>
        <v>2</v>
      </c>
      <c r="E321" s="1050">
        <f t="shared" si="7"/>
        <v>2050</v>
      </c>
      <c r="F321" s="1050">
        <f t="shared" si="13"/>
        <v>0.000000001164264639</v>
      </c>
      <c r="G321" s="1050">
        <f t="shared" si="8"/>
        <v>0</v>
      </c>
      <c r="H321" s="1050">
        <f t="shared" si="9"/>
        <v>0</v>
      </c>
      <c r="I321" s="1050">
        <f t="shared" si="10"/>
        <v>0</v>
      </c>
      <c r="J321" s="1051">
        <f t="shared" si="11"/>
        <v>0</v>
      </c>
      <c r="K321" s="1043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897"/>
      <c r="W321" s="897"/>
      <c r="X321" s="897"/>
      <c r="Y321" s="897"/>
      <c r="Z321" s="897"/>
    </row>
    <row r="322" ht="15.75" customHeight="1">
      <c r="A322" s="308"/>
      <c r="B322" s="1026">
        <v>298.0</v>
      </c>
      <c r="C322" s="1048">
        <f t="shared" si="12"/>
        <v>54862</v>
      </c>
      <c r="D322" s="1049">
        <f t="shared" si="6"/>
        <v>3</v>
      </c>
      <c r="E322" s="1050">
        <f t="shared" si="7"/>
        <v>2050</v>
      </c>
      <c r="F322" s="1050">
        <f t="shared" si="13"/>
        <v>0.00000000116809701</v>
      </c>
      <c r="G322" s="1050">
        <f t="shared" si="8"/>
        <v>0</v>
      </c>
      <c r="H322" s="1050">
        <f t="shared" si="9"/>
        <v>0</v>
      </c>
      <c r="I322" s="1050">
        <f t="shared" si="10"/>
        <v>0</v>
      </c>
      <c r="J322" s="1051">
        <f t="shared" si="11"/>
        <v>0</v>
      </c>
      <c r="K322" s="1043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897"/>
      <c r="W322" s="897"/>
      <c r="X322" s="897"/>
      <c r="Y322" s="897"/>
      <c r="Z322" s="897"/>
    </row>
    <row r="323" ht="15.75" customHeight="1">
      <c r="A323" s="308"/>
      <c r="B323" s="1026">
        <v>299.0</v>
      </c>
      <c r="C323" s="1048">
        <f t="shared" si="12"/>
        <v>54893</v>
      </c>
      <c r="D323" s="1049">
        <f t="shared" si="6"/>
        <v>4</v>
      </c>
      <c r="E323" s="1050">
        <f t="shared" si="7"/>
        <v>2050</v>
      </c>
      <c r="F323" s="1050">
        <f t="shared" si="13"/>
        <v>0.000000001171941996</v>
      </c>
      <c r="G323" s="1050">
        <f t="shared" si="8"/>
        <v>0</v>
      </c>
      <c r="H323" s="1050">
        <f t="shared" si="9"/>
        <v>0</v>
      </c>
      <c r="I323" s="1050">
        <f t="shared" si="10"/>
        <v>0</v>
      </c>
      <c r="J323" s="1051">
        <f t="shared" si="11"/>
        <v>0</v>
      </c>
      <c r="K323" s="1043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897"/>
      <c r="W323" s="897"/>
      <c r="X323" s="897"/>
      <c r="Y323" s="897"/>
      <c r="Z323" s="897"/>
    </row>
    <row r="324" ht="15.75" customHeight="1">
      <c r="A324" s="308"/>
      <c r="B324" s="1026">
        <v>300.0</v>
      </c>
      <c r="C324" s="1048">
        <f t="shared" si="12"/>
        <v>54923</v>
      </c>
      <c r="D324" s="1049">
        <f t="shared" si="6"/>
        <v>5</v>
      </c>
      <c r="E324" s="1050">
        <f t="shared" si="7"/>
        <v>2050</v>
      </c>
      <c r="F324" s="1050">
        <f t="shared" si="13"/>
        <v>0.000000001175799639</v>
      </c>
      <c r="G324" s="1050">
        <f t="shared" si="8"/>
        <v>0</v>
      </c>
      <c r="H324" s="1050">
        <f t="shared" si="9"/>
        <v>0</v>
      </c>
      <c r="I324" s="1050">
        <f t="shared" si="10"/>
        <v>0</v>
      </c>
      <c r="J324" s="1051">
        <f t="shared" si="11"/>
        <v>0</v>
      </c>
      <c r="K324" s="1043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897"/>
      <c r="W324" s="897"/>
      <c r="X324" s="897"/>
      <c r="Y324" s="897"/>
      <c r="Z324" s="897"/>
    </row>
    <row r="325" ht="15.75" customHeight="1">
      <c r="A325" s="308"/>
      <c r="B325" s="1026">
        <v>301.0</v>
      </c>
      <c r="C325" s="1048">
        <f t="shared" si="12"/>
        <v>54954</v>
      </c>
      <c r="D325" s="1049">
        <f t="shared" si="6"/>
        <v>6</v>
      </c>
      <c r="E325" s="1050">
        <f t="shared" si="7"/>
        <v>2050</v>
      </c>
      <c r="F325" s="1050">
        <f t="shared" si="13"/>
        <v>0.000000001179669979</v>
      </c>
      <c r="G325" s="1050">
        <f t="shared" si="8"/>
        <v>0</v>
      </c>
      <c r="H325" s="1050">
        <f t="shared" si="9"/>
        <v>0</v>
      </c>
      <c r="I325" s="1050">
        <f t="shared" si="10"/>
        <v>0</v>
      </c>
      <c r="J325" s="1051">
        <f t="shared" si="11"/>
        <v>0</v>
      </c>
      <c r="K325" s="1043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897"/>
      <c r="W325" s="897"/>
      <c r="X325" s="897"/>
      <c r="Y325" s="897"/>
      <c r="Z325" s="897"/>
    </row>
    <row r="326" ht="15.75" customHeight="1">
      <c r="A326" s="308"/>
      <c r="B326" s="1026">
        <v>302.0</v>
      </c>
      <c r="C326" s="1048">
        <f t="shared" si="12"/>
        <v>54984</v>
      </c>
      <c r="D326" s="1049">
        <f t="shared" si="6"/>
        <v>7</v>
      </c>
      <c r="E326" s="1050">
        <f t="shared" si="7"/>
        <v>2050</v>
      </c>
      <c r="F326" s="1050">
        <f t="shared" si="13"/>
        <v>0.000000001183553059</v>
      </c>
      <c r="G326" s="1050">
        <f t="shared" si="8"/>
        <v>0</v>
      </c>
      <c r="H326" s="1050">
        <f t="shared" si="9"/>
        <v>0</v>
      </c>
      <c r="I326" s="1050">
        <f t="shared" si="10"/>
        <v>0</v>
      </c>
      <c r="J326" s="1051">
        <f t="shared" si="11"/>
        <v>0</v>
      </c>
      <c r="K326" s="1043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897"/>
      <c r="W326" s="897"/>
      <c r="X326" s="897"/>
      <c r="Y326" s="897"/>
      <c r="Z326" s="897"/>
    </row>
    <row r="327" ht="15.75" customHeight="1">
      <c r="A327" s="308"/>
      <c r="B327" s="1026">
        <v>303.0</v>
      </c>
      <c r="C327" s="1048">
        <f t="shared" si="12"/>
        <v>55015</v>
      </c>
      <c r="D327" s="1049">
        <f t="shared" si="6"/>
        <v>8</v>
      </c>
      <c r="E327" s="1050">
        <f t="shared" si="7"/>
        <v>2050</v>
      </c>
      <c r="F327" s="1050">
        <f t="shared" si="13"/>
        <v>0.000000001187448922</v>
      </c>
      <c r="G327" s="1050">
        <f t="shared" si="8"/>
        <v>0</v>
      </c>
      <c r="H327" s="1050">
        <f t="shared" si="9"/>
        <v>0</v>
      </c>
      <c r="I327" s="1050">
        <f t="shared" si="10"/>
        <v>0</v>
      </c>
      <c r="J327" s="1051">
        <f t="shared" si="11"/>
        <v>0</v>
      </c>
      <c r="K327" s="1043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897"/>
      <c r="W327" s="897"/>
      <c r="X327" s="897"/>
      <c r="Y327" s="897"/>
      <c r="Z327" s="897"/>
    </row>
    <row r="328" ht="15.75" customHeight="1">
      <c r="A328" s="308"/>
      <c r="B328" s="1026">
        <v>304.0</v>
      </c>
      <c r="C328" s="1048">
        <f t="shared" si="12"/>
        <v>55046</v>
      </c>
      <c r="D328" s="1049">
        <f t="shared" si="6"/>
        <v>9</v>
      </c>
      <c r="E328" s="1050">
        <f t="shared" si="7"/>
        <v>2050</v>
      </c>
      <c r="F328" s="1050">
        <f t="shared" si="13"/>
        <v>0.000000001191357608</v>
      </c>
      <c r="G328" s="1050">
        <f t="shared" si="8"/>
        <v>0</v>
      </c>
      <c r="H328" s="1050">
        <f t="shared" si="9"/>
        <v>0</v>
      </c>
      <c r="I328" s="1050">
        <f t="shared" si="10"/>
        <v>0</v>
      </c>
      <c r="J328" s="1051">
        <f t="shared" si="11"/>
        <v>0</v>
      </c>
      <c r="K328" s="1043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897"/>
      <c r="W328" s="897"/>
      <c r="X328" s="897"/>
      <c r="Y328" s="897"/>
      <c r="Z328" s="897"/>
    </row>
    <row r="329" ht="15.75" customHeight="1">
      <c r="A329" s="308"/>
      <c r="B329" s="1026">
        <v>305.0</v>
      </c>
      <c r="C329" s="1048">
        <f t="shared" si="12"/>
        <v>55076</v>
      </c>
      <c r="D329" s="1049">
        <f t="shared" si="6"/>
        <v>10</v>
      </c>
      <c r="E329" s="1050">
        <f t="shared" si="7"/>
        <v>2050</v>
      </c>
      <c r="F329" s="1050">
        <f t="shared" si="13"/>
        <v>0.00000000119527916</v>
      </c>
      <c r="G329" s="1050">
        <f t="shared" si="8"/>
        <v>0</v>
      </c>
      <c r="H329" s="1050">
        <f t="shared" si="9"/>
        <v>0</v>
      </c>
      <c r="I329" s="1050">
        <f t="shared" si="10"/>
        <v>0</v>
      </c>
      <c r="J329" s="1051">
        <f t="shared" si="11"/>
        <v>0</v>
      </c>
      <c r="K329" s="1043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897"/>
      <c r="W329" s="897"/>
      <c r="X329" s="897"/>
      <c r="Y329" s="897"/>
      <c r="Z329" s="897"/>
    </row>
    <row r="330" ht="15.75" customHeight="1">
      <c r="A330" s="308"/>
      <c r="B330" s="1026">
        <v>306.0</v>
      </c>
      <c r="C330" s="1048">
        <f t="shared" si="12"/>
        <v>55107</v>
      </c>
      <c r="D330" s="1049">
        <f t="shared" si="6"/>
        <v>11</v>
      </c>
      <c r="E330" s="1050">
        <f t="shared" si="7"/>
        <v>2050</v>
      </c>
      <c r="F330" s="1050">
        <f t="shared" si="13"/>
        <v>0.00000000119921362</v>
      </c>
      <c r="G330" s="1050">
        <f t="shared" si="8"/>
        <v>0</v>
      </c>
      <c r="H330" s="1050">
        <f t="shared" si="9"/>
        <v>0</v>
      </c>
      <c r="I330" s="1050">
        <f t="shared" si="10"/>
        <v>0</v>
      </c>
      <c r="J330" s="1051">
        <f t="shared" si="11"/>
        <v>0</v>
      </c>
      <c r="K330" s="1043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897"/>
      <c r="W330" s="897"/>
      <c r="X330" s="897"/>
      <c r="Y330" s="897"/>
      <c r="Z330" s="897"/>
    </row>
    <row r="331" ht="15.75" customHeight="1">
      <c r="A331" s="308"/>
      <c r="B331" s="1026">
        <v>307.0</v>
      </c>
      <c r="C331" s="1048">
        <f t="shared" si="12"/>
        <v>55137</v>
      </c>
      <c r="D331" s="1049">
        <f t="shared" si="6"/>
        <v>12</v>
      </c>
      <c r="E331" s="1050">
        <f t="shared" si="7"/>
        <v>2050</v>
      </c>
      <c r="F331" s="1050">
        <f t="shared" si="13"/>
        <v>0.000000001203161032</v>
      </c>
      <c r="G331" s="1050">
        <f t="shared" si="8"/>
        <v>0</v>
      </c>
      <c r="H331" s="1050">
        <f t="shared" si="9"/>
        <v>0</v>
      </c>
      <c r="I331" s="1050">
        <f t="shared" si="10"/>
        <v>0</v>
      </c>
      <c r="J331" s="1051">
        <f t="shared" si="11"/>
        <v>0</v>
      </c>
      <c r="K331" s="1043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897"/>
      <c r="W331" s="897"/>
      <c r="X331" s="897"/>
      <c r="Y331" s="897"/>
      <c r="Z331" s="897"/>
    </row>
    <row r="332" ht="15.75" customHeight="1">
      <c r="A332" s="308"/>
      <c r="B332" s="1026">
        <v>308.0</v>
      </c>
      <c r="C332" s="1048">
        <f t="shared" si="12"/>
        <v>55168</v>
      </c>
      <c r="D332" s="1049">
        <f t="shared" si="6"/>
        <v>1</v>
      </c>
      <c r="E332" s="1050">
        <f t="shared" si="7"/>
        <v>2051</v>
      </c>
      <c r="F332" s="1050">
        <f t="shared" si="13"/>
        <v>0.000000001207121437</v>
      </c>
      <c r="G332" s="1050">
        <f t="shared" si="8"/>
        <v>0</v>
      </c>
      <c r="H332" s="1050">
        <f t="shared" si="9"/>
        <v>0</v>
      </c>
      <c r="I332" s="1050">
        <f t="shared" si="10"/>
        <v>0</v>
      </c>
      <c r="J332" s="1051">
        <f t="shared" si="11"/>
        <v>0</v>
      </c>
      <c r="K332" s="1043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897"/>
      <c r="W332" s="897"/>
      <c r="X332" s="897"/>
      <c r="Y332" s="897"/>
      <c r="Z332" s="897"/>
    </row>
    <row r="333" ht="15.75" customHeight="1">
      <c r="A333" s="308"/>
      <c r="B333" s="1026">
        <v>309.0</v>
      </c>
      <c r="C333" s="1048">
        <f t="shared" si="12"/>
        <v>55199</v>
      </c>
      <c r="D333" s="1049">
        <f t="shared" si="6"/>
        <v>2</v>
      </c>
      <c r="E333" s="1050">
        <f t="shared" si="7"/>
        <v>2051</v>
      </c>
      <c r="F333" s="1050">
        <f t="shared" si="13"/>
        <v>0.000000001211094878</v>
      </c>
      <c r="G333" s="1050">
        <f t="shared" si="8"/>
        <v>0</v>
      </c>
      <c r="H333" s="1050">
        <f t="shared" si="9"/>
        <v>0</v>
      </c>
      <c r="I333" s="1050">
        <f t="shared" si="10"/>
        <v>0</v>
      </c>
      <c r="J333" s="1051">
        <f t="shared" si="11"/>
        <v>0</v>
      </c>
      <c r="K333" s="1043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897"/>
      <c r="W333" s="897"/>
      <c r="X333" s="897"/>
      <c r="Y333" s="897"/>
      <c r="Z333" s="897"/>
    </row>
    <row r="334" ht="15.75" customHeight="1">
      <c r="A334" s="308"/>
      <c r="B334" s="1026">
        <v>310.0</v>
      </c>
      <c r="C334" s="1048">
        <f t="shared" si="12"/>
        <v>55227</v>
      </c>
      <c r="D334" s="1049">
        <f t="shared" si="6"/>
        <v>3</v>
      </c>
      <c r="E334" s="1050">
        <f t="shared" si="7"/>
        <v>2051</v>
      </c>
      <c r="F334" s="1050">
        <f t="shared" si="13"/>
        <v>0.000000001215081399</v>
      </c>
      <c r="G334" s="1050">
        <f t="shared" si="8"/>
        <v>0</v>
      </c>
      <c r="H334" s="1050">
        <f t="shared" si="9"/>
        <v>0</v>
      </c>
      <c r="I334" s="1050">
        <f t="shared" si="10"/>
        <v>0</v>
      </c>
      <c r="J334" s="1051">
        <f t="shared" si="11"/>
        <v>0</v>
      </c>
      <c r="K334" s="1043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897"/>
      <c r="W334" s="897"/>
      <c r="X334" s="897"/>
      <c r="Y334" s="897"/>
      <c r="Z334" s="897"/>
    </row>
    <row r="335" ht="15.75" customHeight="1">
      <c r="A335" s="308"/>
      <c r="B335" s="1026">
        <v>311.0</v>
      </c>
      <c r="C335" s="1048">
        <f t="shared" si="12"/>
        <v>55258</v>
      </c>
      <c r="D335" s="1049">
        <f t="shared" si="6"/>
        <v>4</v>
      </c>
      <c r="E335" s="1050">
        <f t="shared" si="7"/>
        <v>2051</v>
      </c>
      <c r="F335" s="1050">
        <f t="shared" si="13"/>
        <v>0.000000001219081042</v>
      </c>
      <c r="G335" s="1050">
        <f t="shared" si="8"/>
        <v>0</v>
      </c>
      <c r="H335" s="1050">
        <f t="shared" si="9"/>
        <v>0</v>
      </c>
      <c r="I335" s="1050">
        <f t="shared" si="10"/>
        <v>0</v>
      </c>
      <c r="J335" s="1051">
        <f t="shared" si="11"/>
        <v>0</v>
      </c>
      <c r="K335" s="1043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897"/>
      <c r="W335" s="897"/>
      <c r="X335" s="897"/>
      <c r="Y335" s="897"/>
      <c r="Z335" s="897"/>
    </row>
    <row r="336" ht="15.75" customHeight="1">
      <c r="A336" s="308"/>
      <c r="B336" s="1026">
        <v>312.0</v>
      </c>
      <c r="C336" s="1048">
        <f t="shared" si="12"/>
        <v>55288</v>
      </c>
      <c r="D336" s="1049">
        <f t="shared" si="6"/>
        <v>5</v>
      </c>
      <c r="E336" s="1050">
        <f t="shared" si="7"/>
        <v>2051</v>
      </c>
      <c r="F336" s="1050">
        <f t="shared" si="13"/>
        <v>0.00000000122309385</v>
      </c>
      <c r="G336" s="1050">
        <f t="shared" si="8"/>
        <v>0</v>
      </c>
      <c r="H336" s="1050">
        <f t="shared" si="9"/>
        <v>0</v>
      </c>
      <c r="I336" s="1050">
        <f t="shared" si="10"/>
        <v>0</v>
      </c>
      <c r="J336" s="1051">
        <f t="shared" si="11"/>
        <v>0</v>
      </c>
      <c r="K336" s="1043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897"/>
      <c r="W336" s="897"/>
      <c r="X336" s="897"/>
      <c r="Y336" s="897"/>
      <c r="Z336" s="897"/>
    </row>
    <row r="337" ht="15.75" customHeight="1">
      <c r="A337" s="308"/>
      <c r="B337" s="1026">
        <v>313.0</v>
      </c>
      <c r="C337" s="1048">
        <f t="shared" si="12"/>
        <v>55319</v>
      </c>
      <c r="D337" s="1049">
        <f t="shared" si="6"/>
        <v>6</v>
      </c>
      <c r="E337" s="1050">
        <f t="shared" si="7"/>
        <v>2051</v>
      </c>
      <c r="F337" s="1050">
        <f t="shared" si="13"/>
        <v>0.000000001227119868</v>
      </c>
      <c r="G337" s="1050">
        <f t="shared" si="8"/>
        <v>0</v>
      </c>
      <c r="H337" s="1050">
        <f t="shared" si="9"/>
        <v>0</v>
      </c>
      <c r="I337" s="1050">
        <f t="shared" si="10"/>
        <v>0</v>
      </c>
      <c r="J337" s="1051">
        <f t="shared" si="11"/>
        <v>0</v>
      </c>
      <c r="K337" s="1043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897"/>
      <c r="W337" s="897"/>
      <c r="X337" s="897"/>
      <c r="Y337" s="897"/>
      <c r="Z337" s="897"/>
    </row>
    <row r="338" ht="15.75" customHeight="1">
      <c r="A338" s="308"/>
      <c r="B338" s="1026">
        <v>314.0</v>
      </c>
      <c r="C338" s="1048">
        <f t="shared" si="12"/>
        <v>55349</v>
      </c>
      <c r="D338" s="1049">
        <f t="shared" si="6"/>
        <v>7</v>
      </c>
      <c r="E338" s="1050">
        <f t="shared" si="7"/>
        <v>2051</v>
      </c>
      <c r="F338" s="1050">
        <f t="shared" si="13"/>
        <v>0.000000001231159137</v>
      </c>
      <c r="G338" s="1050">
        <f t="shared" si="8"/>
        <v>0</v>
      </c>
      <c r="H338" s="1050">
        <f t="shared" si="9"/>
        <v>0</v>
      </c>
      <c r="I338" s="1050">
        <f t="shared" si="10"/>
        <v>0</v>
      </c>
      <c r="J338" s="1051">
        <f t="shared" si="11"/>
        <v>0</v>
      </c>
      <c r="K338" s="1043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897"/>
      <c r="W338" s="897"/>
      <c r="X338" s="897"/>
      <c r="Y338" s="897"/>
      <c r="Z338" s="897"/>
    </row>
    <row r="339" ht="15.75" customHeight="1">
      <c r="A339" s="308"/>
      <c r="B339" s="1026">
        <v>315.0</v>
      </c>
      <c r="C339" s="1048">
        <f t="shared" si="12"/>
        <v>55380</v>
      </c>
      <c r="D339" s="1049">
        <f t="shared" si="6"/>
        <v>8</v>
      </c>
      <c r="E339" s="1050">
        <f t="shared" si="7"/>
        <v>2051</v>
      </c>
      <c r="F339" s="1050">
        <f t="shared" si="13"/>
        <v>0.000000001235211703</v>
      </c>
      <c r="G339" s="1050">
        <f t="shared" si="8"/>
        <v>0</v>
      </c>
      <c r="H339" s="1050">
        <f t="shared" si="9"/>
        <v>0</v>
      </c>
      <c r="I339" s="1050">
        <f t="shared" si="10"/>
        <v>0</v>
      </c>
      <c r="J339" s="1051">
        <f t="shared" si="11"/>
        <v>0</v>
      </c>
      <c r="K339" s="1043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897"/>
      <c r="W339" s="897"/>
      <c r="X339" s="897"/>
      <c r="Y339" s="897"/>
      <c r="Z339" s="897"/>
    </row>
    <row r="340" ht="15.75" customHeight="1">
      <c r="A340" s="308"/>
      <c r="B340" s="1026">
        <v>316.0</v>
      </c>
      <c r="C340" s="1048">
        <f t="shared" si="12"/>
        <v>55411</v>
      </c>
      <c r="D340" s="1049">
        <f t="shared" si="6"/>
        <v>9</v>
      </c>
      <c r="E340" s="1050">
        <f t="shared" si="7"/>
        <v>2051</v>
      </c>
      <c r="F340" s="1050">
        <f t="shared" si="13"/>
        <v>0.000000001239277608</v>
      </c>
      <c r="G340" s="1050">
        <f t="shared" si="8"/>
        <v>0</v>
      </c>
      <c r="H340" s="1050">
        <f t="shared" si="9"/>
        <v>0</v>
      </c>
      <c r="I340" s="1050">
        <f t="shared" si="10"/>
        <v>0</v>
      </c>
      <c r="J340" s="1051">
        <f t="shared" si="11"/>
        <v>0</v>
      </c>
      <c r="K340" s="1043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897"/>
      <c r="W340" s="897"/>
      <c r="X340" s="897"/>
      <c r="Y340" s="897"/>
      <c r="Z340" s="897"/>
    </row>
    <row r="341" ht="15.75" customHeight="1">
      <c r="A341" s="308"/>
      <c r="B341" s="1026">
        <v>317.0</v>
      </c>
      <c r="C341" s="1048">
        <f t="shared" si="12"/>
        <v>55441</v>
      </c>
      <c r="D341" s="1049">
        <f t="shared" si="6"/>
        <v>10</v>
      </c>
      <c r="E341" s="1050">
        <f t="shared" si="7"/>
        <v>2051</v>
      </c>
      <c r="F341" s="1050">
        <f t="shared" si="13"/>
        <v>0.000000001243356897</v>
      </c>
      <c r="G341" s="1050">
        <f t="shared" si="8"/>
        <v>0</v>
      </c>
      <c r="H341" s="1050">
        <f t="shared" si="9"/>
        <v>0</v>
      </c>
      <c r="I341" s="1050">
        <f t="shared" si="10"/>
        <v>0</v>
      </c>
      <c r="J341" s="1051">
        <f t="shared" si="11"/>
        <v>0</v>
      </c>
      <c r="K341" s="1043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897"/>
      <c r="W341" s="897"/>
      <c r="X341" s="897"/>
      <c r="Y341" s="897"/>
      <c r="Z341" s="897"/>
    </row>
    <row r="342" ht="15.75" customHeight="1">
      <c r="A342" s="308"/>
      <c r="B342" s="1026">
        <v>318.0</v>
      </c>
      <c r="C342" s="1048">
        <f t="shared" si="12"/>
        <v>55472</v>
      </c>
      <c r="D342" s="1049">
        <f t="shared" si="6"/>
        <v>11</v>
      </c>
      <c r="E342" s="1050">
        <f t="shared" si="7"/>
        <v>2051</v>
      </c>
      <c r="F342" s="1050">
        <f t="shared" si="13"/>
        <v>0.000000001247449613</v>
      </c>
      <c r="G342" s="1050">
        <f t="shared" si="8"/>
        <v>0</v>
      </c>
      <c r="H342" s="1050">
        <f t="shared" si="9"/>
        <v>0</v>
      </c>
      <c r="I342" s="1050">
        <f t="shared" si="10"/>
        <v>0</v>
      </c>
      <c r="J342" s="1051">
        <f t="shared" si="11"/>
        <v>0</v>
      </c>
      <c r="K342" s="1043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897"/>
      <c r="W342" s="897"/>
      <c r="X342" s="897"/>
      <c r="Y342" s="897"/>
      <c r="Z342" s="897"/>
    </row>
    <row r="343" ht="15.75" customHeight="1">
      <c r="A343" s="308"/>
      <c r="B343" s="1026">
        <v>319.0</v>
      </c>
      <c r="C343" s="1048">
        <f t="shared" si="12"/>
        <v>55502</v>
      </c>
      <c r="D343" s="1049">
        <f t="shared" si="6"/>
        <v>12</v>
      </c>
      <c r="E343" s="1050">
        <f t="shared" si="7"/>
        <v>2051</v>
      </c>
      <c r="F343" s="1050">
        <f t="shared" si="13"/>
        <v>0.000000001251555801</v>
      </c>
      <c r="G343" s="1050">
        <f t="shared" si="8"/>
        <v>0</v>
      </c>
      <c r="H343" s="1050">
        <f t="shared" si="9"/>
        <v>0</v>
      </c>
      <c r="I343" s="1050">
        <f t="shared" si="10"/>
        <v>0</v>
      </c>
      <c r="J343" s="1051">
        <f t="shared" si="11"/>
        <v>0</v>
      </c>
      <c r="K343" s="1043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897"/>
      <c r="W343" s="897"/>
      <c r="X343" s="897"/>
      <c r="Y343" s="897"/>
      <c r="Z343" s="897"/>
    </row>
    <row r="344" ht="15.75" customHeight="1">
      <c r="A344" s="308"/>
      <c r="B344" s="1026">
        <v>320.0</v>
      </c>
      <c r="C344" s="1048">
        <f t="shared" si="12"/>
        <v>55533</v>
      </c>
      <c r="D344" s="1049">
        <f t="shared" si="6"/>
        <v>1</v>
      </c>
      <c r="E344" s="1050">
        <f t="shared" si="7"/>
        <v>2052</v>
      </c>
      <c r="F344" s="1050">
        <f t="shared" si="13"/>
        <v>0.000000001255675506</v>
      </c>
      <c r="G344" s="1050">
        <f t="shared" si="8"/>
        <v>0</v>
      </c>
      <c r="H344" s="1050">
        <f t="shared" si="9"/>
        <v>0</v>
      </c>
      <c r="I344" s="1050">
        <f t="shared" si="10"/>
        <v>0</v>
      </c>
      <c r="J344" s="1051">
        <f t="shared" si="11"/>
        <v>0</v>
      </c>
      <c r="K344" s="1043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897"/>
      <c r="W344" s="897"/>
      <c r="X344" s="897"/>
      <c r="Y344" s="897"/>
      <c r="Z344" s="897"/>
    </row>
    <row r="345" ht="15.75" customHeight="1">
      <c r="A345" s="308"/>
      <c r="B345" s="1026">
        <v>321.0</v>
      </c>
      <c r="C345" s="1048">
        <f t="shared" si="12"/>
        <v>55564</v>
      </c>
      <c r="D345" s="1049">
        <f t="shared" si="6"/>
        <v>2</v>
      </c>
      <c r="E345" s="1050">
        <f t="shared" si="7"/>
        <v>2052</v>
      </c>
      <c r="F345" s="1050">
        <f t="shared" si="13"/>
        <v>0.000000001259808771</v>
      </c>
      <c r="G345" s="1050">
        <f t="shared" si="8"/>
        <v>0</v>
      </c>
      <c r="H345" s="1050">
        <f t="shared" si="9"/>
        <v>0</v>
      </c>
      <c r="I345" s="1050">
        <f t="shared" si="10"/>
        <v>0</v>
      </c>
      <c r="J345" s="1051">
        <f t="shared" si="11"/>
        <v>0</v>
      </c>
      <c r="K345" s="1043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897"/>
      <c r="W345" s="897"/>
      <c r="X345" s="897"/>
      <c r="Y345" s="897"/>
      <c r="Z345" s="897"/>
    </row>
    <row r="346" ht="15.75" customHeight="1">
      <c r="A346" s="308"/>
      <c r="B346" s="1026">
        <v>322.0</v>
      </c>
      <c r="C346" s="1048">
        <f t="shared" si="12"/>
        <v>55593</v>
      </c>
      <c r="D346" s="1049">
        <f t="shared" si="6"/>
        <v>3</v>
      </c>
      <c r="E346" s="1050">
        <f t="shared" si="7"/>
        <v>2052</v>
      </c>
      <c r="F346" s="1050">
        <f t="shared" si="13"/>
        <v>0.000000001263955642</v>
      </c>
      <c r="G346" s="1050">
        <f t="shared" si="8"/>
        <v>0</v>
      </c>
      <c r="H346" s="1050">
        <f t="shared" si="9"/>
        <v>0</v>
      </c>
      <c r="I346" s="1050">
        <f t="shared" si="10"/>
        <v>0</v>
      </c>
      <c r="J346" s="1051">
        <f t="shared" si="11"/>
        <v>0</v>
      </c>
      <c r="K346" s="1043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897"/>
      <c r="W346" s="897"/>
      <c r="X346" s="897"/>
      <c r="Y346" s="897"/>
      <c r="Z346" s="897"/>
    </row>
    <row r="347" ht="15.75" customHeight="1">
      <c r="A347" s="308"/>
      <c r="B347" s="1026">
        <v>323.0</v>
      </c>
      <c r="C347" s="1048">
        <f t="shared" si="12"/>
        <v>55624</v>
      </c>
      <c r="D347" s="1049">
        <f t="shared" si="6"/>
        <v>4</v>
      </c>
      <c r="E347" s="1050">
        <f t="shared" si="7"/>
        <v>2052</v>
      </c>
      <c r="F347" s="1050">
        <f t="shared" si="13"/>
        <v>0.000000001268116162</v>
      </c>
      <c r="G347" s="1050">
        <f t="shared" si="8"/>
        <v>0</v>
      </c>
      <c r="H347" s="1050">
        <f t="shared" si="9"/>
        <v>0</v>
      </c>
      <c r="I347" s="1050">
        <f t="shared" si="10"/>
        <v>0</v>
      </c>
      <c r="J347" s="1051">
        <f t="shared" si="11"/>
        <v>0</v>
      </c>
      <c r="K347" s="1043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897"/>
      <c r="W347" s="897"/>
      <c r="X347" s="897"/>
      <c r="Y347" s="897"/>
      <c r="Z347" s="897"/>
    </row>
    <row r="348" ht="15.75" customHeight="1">
      <c r="A348" s="308"/>
      <c r="B348" s="1026">
        <v>324.0</v>
      </c>
      <c r="C348" s="1048">
        <f t="shared" si="12"/>
        <v>55654</v>
      </c>
      <c r="D348" s="1049">
        <f t="shared" si="6"/>
        <v>5</v>
      </c>
      <c r="E348" s="1050">
        <f t="shared" si="7"/>
        <v>2052</v>
      </c>
      <c r="F348" s="1050">
        <f t="shared" si="13"/>
        <v>0.000000001272290378</v>
      </c>
      <c r="G348" s="1050">
        <f t="shared" si="8"/>
        <v>0</v>
      </c>
      <c r="H348" s="1050">
        <f t="shared" si="9"/>
        <v>0</v>
      </c>
      <c r="I348" s="1050">
        <f t="shared" si="10"/>
        <v>0</v>
      </c>
      <c r="J348" s="1051">
        <f t="shared" si="11"/>
        <v>0</v>
      </c>
      <c r="K348" s="1043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897"/>
      <c r="W348" s="897"/>
      <c r="X348" s="897"/>
      <c r="Y348" s="897"/>
      <c r="Z348" s="897"/>
    </row>
    <row r="349" ht="15.75" customHeight="1">
      <c r="A349" s="308"/>
      <c r="B349" s="1026">
        <v>325.0</v>
      </c>
      <c r="C349" s="1048">
        <f t="shared" si="12"/>
        <v>55685</v>
      </c>
      <c r="D349" s="1049">
        <f t="shared" si="6"/>
        <v>6</v>
      </c>
      <c r="E349" s="1050">
        <f t="shared" si="7"/>
        <v>2052</v>
      </c>
      <c r="F349" s="1050">
        <f t="shared" si="13"/>
        <v>0.000000001276478334</v>
      </c>
      <c r="G349" s="1050">
        <f t="shared" si="8"/>
        <v>0</v>
      </c>
      <c r="H349" s="1050">
        <f t="shared" si="9"/>
        <v>0</v>
      </c>
      <c r="I349" s="1050">
        <f t="shared" si="10"/>
        <v>0</v>
      </c>
      <c r="J349" s="1051">
        <f t="shared" si="11"/>
        <v>0</v>
      </c>
      <c r="K349" s="1043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897"/>
      <c r="W349" s="897"/>
      <c r="X349" s="897"/>
      <c r="Y349" s="897"/>
      <c r="Z349" s="897"/>
    </row>
    <row r="350" ht="15.75" customHeight="1">
      <c r="A350" s="308"/>
      <c r="B350" s="1026">
        <v>326.0</v>
      </c>
      <c r="C350" s="1048">
        <f t="shared" si="12"/>
        <v>55715</v>
      </c>
      <c r="D350" s="1049">
        <f t="shared" si="6"/>
        <v>7</v>
      </c>
      <c r="E350" s="1050">
        <f t="shared" si="7"/>
        <v>2052</v>
      </c>
      <c r="F350" s="1050">
        <f t="shared" si="13"/>
        <v>0.000000001280680075</v>
      </c>
      <c r="G350" s="1050">
        <f t="shared" si="8"/>
        <v>0</v>
      </c>
      <c r="H350" s="1050">
        <f t="shared" si="9"/>
        <v>0</v>
      </c>
      <c r="I350" s="1050">
        <f t="shared" si="10"/>
        <v>0</v>
      </c>
      <c r="J350" s="1051">
        <f t="shared" si="11"/>
        <v>0</v>
      </c>
      <c r="K350" s="1043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897"/>
      <c r="W350" s="897"/>
      <c r="X350" s="897"/>
      <c r="Y350" s="897"/>
      <c r="Z350" s="897"/>
    </row>
    <row r="351" ht="15.75" customHeight="1">
      <c r="A351" s="308"/>
      <c r="B351" s="1026">
        <v>327.0</v>
      </c>
      <c r="C351" s="1048">
        <f t="shared" si="12"/>
        <v>55746</v>
      </c>
      <c r="D351" s="1049">
        <f t="shared" si="6"/>
        <v>8</v>
      </c>
      <c r="E351" s="1050">
        <f t="shared" si="7"/>
        <v>2052</v>
      </c>
      <c r="F351" s="1050">
        <f t="shared" si="13"/>
        <v>0.000000001284895647</v>
      </c>
      <c r="G351" s="1050">
        <f t="shared" si="8"/>
        <v>0</v>
      </c>
      <c r="H351" s="1050">
        <f t="shared" si="9"/>
        <v>0</v>
      </c>
      <c r="I351" s="1050">
        <f t="shared" si="10"/>
        <v>0</v>
      </c>
      <c r="J351" s="1051">
        <f t="shared" si="11"/>
        <v>0</v>
      </c>
      <c r="K351" s="1043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897"/>
      <c r="W351" s="897"/>
      <c r="X351" s="897"/>
      <c r="Y351" s="897"/>
      <c r="Z351" s="897"/>
    </row>
    <row r="352" ht="15.75" customHeight="1">
      <c r="A352" s="308"/>
      <c r="B352" s="1026">
        <v>328.0</v>
      </c>
      <c r="C352" s="1048">
        <f t="shared" si="12"/>
        <v>55777</v>
      </c>
      <c r="D352" s="1049">
        <f t="shared" si="6"/>
        <v>9</v>
      </c>
      <c r="E352" s="1050">
        <f t="shared" si="7"/>
        <v>2052</v>
      </c>
      <c r="F352" s="1050">
        <f t="shared" si="13"/>
        <v>0.000000001289125095</v>
      </c>
      <c r="G352" s="1050">
        <f t="shared" si="8"/>
        <v>0</v>
      </c>
      <c r="H352" s="1050">
        <f t="shared" si="9"/>
        <v>0</v>
      </c>
      <c r="I352" s="1050">
        <f t="shared" si="10"/>
        <v>0</v>
      </c>
      <c r="J352" s="1051">
        <f t="shared" si="11"/>
        <v>0</v>
      </c>
      <c r="K352" s="1043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897"/>
      <c r="W352" s="897"/>
      <c r="X352" s="897"/>
      <c r="Y352" s="897"/>
      <c r="Z352" s="897"/>
    </row>
    <row r="353" ht="15.75" customHeight="1">
      <c r="A353" s="308"/>
      <c r="B353" s="1026">
        <v>329.0</v>
      </c>
      <c r="C353" s="1048">
        <f t="shared" si="12"/>
        <v>55807</v>
      </c>
      <c r="D353" s="1049">
        <f t="shared" si="6"/>
        <v>10</v>
      </c>
      <c r="E353" s="1050">
        <f t="shared" si="7"/>
        <v>2052</v>
      </c>
      <c r="F353" s="1050">
        <f t="shared" si="13"/>
        <v>0.000000001293368465</v>
      </c>
      <c r="G353" s="1050">
        <f t="shared" si="8"/>
        <v>0</v>
      </c>
      <c r="H353" s="1050">
        <f t="shared" si="9"/>
        <v>0</v>
      </c>
      <c r="I353" s="1050">
        <f t="shared" si="10"/>
        <v>0</v>
      </c>
      <c r="J353" s="1051">
        <f t="shared" si="11"/>
        <v>0</v>
      </c>
      <c r="K353" s="1043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897"/>
      <c r="W353" s="897"/>
      <c r="X353" s="897"/>
      <c r="Y353" s="897"/>
      <c r="Z353" s="897"/>
    </row>
    <row r="354" ht="15.75" customHeight="1">
      <c r="A354" s="308"/>
      <c r="B354" s="1026">
        <v>330.0</v>
      </c>
      <c r="C354" s="1048">
        <f t="shared" si="12"/>
        <v>55838</v>
      </c>
      <c r="D354" s="1049">
        <f t="shared" si="6"/>
        <v>11</v>
      </c>
      <c r="E354" s="1050">
        <f t="shared" si="7"/>
        <v>2052</v>
      </c>
      <c r="F354" s="1050">
        <f t="shared" si="13"/>
        <v>0.000000001297625803</v>
      </c>
      <c r="G354" s="1050">
        <f t="shared" si="8"/>
        <v>0</v>
      </c>
      <c r="H354" s="1050">
        <f t="shared" si="9"/>
        <v>0</v>
      </c>
      <c r="I354" s="1050">
        <f t="shared" si="10"/>
        <v>0</v>
      </c>
      <c r="J354" s="1051">
        <f t="shared" si="11"/>
        <v>0</v>
      </c>
      <c r="K354" s="1043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897"/>
      <c r="W354" s="897"/>
      <c r="X354" s="897"/>
      <c r="Y354" s="897"/>
      <c r="Z354" s="897"/>
    </row>
    <row r="355" ht="15.75" customHeight="1">
      <c r="A355" s="308"/>
      <c r="B355" s="1026">
        <v>331.0</v>
      </c>
      <c r="C355" s="1048">
        <f t="shared" si="12"/>
        <v>55868</v>
      </c>
      <c r="D355" s="1049">
        <f t="shared" si="6"/>
        <v>12</v>
      </c>
      <c r="E355" s="1050">
        <f t="shared" si="7"/>
        <v>2052</v>
      </c>
      <c r="F355" s="1050">
        <f t="shared" si="13"/>
        <v>0.000000001301897155</v>
      </c>
      <c r="G355" s="1050">
        <f t="shared" si="8"/>
        <v>0</v>
      </c>
      <c r="H355" s="1050">
        <f t="shared" si="9"/>
        <v>0</v>
      </c>
      <c r="I355" s="1050">
        <f t="shared" si="10"/>
        <v>0</v>
      </c>
      <c r="J355" s="1051">
        <f t="shared" si="11"/>
        <v>0</v>
      </c>
      <c r="K355" s="1043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897"/>
      <c r="W355" s="897"/>
      <c r="X355" s="897"/>
      <c r="Y355" s="897"/>
      <c r="Z355" s="897"/>
    </row>
    <row r="356" ht="15.75" customHeight="1">
      <c r="A356" s="308"/>
      <c r="B356" s="1026">
        <v>332.0</v>
      </c>
      <c r="C356" s="1048">
        <f t="shared" si="12"/>
        <v>55899</v>
      </c>
      <c r="D356" s="1049">
        <f t="shared" si="6"/>
        <v>1</v>
      </c>
      <c r="E356" s="1050">
        <f t="shared" si="7"/>
        <v>2053</v>
      </c>
      <c r="F356" s="1050">
        <f t="shared" si="13"/>
        <v>0.000000001306182566</v>
      </c>
      <c r="G356" s="1050">
        <f t="shared" si="8"/>
        <v>0</v>
      </c>
      <c r="H356" s="1050">
        <f t="shared" si="9"/>
        <v>0</v>
      </c>
      <c r="I356" s="1050">
        <f t="shared" si="10"/>
        <v>0</v>
      </c>
      <c r="J356" s="1051">
        <f t="shared" si="11"/>
        <v>0</v>
      </c>
      <c r="K356" s="1043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897"/>
      <c r="W356" s="897"/>
      <c r="X356" s="897"/>
      <c r="Y356" s="897"/>
      <c r="Z356" s="897"/>
    </row>
    <row r="357" ht="15.75" customHeight="1">
      <c r="A357" s="308"/>
      <c r="B357" s="1026">
        <v>333.0</v>
      </c>
      <c r="C357" s="1048">
        <f t="shared" si="12"/>
        <v>55930</v>
      </c>
      <c r="D357" s="1049">
        <f t="shared" si="6"/>
        <v>2</v>
      </c>
      <c r="E357" s="1050">
        <f t="shared" si="7"/>
        <v>2053</v>
      </c>
      <c r="F357" s="1050">
        <f t="shared" si="13"/>
        <v>0.000000001310482084</v>
      </c>
      <c r="G357" s="1050">
        <f t="shared" si="8"/>
        <v>0</v>
      </c>
      <c r="H357" s="1050">
        <f t="shared" si="9"/>
        <v>0</v>
      </c>
      <c r="I357" s="1050">
        <f t="shared" si="10"/>
        <v>0</v>
      </c>
      <c r="J357" s="1051">
        <f t="shared" si="11"/>
        <v>0</v>
      </c>
      <c r="K357" s="1043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897"/>
      <c r="W357" s="897"/>
      <c r="X357" s="897"/>
      <c r="Y357" s="897"/>
      <c r="Z357" s="897"/>
    </row>
    <row r="358" ht="15.75" customHeight="1">
      <c r="A358" s="308"/>
      <c r="B358" s="1026">
        <v>334.0</v>
      </c>
      <c r="C358" s="1048">
        <f t="shared" si="12"/>
        <v>55958</v>
      </c>
      <c r="D358" s="1049">
        <f t="shared" si="6"/>
        <v>3</v>
      </c>
      <c r="E358" s="1050">
        <f t="shared" si="7"/>
        <v>2053</v>
      </c>
      <c r="F358" s="1050">
        <f t="shared" si="13"/>
        <v>0.000000001314795754</v>
      </c>
      <c r="G358" s="1050">
        <f t="shared" si="8"/>
        <v>0</v>
      </c>
      <c r="H358" s="1050">
        <f t="shared" si="9"/>
        <v>0</v>
      </c>
      <c r="I358" s="1050">
        <f t="shared" si="10"/>
        <v>0</v>
      </c>
      <c r="J358" s="1051">
        <f t="shared" si="11"/>
        <v>0</v>
      </c>
      <c r="K358" s="1043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897"/>
      <c r="W358" s="897"/>
      <c r="X358" s="897"/>
      <c r="Y358" s="897"/>
      <c r="Z358" s="897"/>
    </row>
    <row r="359" ht="15.75" customHeight="1">
      <c r="A359" s="308"/>
      <c r="B359" s="1026">
        <v>335.0</v>
      </c>
      <c r="C359" s="1048">
        <f t="shared" si="12"/>
        <v>55989</v>
      </c>
      <c r="D359" s="1049">
        <f t="shared" si="6"/>
        <v>4</v>
      </c>
      <c r="E359" s="1050">
        <f t="shared" si="7"/>
        <v>2053</v>
      </c>
      <c r="F359" s="1050">
        <f t="shared" si="13"/>
        <v>0.000000001319123623</v>
      </c>
      <c r="G359" s="1050">
        <f t="shared" si="8"/>
        <v>0</v>
      </c>
      <c r="H359" s="1050">
        <f t="shared" si="9"/>
        <v>0</v>
      </c>
      <c r="I359" s="1050">
        <f t="shared" si="10"/>
        <v>0</v>
      </c>
      <c r="J359" s="1051">
        <f t="shared" si="11"/>
        <v>0</v>
      </c>
      <c r="K359" s="1043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897"/>
      <c r="W359" s="897"/>
      <c r="X359" s="897"/>
      <c r="Y359" s="897"/>
      <c r="Z359" s="897"/>
    </row>
    <row r="360" ht="15.75" customHeight="1">
      <c r="A360" s="308"/>
      <c r="B360" s="1026">
        <v>336.0</v>
      </c>
      <c r="C360" s="1048">
        <f t="shared" si="12"/>
        <v>56019</v>
      </c>
      <c r="D360" s="1049">
        <f t="shared" si="6"/>
        <v>5</v>
      </c>
      <c r="E360" s="1050">
        <f t="shared" si="7"/>
        <v>2053</v>
      </c>
      <c r="F360" s="1050">
        <f t="shared" si="13"/>
        <v>0.000000001323465739</v>
      </c>
      <c r="G360" s="1050">
        <f t="shared" si="8"/>
        <v>0</v>
      </c>
      <c r="H360" s="1050">
        <f t="shared" si="9"/>
        <v>0</v>
      </c>
      <c r="I360" s="1050">
        <f t="shared" si="10"/>
        <v>0</v>
      </c>
      <c r="J360" s="1051">
        <f t="shared" si="11"/>
        <v>0</v>
      </c>
      <c r="K360" s="1043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897"/>
      <c r="W360" s="897"/>
      <c r="X360" s="897"/>
      <c r="Y360" s="897"/>
      <c r="Z360" s="897"/>
    </row>
    <row r="361" ht="15.75" customHeight="1">
      <c r="A361" s="308"/>
      <c r="B361" s="1026">
        <v>337.0</v>
      </c>
      <c r="C361" s="1048">
        <f t="shared" si="12"/>
        <v>56050</v>
      </c>
      <c r="D361" s="1049">
        <f t="shared" si="6"/>
        <v>6</v>
      </c>
      <c r="E361" s="1050">
        <f t="shared" si="7"/>
        <v>2053</v>
      </c>
      <c r="F361" s="1050">
        <f t="shared" si="13"/>
        <v>0.000000001327822147</v>
      </c>
      <c r="G361" s="1050">
        <f t="shared" si="8"/>
        <v>0</v>
      </c>
      <c r="H361" s="1050">
        <f t="shared" si="9"/>
        <v>0</v>
      </c>
      <c r="I361" s="1050">
        <f t="shared" si="10"/>
        <v>0</v>
      </c>
      <c r="J361" s="1051">
        <f t="shared" si="11"/>
        <v>0</v>
      </c>
      <c r="K361" s="1043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897"/>
      <c r="W361" s="897"/>
      <c r="X361" s="897"/>
      <c r="Y361" s="897"/>
      <c r="Z361" s="897"/>
    </row>
    <row r="362" ht="15.75" customHeight="1">
      <c r="A362" s="308"/>
      <c r="B362" s="1026">
        <v>338.0</v>
      </c>
      <c r="C362" s="1048">
        <f t="shared" si="12"/>
        <v>56080</v>
      </c>
      <c r="D362" s="1049">
        <f t="shared" si="6"/>
        <v>7</v>
      </c>
      <c r="E362" s="1050">
        <f t="shared" si="7"/>
        <v>2053</v>
      </c>
      <c r="F362" s="1050">
        <f t="shared" si="13"/>
        <v>0.000000001332192894</v>
      </c>
      <c r="G362" s="1050">
        <f t="shared" si="8"/>
        <v>0</v>
      </c>
      <c r="H362" s="1050">
        <f t="shared" si="9"/>
        <v>0</v>
      </c>
      <c r="I362" s="1050">
        <f t="shared" si="10"/>
        <v>0</v>
      </c>
      <c r="J362" s="1051">
        <f t="shared" si="11"/>
        <v>0</v>
      </c>
      <c r="K362" s="1043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897"/>
      <c r="W362" s="897"/>
      <c r="X362" s="897"/>
      <c r="Y362" s="897"/>
      <c r="Z362" s="897"/>
    </row>
    <row r="363" ht="15.75" customHeight="1">
      <c r="A363" s="308"/>
      <c r="B363" s="1026">
        <v>339.0</v>
      </c>
      <c r="C363" s="1048">
        <f t="shared" si="12"/>
        <v>56111</v>
      </c>
      <c r="D363" s="1049">
        <f t="shared" si="6"/>
        <v>8</v>
      </c>
      <c r="E363" s="1050">
        <f t="shared" si="7"/>
        <v>2053</v>
      </c>
      <c r="F363" s="1050">
        <f t="shared" si="13"/>
        <v>0.000000001336578029</v>
      </c>
      <c r="G363" s="1050">
        <f t="shared" si="8"/>
        <v>0</v>
      </c>
      <c r="H363" s="1050">
        <f t="shared" si="9"/>
        <v>0</v>
      </c>
      <c r="I363" s="1050">
        <f t="shared" si="10"/>
        <v>0</v>
      </c>
      <c r="J363" s="1051">
        <f t="shared" si="11"/>
        <v>0</v>
      </c>
      <c r="K363" s="1043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897"/>
      <c r="W363" s="897"/>
      <c r="X363" s="897"/>
      <c r="Y363" s="897"/>
      <c r="Z363" s="897"/>
    </row>
    <row r="364" ht="15.75" customHeight="1">
      <c r="A364" s="308"/>
      <c r="B364" s="1026">
        <v>340.0</v>
      </c>
      <c r="C364" s="1048">
        <f t="shared" si="12"/>
        <v>56142</v>
      </c>
      <c r="D364" s="1049">
        <f t="shared" si="6"/>
        <v>9</v>
      </c>
      <c r="E364" s="1050">
        <f t="shared" si="7"/>
        <v>2053</v>
      </c>
      <c r="F364" s="1050">
        <f t="shared" si="13"/>
        <v>0.000000001340977599</v>
      </c>
      <c r="G364" s="1050">
        <f t="shared" si="8"/>
        <v>0</v>
      </c>
      <c r="H364" s="1050">
        <f t="shared" si="9"/>
        <v>0</v>
      </c>
      <c r="I364" s="1050">
        <f t="shared" si="10"/>
        <v>0</v>
      </c>
      <c r="J364" s="1051">
        <f t="shared" si="11"/>
        <v>0</v>
      </c>
      <c r="K364" s="1043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897"/>
      <c r="W364" s="897"/>
      <c r="X364" s="897"/>
      <c r="Y364" s="897"/>
      <c r="Z364" s="897"/>
    </row>
    <row r="365" ht="15.75" customHeight="1">
      <c r="A365" s="308"/>
      <c r="B365" s="1026">
        <v>341.0</v>
      </c>
      <c r="C365" s="1048">
        <f t="shared" si="12"/>
        <v>56172</v>
      </c>
      <c r="D365" s="1049">
        <f t="shared" si="6"/>
        <v>10</v>
      </c>
      <c r="E365" s="1050">
        <f t="shared" si="7"/>
        <v>2053</v>
      </c>
      <c r="F365" s="1050">
        <f t="shared" si="13"/>
        <v>0.00000000134539165</v>
      </c>
      <c r="G365" s="1050">
        <f t="shared" si="8"/>
        <v>0</v>
      </c>
      <c r="H365" s="1050">
        <f t="shared" si="9"/>
        <v>0</v>
      </c>
      <c r="I365" s="1050">
        <f t="shared" si="10"/>
        <v>0</v>
      </c>
      <c r="J365" s="1051">
        <f t="shared" si="11"/>
        <v>0</v>
      </c>
      <c r="K365" s="1043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897"/>
      <c r="W365" s="897"/>
      <c r="X365" s="897"/>
      <c r="Y365" s="897"/>
      <c r="Z365" s="897"/>
    </row>
    <row r="366" ht="15.75" customHeight="1">
      <c r="A366" s="308"/>
      <c r="B366" s="1026">
        <v>342.0</v>
      </c>
      <c r="C366" s="1048">
        <f t="shared" si="12"/>
        <v>56203</v>
      </c>
      <c r="D366" s="1049">
        <f t="shared" si="6"/>
        <v>11</v>
      </c>
      <c r="E366" s="1050">
        <f t="shared" si="7"/>
        <v>2053</v>
      </c>
      <c r="F366" s="1050">
        <f t="shared" si="13"/>
        <v>0.000000001349820231</v>
      </c>
      <c r="G366" s="1050">
        <f t="shared" si="8"/>
        <v>0</v>
      </c>
      <c r="H366" s="1050">
        <f t="shared" si="9"/>
        <v>0</v>
      </c>
      <c r="I366" s="1050">
        <f t="shared" si="10"/>
        <v>0</v>
      </c>
      <c r="J366" s="1051">
        <f t="shared" si="11"/>
        <v>0</v>
      </c>
      <c r="K366" s="1043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897"/>
      <c r="W366" s="897"/>
      <c r="X366" s="897"/>
      <c r="Y366" s="897"/>
      <c r="Z366" s="897"/>
    </row>
    <row r="367" ht="15.75" customHeight="1">
      <c r="A367" s="308"/>
      <c r="B367" s="1026">
        <v>343.0</v>
      </c>
      <c r="C367" s="1048">
        <f t="shared" si="12"/>
        <v>56233</v>
      </c>
      <c r="D367" s="1049">
        <f t="shared" si="6"/>
        <v>12</v>
      </c>
      <c r="E367" s="1050">
        <f t="shared" si="7"/>
        <v>2053</v>
      </c>
      <c r="F367" s="1050">
        <f t="shared" si="13"/>
        <v>0.000000001354263389</v>
      </c>
      <c r="G367" s="1050">
        <f t="shared" si="8"/>
        <v>0</v>
      </c>
      <c r="H367" s="1050">
        <f t="shared" si="9"/>
        <v>0</v>
      </c>
      <c r="I367" s="1050">
        <f t="shared" si="10"/>
        <v>0</v>
      </c>
      <c r="J367" s="1051">
        <f t="shared" si="11"/>
        <v>0</v>
      </c>
      <c r="K367" s="1043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897"/>
      <c r="W367" s="897"/>
      <c r="X367" s="897"/>
      <c r="Y367" s="897"/>
      <c r="Z367" s="897"/>
    </row>
    <row r="368" ht="15.75" customHeight="1">
      <c r="A368" s="308"/>
      <c r="B368" s="1026">
        <v>344.0</v>
      </c>
      <c r="C368" s="1048">
        <f t="shared" si="12"/>
        <v>56264</v>
      </c>
      <c r="D368" s="1049">
        <f t="shared" si="6"/>
        <v>1</v>
      </c>
      <c r="E368" s="1050">
        <f t="shared" si="7"/>
        <v>2054</v>
      </c>
      <c r="F368" s="1050">
        <f t="shared" si="13"/>
        <v>0.000000001358721173</v>
      </c>
      <c r="G368" s="1050">
        <f t="shared" si="8"/>
        <v>0</v>
      </c>
      <c r="H368" s="1050">
        <f t="shared" si="9"/>
        <v>0</v>
      </c>
      <c r="I368" s="1050">
        <f t="shared" si="10"/>
        <v>0</v>
      </c>
      <c r="J368" s="1051">
        <f t="shared" si="11"/>
        <v>0</v>
      </c>
      <c r="K368" s="1043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897"/>
      <c r="W368" s="897"/>
      <c r="X368" s="897"/>
      <c r="Y368" s="897"/>
      <c r="Z368" s="897"/>
    </row>
    <row r="369" ht="15.75" customHeight="1">
      <c r="A369" s="308"/>
      <c r="B369" s="1026">
        <v>345.0</v>
      </c>
      <c r="C369" s="1048">
        <f t="shared" si="12"/>
        <v>56295</v>
      </c>
      <c r="D369" s="1049">
        <f t="shared" si="6"/>
        <v>2</v>
      </c>
      <c r="E369" s="1050">
        <f t="shared" si="7"/>
        <v>2054</v>
      </c>
      <c r="F369" s="1050">
        <f t="shared" si="13"/>
        <v>0.00000000136319363</v>
      </c>
      <c r="G369" s="1050">
        <f t="shared" si="8"/>
        <v>0</v>
      </c>
      <c r="H369" s="1050">
        <f t="shared" si="9"/>
        <v>0</v>
      </c>
      <c r="I369" s="1050">
        <f t="shared" si="10"/>
        <v>0</v>
      </c>
      <c r="J369" s="1051">
        <f t="shared" si="11"/>
        <v>0</v>
      </c>
      <c r="K369" s="1043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897"/>
      <c r="W369" s="897"/>
      <c r="X369" s="897"/>
      <c r="Y369" s="897"/>
      <c r="Z369" s="897"/>
    </row>
    <row r="370" ht="15.75" customHeight="1">
      <c r="A370" s="308"/>
      <c r="B370" s="1026">
        <v>346.0</v>
      </c>
      <c r="C370" s="1048">
        <f t="shared" si="12"/>
        <v>56323</v>
      </c>
      <c r="D370" s="1049">
        <f t="shared" si="6"/>
        <v>3</v>
      </c>
      <c r="E370" s="1050">
        <f t="shared" si="7"/>
        <v>2054</v>
      </c>
      <c r="F370" s="1050">
        <f t="shared" si="13"/>
        <v>0.000000001367680809</v>
      </c>
      <c r="G370" s="1050">
        <f t="shared" si="8"/>
        <v>0</v>
      </c>
      <c r="H370" s="1050">
        <f t="shared" si="9"/>
        <v>0</v>
      </c>
      <c r="I370" s="1050">
        <f t="shared" si="10"/>
        <v>0</v>
      </c>
      <c r="J370" s="1051">
        <f t="shared" si="11"/>
        <v>0</v>
      </c>
      <c r="K370" s="1043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897"/>
      <c r="W370" s="897"/>
      <c r="X370" s="897"/>
      <c r="Y370" s="897"/>
      <c r="Z370" s="897"/>
    </row>
    <row r="371" ht="15.75" customHeight="1">
      <c r="A371" s="308"/>
      <c r="B371" s="1026">
        <v>347.0</v>
      </c>
      <c r="C371" s="1048">
        <f t="shared" si="12"/>
        <v>56354</v>
      </c>
      <c r="D371" s="1049">
        <f t="shared" si="6"/>
        <v>4</v>
      </c>
      <c r="E371" s="1050">
        <f t="shared" si="7"/>
        <v>2054</v>
      </c>
      <c r="F371" s="1050">
        <f t="shared" si="13"/>
        <v>0.000000001372182758</v>
      </c>
      <c r="G371" s="1050">
        <f t="shared" si="8"/>
        <v>0</v>
      </c>
      <c r="H371" s="1050">
        <f t="shared" si="9"/>
        <v>0</v>
      </c>
      <c r="I371" s="1050">
        <f t="shared" si="10"/>
        <v>0</v>
      </c>
      <c r="J371" s="1051">
        <f t="shared" si="11"/>
        <v>0</v>
      </c>
      <c r="K371" s="1043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897"/>
      <c r="W371" s="897"/>
      <c r="X371" s="897"/>
      <c r="Y371" s="897"/>
      <c r="Z371" s="897"/>
    </row>
    <row r="372" ht="15.75" customHeight="1">
      <c r="A372" s="308"/>
      <c r="B372" s="1026">
        <v>348.0</v>
      </c>
      <c r="C372" s="1048">
        <f t="shared" si="12"/>
        <v>56384</v>
      </c>
      <c r="D372" s="1049">
        <f t="shared" si="6"/>
        <v>5</v>
      </c>
      <c r="E372" s="1050">
        <f t="shared" si="7"/>
        <v>2054</v>
      </c>
      <c r="F372" s="1050">
        <f t="shared" si="13"/>
        <v>0.000000001376699527</v>
      </c>
      <c r="G372" s="1050">
        <f t="shared" si="8"/>
        <v>0</v>
      </c>
      <c r="H372" s="1050">
        <f t="shared" si="9"/>
        <v>0</v>
      </c>
      <c r="I372" s="1050">
        <f t="shared" si="10"/>
        <v>0</v>
      </c>
      <c r="J372" s="1051">
        <f t="shared" si="11"/>
        <v>0</v>
      </c>
      <c r="K372" s="1043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897"/>
      <c r="W372" s="897"/>
      <c r="X372" s="897"/>
      <c r="Y372" s="897"/>
      <c r="Z372" s="897"/>
    </row>
    <row r="373" ht="15.75" customHeight="1">
      <c r="A373" s="308"/>
      <c r="B373" s="1026">
        <v>349.0</v>
      </c>
      <c r="C373" s="1048">
        <f t="shared" si="12"/>
        <v>56415</v>
      </c>
      <c r="D373" s="1049">
        <f t="shared" si="6"/>
        <v>6</v>
      </c>
      <c r="E373" s="1050">
        <f t="shared" si="7"/>
        <v>2054</v>
      </c>
      <c r="F373" s="1050">
        <f t="shared" si="13"/>
        <v>0.000000001381231163</v>
      </c>
      <c r="G373" s="1050">
        <f t="shared" si="8"/>
        <v>0</v>
      </c>
      <c r="H373" s="1050">
        <f t="shared" si="9"/>
        <v>0</v>
      </c>
      <c r="I373" s="1050">
        <f t="shared" si="10"/>
        <v>0</v>
      </c>
      <c r="J373" s="1051">
        <f t="shared" si="11"/>
        <v>0</v>
      </c>
      <c r="K373" s="1043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897"/>
      <c r="W373" s="897"/>
      <c r="X373" s="897"/>
      <c r="Y373" s="897"/>
      <c r="Z373" s="897"/>
    </row>
    <row r="374" ht="15.75" customHeight="1">
      <c r="A374" s="308"/>
      <c r="B374" s="1026">
        <v>350.0</v>
      </c>
      <c r="C374" s="1048">
        <f t="shared" si="12"/>
        <v>56445</v>
      </c>
      <c r="D374" s="1049">
        <f t="shared" si="6"/>
        <v>7</v>
      </c>
      <c r="E374" s="1050">
        <f t="shared" si="7"/>
        <v>2054</v>
      </c>
      <c r="F374" s="1050">
        <f t="shared" si="13"/>
        <v>0.000000001385777715</v>
      </c>
      <c r="G374" s="1050">
        <f t="shared" si="8"/>
        <v>0</v>
      </c>
      <c r="H374" s="1050">
        <f t="shared" si="9"/>
        <v>0</v>
      </c>
      <c r="I374" s="1050">
        <f t="shared" si="10"/>
        <v>0</v>
      </c>
      <c r="J374" s="1051">
        <f t="shared" si="11"/>
        <v>0</v>
      </c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897"/>
      <c r="W374" s="897"/>
      <c r="X374" s="897"/>
      <c r="Y374" s="897"/>
      <c r="Z374" s="897"/>
    </row>
    <row r="375" ht="15.75" customHeight="1">
      <c r="A375" s="308"/>
      <c r="B375" s="308"/>
      <c r="C375" s="308"/>
      <c r="D375" s="308"/>
      <c r="E375" s="308"/>
      <c r="F375" s="308"/>
      <c r="G375" s="308"/>
      <c r="H375" s="308"/>
      <c r="I375" s="308"/>
      <c r="J375" s="308"/>
      <c r="K375" s="1009"/>
      <c r="L375" s="1009"/>
      <c r="M375" s="1009"/>
      <c r="N375" s="1009"/>
      <c r="O375" s="1009"/>
      <c r="P375" s="308"/>
      <c r="Q375" s="308"/>
      <c r="R375" s="308"/>
      <c r="S375" s="308"/>
      <c r="T375" s="308"/>
      <c r="U375" s="308"/>
      <c r="V375" s="897"/>
      <c r="W375" s="897"/>
      <c r="X375" s="897"/>
      <c r="Y375" s="897"/>
      <c r="Z375" s="897"/>
    </row>
    <row r="376" ht="15.75" customHeight="1">
      <c r="A376" s="1009"/>
      <c r="B376" s="1009"/>
      <c r="C376" s="1009"/>
      <c r="D376" s="1009"/>
      <c r="E376" s="1009"/>
      <c r="F376" s="1009"/>
      <c r="G376" s="1009"/>
      <c r="H376" s="1009"/>
      <c r="I376" s="1009"/>
      <c r="J376" s="1009"/>
      <c r="K376" s="1009"/>
      <c r="L376" s="1009"/>
      <c r="M376" s="1009"/>
      <c r="N376" s="1009"/>
      <c r="O376" s="1009"/>
      <c r="P376" s="1009"/>
      <c r="Q376" s="1009"/>
      <c r="R376" s="1009"/>
      <c r="S376" s="1009"/>
      <c r="T376" s="1009"/>
      <c r="U376" s="1009"/>
      <c r="V376" s="1012"/>
      <c r="W376" s="1012"/>
      <c r="X376" s="1012"/>
      <c r="Y376" s="1012"/>
      <c r="Z376" s="1012"/>
    </row>
    <row r="377" ht="15.75" customHeight="1">
      <c r="A377" s="1009"/>
      <c r="B377" s="1052"/>
      <c r="C377" s="1009"/>
      <c r="D377" s="1009"/>
      <c r="E377" s="1009"/>
      <c r="F377" s="1009"/>
      <c r="G377" s="1009"/>
      <c r="H377" s="1009"/>
      <c r="I377" s="1009"/>
      <c r="J377" s="1009"/>
      <c r="K377" s="1009"/>
      <c r="L377" s="1009"/>
      <c r="M377" s="1009"/>
      <c r="N377" s="1009"/>
      <c r="O377" s="1009"/>
      <c r="P377" s="1009"/>
      <c r="Q377" s="1009"/>
      <c r="R377" s="1009"/>
      <c r="S377" s="1009"/>
      <c r="T377" s="1009"/>
      <c r="U377" s="1009"/>
      <c r="V377" s="1012"/>
      <c r="W377" s="1012"/>
      <c r="X377" s="1012"/>
      <c r="Y377" s="1012"/>
      <c r="Z377" s="1012"/>
    </row>
    <row r="378" ht="7.5" customHeight="1">
      <c r="A378" s="1009"/>
      <c r="B378" s="1009"/>
      <c r="C378" s="1009"/>
      <c r="D378" s="1009"/>
      <c r="E378" s="1009"/>
      <c r="F378" s="1009"/>
      <c r="G378" s="1009"/>
      <c r="H378" s="1009"/>
      <c r="I378" s="1009"/>
      <c r="J378" s="1009"/>
      <c r="K378" s="1009"/>
      <c r="L378" s="1009"/>
      <c r="M378" s="1009"/>
      <c r="N378" s="1009"/>
      <c r="O378" s="1009"/>
      <c r="P378" s="1009"/>
      <c r="Q378" s="1009"/>
      <c r="R378" s="1009"/>
      <c r="S378" s="1009"/>
      <c r="T378" s="1009"/>
      <c r="U378" s="1009"/>
      <c r="V378" s="1012"/>
      <c r="W378" s="1012"/>
      <c r="X378" s="1012"/>
      <c r="Y378" s="1012"/>
      <c r="Z378" s="1012"/>
    </row>
    <row r="379" ht="8.25" customHeight="1">
      <c r="A379" s="1009"/>
      <c r="B379" s="1009"/>
      <c r="C379" s="1009"/>
      <c r="D379" s="1009"/>
      <c r="E379" s="1009"/>
      <c r="F379" s="1009"/>
      <c r="G379" s="1009"/>
      <c r="H379" s="1009"/>
      <c r="I379" s="1009"/>
      <c r="J379" s="1009"/>
      <c r="K379" s="1009"/>
      <c r="L379" s="1009"/>
      <c r="M379" s="1009"/>
      <c r="N379" s="1009"/>
      <c r="O379" s="1009"/>
      <c r="P379" s="1009"/>
      <c r="Q379" s="1009"/>
      <c r="R379" s="1009"/>
      <c r="S379" s="1009"/>
      <c r="T379" s="1009"/>
      <c r="U379" s="1009"/>
      <c r="V379" s="1012"/>
      <c r="W379" s="1012"/>
      <c r="X379" s="1012"/>
      <c r="Y379" s="1012"/>
      <c r="Z379" s="1012"/>
    </row>
    <row r="380" ht="15.75" customHeight="1">
      <c r="A380" s="1009"/>
      <c r="B380" s="1009"/>
      <c r="C380" s="1009"/>
      <c r="D380" s="1009"/>
      <c r="E380" s="1009"/>
      <c r="F380" s="1009"/>
      <c r="G380" s="1009"/>
      <c r="H380" s="1009"/>
      <c r="I380" s="1009"/>
      <c r="J380" s="1009"/>
      <c r="K380" s="1009"/>
      <c r="L380" s="1009"/>
      <c r="M380" s="1009"/>
      <c r="N380" s="1009"/>
      <c r="O380" s="1009"/>
      <c r="P380" s="1009"/>
      <c r="Q380" s="1009"/>
      <c r="R380" s="1009"/>
      <c r="S380" s="1009"/>
      <c r="T380" s="1009"/>
      <c r="U380" s="1009"/>
      <c r="V380" s="1012"/>
      <c r="W380" s="1012"/>
      <c r="X380" s="1012"/>
      <c r="Y380" s="1012"/>
      <c r="Z380" s="1012"/>
    </row>
    <row r="381" ht="15.75" customHeight="1">
      <c r="A381" s="1009"/>
      <c r="B381" s="1009"/>
      <c r="C381" s="1009"/>
      <c r="D381" s="1009"/>
      <c r="E381" s="1009"/>
      <c r="F381" s="1009"/>
      <c r="G381" s="1009"/>
      <c r="H381" s="1009"/>
      <c r="I381" s="1009"/>
      <c r="J381" s="1009"/>
      <c r="K381" s="1012"/>
      <c r="L381" s="1012"/>
      <c r="M381" s="1012"/>
      <c r="N381" s="1012"/>
      <c r="O381" s="1012"/>
      <c r="P381" s="1009"/>
      <c r="Q381" s="1009"/>
      <c r="R381" s="1009"/>
      <c r="S381" s="1009"/>
      <c r="T381" s="1009"/>
      <c r="U381" s="1009"/>
      <c r="V381" s="1012"/>
      <c r="W381" s="1012"/>
      <c r="X381" s="1012"/>
      <c r="Y381" s="1012"/>
      <c r="Z381" s="1012"/>
    </row>
    <row r="382" ht="15.75" customHeight="1">
      <c r="A382" s="1012"/>
      <c r="B382" s="1012"/>
      <c r="C382" s="1012"/>
      <c r="D382" s="1012"/>
      <c r="E382" s="1012"/>
      <c r="F382" s="1012"/>
      <c r="G382" s="1012"/>
      <c r="H382" s="1012"/>
      <c r="I382" s="1012"/>
      <c r="J382" s="1012"/>
      <c r="K382" s="1012"/>
      <c r="L382" s="1012"/>
      <c r="M382" s="1012"/>
      <c r="N382" s="1012"/>
      <c r="O382" s="1012"/>
      <c r="P382" s="1012"/>
      <c r="Q382" s="1012"/>
      <c r="R382" s="1012"/>
      <c r="S382" s="1012"/>
      <c r="T382" s="1012"/>
      <c r="U382" s="1012"/>
      <c r="V382" s="1012"/>
      <c r="W382" s="1012"/>
      <c r="X382" s="1012"/>
      <c r="Y382" s="1012"/>
      <c r="Z382" s="1012"/>
    </row>
    <row r="383" ht="15.75" customHeight="1">
      <c r="A383" s="1012"/>
      <c r="B383" s="1012"/>
      <c r="C383" s="1012"/>
      <c r="D383" s="1012"/>
      <c r="E383" s="1012"/>
      <c r="F383" s="1012"/>
      <c r="G383" s="1012"/>
      <c r="H383" s="1012"/>
      <c r="I383" s="1012"/>
      <c r="J383" s="1012"/>
      <c r="K383" s="1012"/>
      <c r="L383" s="1012"/>
      <c r="M383" s="1012"/>
      <c r="N383" s="1012"/>
      <c r="O383" s="1012"/>
      <c r="P383" s="1012"/>
      <c r="Q383" s="1012"/>
      <c r="R383" s="1012"/>
      <c r="S383" s="1012"/>
      <c r="T383" s="1012"/>
      <c r="U383" s="1012"/>
      <c r="V383" s="1012"/>
      <c r="W383" s="1012"/>
      <c r="X383" s="1012"/>
      <c r="Y383" s="1012"/>
      <c r="Z383" s="1012"/>
    </row>
    <row r="384" ht="15.75" customHeight="1">
      <c r="A384" s="1012"/>
      <c r="B384" s="1012"/>
      <c r="C384" s="1012"/>
      <c r="D384" s="1012"/>
      <c r="E384" s="1012"/>
      <c r="F384" s="1012"/>
      <c r="G384" s="1012"/>
      <c r="H384" s="1012"/>
      <c r="I384" s="1012"/>
      <c r="J384" s="1012"/>
      <c r="K384" s="1012"/>
      <c r="L384" s="1012"/>
      <c r="M384" s="1012"/>
      <c r="N384" s="1012"/>
      <c r="O384" s="1012"/>
      <c r="P384" s="1012"/>
      <c r="Q384" s="1012"/>
      <c r="R384" s="1012"/>
      <c r="S384" s="1012"/>
      <c r="T384" s="1012"/>
      <c r="U384" s="1012"/>
      <c r="V384" s="1012"/>
      <c r="W384" s="1012"/>
      <c r="X384" s="1012"/>
      <c r="Y384" s="1012"/>
      <c r="Z384" s="1012"/>
    </row>
    <row r="385" ht="15.75" customHeight="1">
      <c r="A385" s="1012"/>
      <c r="B385" s="1012"/>
      <c r="C385" s="1012"/>
      <c r="D385" s="1012"/>
      <c r="E385" s="1012"/>
      <c r="F385" s="1012"/>
      <c r="G385" s="1012"/>
      <c r="H385" s="1012"/>
      <c r="I385" s="1012"/>
      <c r="J385" s="1012"/>
      <c r="K385" s="1012"/>
      <c r="L385" s="1012"/>
      <c r="M385" s="1012"/>
      <c r="N385" s="1012"/>
      <c r="O385" s="1012"/>
      <c r="P385" s="1012"/>
      <c r="Q385" s="1012"/>
      <c r="R385" s="1012"/>
      <c r="S385" s="1012"/>
      <c r="T385" s="1012"/>
      <c r="U385" s="1012"/>
      <c r="V385" s="1012"/>
      <c r="W385" s="1012"/>
      <c r="X385" s="1012"/>
      <c r="Y385" s="1012"/>
      <c r="Z385" s="1012"/>
    </row>
    <row r="386" ht="15.75" customHeight="1">
      <c r="A386" s="1012"/>
      <c r="B386" s="1012"/>
      <c r="C386" s="1012"/>
      <c r="D386" s="1012"/>
      <c r="E386" s="1012"/>
      <c r="F386" s="1012"/>
      <c r="G386" s="1012"/>
      <c r="H386" s="1012"/>
      <c r="I386" s="1012"/>
      <c r="J386" s="1012"/>
      <c r="K386" s="1012"/>
      <c r="L386" s="1012"/>
      <c r="M386" s="1012"/>
      <c r="N386" s="1012"/>
      <c r="O386" s="1012"/>
      <c r="P386" s="1012"/>
      <c r="Q386" s="1012"/>
      <c r="R386" s="1012"/>
      <c r="S386" s="1012"/>
      <c r="T386" s="1012"/>
      <c r="U386" s="1012"/>
      <c r="V386" s="1012"/>
      <c r="W386" s="1012"/>
      <c r="X386" s="1012"/>
      <c r="Y386" s="1012"/>
      <c r="Z386" s="1012"/>
    </row>
    <row r="387" ht="15.75" customHeight="1">
      <c r="A387" s="1012"/>
      <c r="B387" s="1012"/>
      <c r="C387" s="1012"/>
      <c r="D387" s="1012"/>
      <c r="E387" s="1012"/>
      <c r="F387" s="1012"/>
      <c r="G387" s="1012"/>
      <c r="H387" s="1012"/>
      <c r="I387" s="1012"/>
      <c r="J387" s="1012"/>
      <c r="K387" s="1012"/>
      <c r="L387" s="1012"/>
      <c r="M387" s="1012"/>
      <c r="N387" s="1012"/>
      <c r="O387" s="1012"/>
      <c r="P387" s="1012"/>
      <c r="Q387" s="1012"/>
      <c r="R387" s="1012"/>
      <c r="S387" s="1012"/>
      <c r="T387" s="1012"/>
      <c r="U387" s="1012"/>
      <c r="V387" s="1012"/>
      <c r="W387" s="1012"/>
      <c r="X387" s="1012"/>
      <c r="Y387" s="1012"/>
      <c r="Z387" s="1012"/>
    </row>
    <row r="388" ht="15.75" customHeight="1">
      <c r="A388" s="1012"/>
      <c r="B388" s="1012"/>
      <c r="C388" s="1012"/>
      <c r="D388" s="1012"/>
      <c r="E388" s="1012"/>
      <c r="F388" s="1012"/>
      <c r="G388" s="1012"/>
      <c r="H388" s="1012"/>
      <c r="I388" s="1012"/>
      <c r="J388" s="1012"/>
      <c r="K388" s="1012"/>
      <c r="L388" s="1012"/>
      <c r="M388" s="1012"/>
      <c r="N388" s="1012"/>
      <c r="O388" s="1012"/>
      <c r="P388" s="1012"/>
      <c r="Q388" s="1012"/>
      <c r="R388" s="1012"/>
      <c r="S388" s="1012"/>
      <c r="T388" s="1012"/>
      <c r="U388" s="1012"/>
      <c r="V388" s="1012"/>
      <c r="W388" s="1012"/>
      <c r="X388" s="1012"/>
      <c r="Y388" s="1012"/>
      <c r="Z388" s="1012"/>
    </row>
    <row r="389" ht="15.75" customHeight="1">
      <c r="A389" s="1012"/>
      <c r="B389" s="1012"/>
      <c r="C389" s="1012"/>
      <c r="D389" s="1012"/>
      <c r="E389" s="1012"/>
      <c r="F389" s="1012"/>
      <c r="G389" s="1012"/>
      <c r="H389" s="1012"/>
      <c r="I389" s="1012"/>
      <c r="J389" s="1012"/>
      <c r="K389" s="1012"/>
      <c r="L389" s="1012"/>
      <c r="M389" s="1012"/>
      <c r="N389" s="1012"/>
      <c r="O389" s="1012"/>
      <c r="P389" s="1012"/>
      <c r="Q389" s="1012"/>
      <c r="R389" s="1012"/>
      <c r="S389" s="1012"/>
      <c r="T389" s="1012"/>
      <c r="U389" s="1012"/>
      <c r="V389" s="1012"/>
      <c r="W389" s="1012"/>
      <c r="X389" s="1012"/>
      <c r="Y389" s="1012"/>
      <c r="Z389" s="1012"/>
    </row>
    <row r="390" ht="15.75" customHeight="1">
      <c r="A390" s="1012"/>
      <c r="B390" s="1012"/>
      <c r="C390" s="1012"/>
      <c r="D390" s="1012"/>
      <c r="E390" s="1012"/>
      <c r="F390" s="1012"/>
      <c r="G390" s="1012"/>
      <c r="H390" s="1012"/>
      <c r="I390" s="1012"/>
      <c r="J390" s="1012"/>
      <c r="K390" s="1012"/>
      <c r="L390" s="1012"/>
      <c r="M390" s="1012"/>
      <c r="N390" s="1012"/>
      <c r="O390" s="1012"/>
      <c r="P390" s="1012"/>
      <c r="Q390" s="1012"/>
      <c r="R390" s="1012"/>
      <c r="S390" s="1012"/>
      <c r="T390" s="1012"/>
      <c r="U390" s="1012"/>
      <c r="V390" s="1012"/>
      <c r="W390" s="1012"/>
      <c r="X390" s="1012"/>
      <c r="Y390" s="1012"/>
      <c r="Z390" s="1012"/>
    </row>
    <row r="391" ht="15.75" customHeight="1">
      <c r="A391" s="1012"/>
      <c r="B391" s="1012"/>
      <c r="C391" s="1012"/>
      <c r="D391" s="1012"/>
      <c r="E391" s="1012"/>
      <c r="F391" s="1012"/>
      <c r="G391" s="1012"/>
      <c r="H391" s="1012"/>
      <c r="I391" s="1012"/>
      <c r="J391" s="1012"/>
      <c r="K391" s="1012"/>
      <c r="L391" s="1012"/>
      <c r="M391" s="1012"/>
      <c r="N391" s="1012"/>
      <c r="O391" s="1012"/>
      <c r="P391" s="1012"/>
      <c r="Q391" s="1012"/>
      <c r="R391" s="1012"/>
      <c r="S391" s="1012"/>
      <c r="T391" s="1012"/>
      <c r="U391" s="1012"/>
      <c r="V391" s="1012"/>
      <c r="W391" s="1012"/>
      <c r="X391" s="1012"/>
      <c r="Y391" s="1012"/>
      <c r="Z391" s="1012"/>
    </row>
    <row r="392" ht="15.75" customHeight="1">
      <c r="A392" s="1012"/>
      <c r="B392" s="1012"/>
      <c r="C392" s="1012"/>
      <c r="D392" s="1012"/>
      <c r="E392" s="1012"/>
      <c r="F392" s="1012"/>
      <c r="G392" s="1012"/>
      <c r="H392" s="1012"/>
      <c r="I392" s="1012"/>
      <c r="J392" s="1012"/>
      <c r="K392" s="1012"/>
      <c r="L392" s="1012"/>
      <c r="M392" s="1012"/>
      <c r="N392" s="1012"/>
      <c r="O392" s="1012"/>
      <c r="P392" s="1012"/>
      <c r="Q392" s="1012"/>
      <c r="R392" s="1012"/>
      <c r="S392" s="1012"/>
      <c r="T392" s="1012"/>
      <c r="U392" s="1012"/>
      <c r="V392" s="1012"/>
      <c r="W392" s="1012"/>
      <c r="X392" s="1012"/>
      <c r="Y392" s="1012"/>
      <c r="Z392" s="1012"/>
    </row>
    <row r="393" ht="15.75" customHeight="1">
      <c r="A393" s="1012"/>
      <c r="B393" s="1012"/>
      <c r="C393" s="1012"/>
      <c r="D393" s="1012"/>
      <c r="E393" s="1012"/>
      <c r="F393" s="1012"/>
      <c r="G393" s="1012"/>
      <c r="H393" s="1012"/>
      <c r="I393" s="1012"/>
      <c r="J393" s="1012"/>
      <c r="K393" s="1012"/>
      <c r="L393" s="1012"/>
      <c r="M393" s="1012"/>
      <c r="N393" s="1012"/>
      <c r="O393" s="1012"/>
      <c r="P393" s="1012"/>
      <c r="Q393" s="1012"/>
      <c r="R393" s="1012"/>
      <c r="S393" s="1012"/>
      <c r="T393" s="1012"/>
      <c r="U393" s="1012"/>
      <c r="V393" s="1012"/>
      <c r="W393" s="1012"/>
      <c r="X393" s="1012"/>
      <c r="Y393" s="1012"/>
      <c r="Z393" s="1012"/>
    </row>
    <row r="394" ht="15.75" customHeight="1">
      <c r="A394" s="1012"/>
      <c r="B394" s="1012"/>
      <c r="C394" s="1012"/>
      <c r="D394" s="1012"/>
      <c r="E394" s="1012"/>
      <c r="F394" s="1012"/>
      <c r="G394" s="1012"/>
      <c r="H394" s="1012"/>
      <c r="I394" s="1012"/>
      <c r="J394" s="1012"/>
      <c r="K394" s="1012"/>
      <c r="L394" s="1012"/>
      <c r="M394" s="1012"/>
      <c r="N394" s="1012"/>
      <c r="O394" s="1012"/>
      <c r="P394" s="1012"/>
      <c r="Q394" s="1012"/>
      <c r="R394" s="1012"/>
      <c r="S394" s="1012"/>
      <c r="T394" s="1012"/>
      <c r="U394" s="1012"/>
      <c r="V394" s="1012"/>
      <c r="W394" s="1012"/>
      <c r="X394" s="1012"/>
      <c r="Y394" s="1012"/>
      <c r="Z394" s="1012"/>
    </row>
    <row r="395" ht="15.75" customHeight="1">
      <c r="A395" s="1012"/>
      <c r="B395" s="1012"/>
      <c r="C395" s="1012"/>
      <c r="D395" s="1012"/>
      <c r="E395" s="1012"/>
      <c r="F395" s="1012"/>
      <c r="G395" s="1012"/>
      <c r="H395" s="1012"/>
      <c r="I395" s="1012"/>
      <c r="J395" s="1012"/>
      <c r="K395" s="1012"/>
      <c r="L395" s="1012"/>
      <c r="M395" s="1012"/>
      <c r="N395" s="1012"/>
      <c r="O395" s="1012"/>
      <c r="P395" s="1012"/>
      <c r="Q395" s="1012"/>
      <c r="R395" s="1012"/>
      <c r="S395" s="1012"/>
      <c r="T395" s="1012"/>
      <c r="U395" s="1012"/>
      <c r="V395" s="1012"/>
      <c r="W395" s="1012"/>
      <c r="X395" s="1012"/>
      <c r="Y395" s="1012"/>
      <c r="Z395" s="1012"/>
    </row>
    <row r="396" ht="15.75" customHeight="1">
      <c r="A396" s="1012"/>
      <c r="B396" s="1012"/>
      <c r="C396" s="1012"/>
      <c r="D396" s="1012"/>
      <c r="E396" s="1012"/>
      <c r="F396" s="1012"/>
      <c r="G396" s="1012"/>
      <c r="H396" s="1012"/>
      <c r="I396" s="1012"/>
      <c r="J396" s="1012"/>
      <c r="K396" s="1012"/>
      <c r="L396" s="1012"/>
      <c r="M396" s="1012"/>
      <c r="N396" s="1012"/>
      <c r="O396" s="1012"/>
      <c r="P396" s="1012"/>
      <c r="Q396" s="1012"/>
      <c r="R396" s="1012"/>
      <c r="S396" s="1012"/>
      <c r="T396" s="1012"/>
      <c r="U396" s="1012"/>
      <c r="V396" s="1012"/>
      <c r="W396" s="1012"/>
      <c r="X396" s="1012"/>
      <c r="Y396" s="1012"/>
      <c r="Z396" s="1012"/>
    </row>
    <row r="397" ht="15.75" customHeight="1">
      <c r="A397" s="1012"/>
      <c r="B397" s="1012"/>
      <c r="C397" s="1012"/>
      <c r="D397" s="1012"/>
      <c r="E397" s="1012"/>
      <c r="F397" s="1012"/>
      <c r="G397" s="1012"/>
      <c r="H397" s="1012"/>
      <c r="I397" s="1012"/>
      <c r="J397" s="1012"/>
      <c r="K397" s="1012"/>
      <c r="L397" s="1012"/>
      <c r="M397" s="1012"/>
      <c r="N397" s="1012"/>
      <c r="O397" s="1012"/>
      <c r="P397" s="1012"/>
      <c r="Q397" s="1012"/>
      <c r="R397" s="1012"/>
      <c r="S397" s="1012"/>
      <c r="T397" s="1012"/>
      <c r="U397" s="1012"/>
      <c r="V397" s="1012"/>
      <c r="W397" s="1012"/>
      <c r="X397" s="1012"/>
      <c r="Y397" s="1012"/>
      <c r="Z397" s="1012"/>
    </row>
    <row r="398" ht="15.75" customHeight="1">
      <c r="A398" s="1012"/>
      <c r="B398" s="1012"/>
      <c r="C398" s="1012"/>
      <c r="D398" s="1012"/>
      <c r="E398" s="1012"/>
      <c r="F398" s="1012"/>
      <c r="G398" s="1012"/>
      <c r="H398" s="1012"/>
      <c r="I398" s="1012"/>
      <c r="J398" s="1012"/>
      <c r="K398" s="1012"/>
      <c r="L398" s="1012"/>
      <c r="M398" s="1012"/>
      <c r="N398" s="1012"/>
      <c r="O398" s="1012"/>
      <c r="P398" s="1012"/>
      <c r="Q398" s="1012"/>
      <c r="R398" s="1012"/>
      <c r="S398" s="1012"/>
      <c r="T398" s="1012"/>
      <c r="U398" s="1012"/>
      <c r="V398" s="1012"/>
      <c r="W398" s="1012"/>
      <c r="X398" s="1012"/>
      <c r="Y398" s="1012"/>
      <c r="Z398" s="1012"/>
    </row>
    <row r="399" ht="15.75" customHeight="1">
      <c r="A399" s="1012"/>
      <c r="B399" s="1012"/>
      <c r="C399" s="1012"/>
      <c r="D399" s="1012"/>
      <c r="E399" s="1012"/>
      <c r="F399" s="1012"/>
      <c r="G399" s="1012"/>
      <c r="H399" s="1012"/>
      <c r="I399" s="1012"/>
      <c r="J399" s="1012"/>
      <c r="K399" s="1012"/>
      <c r="L399" s="1012"/>
      <c r="M399" s="1012"/>
      <c r="N399" s="1012"/>
      <c r="O399" s="1012"/>
      <c r="P399" s="1012"/>
      <c r="Q399" s="1012"/>
      <c r="R399" s="1012"/>
      <c r="S399" s="1012"/>
      <c r="T399" s="1012"/>
      <c r="U399" s="1012"/>
      <c r="V399" s="1012"/>
      <c r="W399" s="1012"/>
      <c r="X399" s="1012"/>
      <c r="Y399" s="1012"/>
      <c r="Z399" s="1012"/>
    </row>
    <row r="400" ht="15.75" customHeight="1">
      <c r="A400" s="1012"/>
      <c r="B400" s="1012"/>
      <c r="C400" s="1012"/>
      <c r="D400" s="1012"/>
      <c r="E400" s="1012"/>
      <c r="F400" s="1012"/>
      <c r="G400" s="1012"/>
      <c r="H400" s="1012"/>
      <c r="I400" s="1012"/>
      <c r="J400" s="1012"/>
      <c r="K400" s="1012"/>
      <c r="L400" s="1012"/>
      <c r="M400" s="1012"/>
      <c r="N400" s="1012"/>
      <c r="O400" s="1012"/>
      <c r="P400" s="1012"/>
      <c r="Q400" s="1012"/>
      <c r="R400" s="1012"/>
      <c r="S400" s="1012"/>
      <c r="T400" s="1012"/>
      <c r="U400" s="1012"/>
      <c r="V400" s="1012"/>
      <c r="W400" s="1012"/>
      <c r="X400" s="1012"/>
      <c r="Y400" s="1012"/>
      <c r="Z400" s="1012"/>
    </row>
    <row r="401" ht="15.75" customHeight="1">
      <c r="A401" s="1012"/>
      <c r="B401" s="1012"/>
      <c r="C401" s="1012"/>
      <c r="D401" s="1012"/>
      <c r="E401" s="1012"/>
      <c r="F401" s="1012"/>
      <c r="G401" s="1012"/>
      <c r="H401" s="1012"/>
      <c r="I401" s="1012"/>
      <c r="J401" s="1012"/>
      <c r="K401" s="1012"/>
      <c r="L401" s="1012"/>
      <c r="M401" s="1012"/>
      <c r="N401" s="1012"/>
      <c r="O401" s="1012"/>
      <c r="P401" s="1012"/>
      <c r="Q401" s="1012"/>
      <c r="R401" s="1012"/>
      <c r="S401" s="1012"/>
      <c r="T401" s="1012"/>
      <c r="U401" s="1012"/>
      <c r="V401" s="1012"/>
      <c r="W401" s="1012"/>
      <c r="X401" s="1012"/>
      <c r="Y401" s="1012"/>
      <c r="Z401" s="1012"/>
    </row>
    <row r="402" ht="15.75" customHeight="1">
      <c r="A402" s="1012"/>
      <c r="B402" s="1012"/>
      <c r="C402" s="1012"/>
      <c r="D402" s="1012"/>
      <c r="E402" s="1012"/>
      <c r="F402" s="1012"/>
      <c r="G402" s="1012"/>
      <c r="H402" s="1012"/>
      <c r="I402" s="1012"/>
      <c r="J402" s="1012"/>
      <c r="K402" s="1012"/>
      <c r="L402" s="1012"/>
      <c r="M402" s="1012"/>
      <c r="N402" s="1012"/>
      <c r="O402" s="1012"/>
      <c r="P402" s="1012"/>
      <c r="Q402" s="1012"/>
      <c r="R402" s="1012"/>
      <c r="S402" s="1012"/>
      <c r="T402" s="1012"/>
      <c r="U402" s="1012"/>
      <c r="V402" s="1012"/>
      <c r="W402" s="1012"/>
      <c r="X402" s="1012"/>
      <c r="Y402" s="1012"/>
      <c r="Z402" s="1012"/>
    </row>
    <row r="403" ht="15.75" customHeight="1">
      <c r="A403" s="1012"/>
      <c r="B403" s="1012"/>
      <c r="C403" s="1012"/>
      <c r="D403" s="1012"/>
      <c r="E403" s="1012"/>
      <c r="F403" s="1012"/>
      <c r="G403" s="1012"/>
      <c r="H403" s="1012"/>
      <c r="I403" s="1012"/>
      <c r="J403" s="1012"/>
      <c r="K403" s="1012"/>
      <c r="L403" s="1012"/>
      <c r="M403" s="1012"/>
      <c r="N403" s="1012"/>
      <c r="O403" s="1012"/>
      <c r="P403" s="1012"/>
      <c r="Q403" s="1012"/>
      <c r="R403" s="1012"/>
      <c r="S403" s="1012"/>
      <c r="T403" s="1012"/>
      <c r="U403" s="1012"/>
      <c r="V403" s="1012"/>
      <c r="W403" s="1012"/>
      <c r="X403" s="1012"/>
      <c r="Y403" s="1012"/>
      <c r="Z403" s="1012"/>
    </row>
    <row r="404" ht="15.75" customHeight="1">
      <c r="A404" s="1012"/>
      <c r="B404" s="1012"/>
      <c r="C404" s="1012"/>
      <c r="D404" s="1012"/>
      <c r="E404" s="1012"/>
      <c r="F404" s="1012"/>
      <c r="G404" s="1012"/>
      <c r="H404" s="1012"/>
      <c r="I404" s="1012"/>
      <c r="J404" s="1012"/>
      <c r="K404" s="1012"/>
      <c r="L404" s="1012"/>
      <c r="M404" s="1012"/>
      <c r="N404" s="1012"/>
      <c r="O404" s="1012"/>
      <c r="P404" s="1012"/>
      <c r="Q404" s="1012"/>
      <c r="R404" s="1012"/>
      <c r="S404" s="1012"/>
      <c r="T404" s="1012"/>
      <c r="U404" s="1012"/>
      <c r="V404" s="1012"/>
      <c r="W404" s="1012"/>
      <c r="X404" s="1012"/>
      <c r="Y404" s="1012"/>
      <c r="Z404" s="1012"/>
    </row>
    <row r="405" ht="15.75" customHeight="1">
      <c r="A405" s="1012"/>
      <c r="B405" s="1012"/>
      <c r="C405" s="1012"/>
      <c r="D405" s="1012"/>
      <c r="E405" s="1012"/>
      <c r="F405" s="1012"/>
      <c r="G405" s="1012"/>
      <c r="H405" s="1012"/>
      <c r="I405" s="1012"/>
      <c r="J405" s="1012"/>
      <c r="K405" s="1012"/>
      <c r="L405" s="1012"/>
      <c r="M405" s="1012"/>
      <c r="N405" s="1012"/>
      <c r="O405" s="1012"/>
      <c r="P405" s="1012"/>
      <c r="Q405" s="1012"/>
      <c r="R405" s="1012"/>
      <c r="S405" s="1012"/>
      <c r="T405" s="1012"/>
      <c r="U405" s="1012"/>
      <c r="V405" s="1012"/>
      <c r="W405" s="1012"/>
      <c r="X405" s="1012"/>
      <c r="Y405" s="1012"/>
      <c r="Z405" s="1012"/>
    </row>
    <row r="406" ht="15.75" customHeight="1">
      <c r="A406" s="1012"/>
      <c r="B406" s="1012"/>
      <c r="C406" s="1012"/>
      <c r="D406" s="1012"/>
      <c r="E406" s="1012"/>
      <c r="F406" s="1012"/>
      <c r="G406" s="1012"/>
      <c r="H406" s="1012"/>
      <c r="I406" s="1012"/>
      <c r="J406" s="1012"/>
      <c r="K406" s="1012"/>
      <c r="L406" s="1012"/>
      <c r="M406" s="1012"/>
      <c r="N406" s="1012"/>
      <c r="O406" s="1012"/>
      <c r="P406" s="1012"/>
      <c r="Q406" s="1012"/>
      <c r="R406" s="1012"/>
      <c r="S406" s="1012"/>
      <c r="T406" s="1012"/>
      <c r="U406" s="1012"/>
      <c r="V406" s="1012"/>
      <c r="W406" s="1012"/>
      <c r="X406" s="1012"/>
      <c r="Y406" s="1012"/>
      <c r="Z406" s="1012"/>
    </row>
    <row r="407" ht="15.75" customHeight="1">
      <c r="A407" s="1012"/>
      <c r="B407" s="1012"/>
      <c r="C407" s="1012"/>
      <c r="D407" s="1012"/>
      <c r="E407" s="1012"/>
      <c r="F407" s="1012"/>
      <c r="G407" s="1012"/>
      <c r="H407" s="1012"/>
      <c r="I407" s="1012"/>
      <c r="J407" s="1012"/>
      <c r="K407" s="1012"/>
      <c r="L407" s="1012"/>
      <c r="M407" s="1012"/>
      <c r="N407" s="1012"/>
      <c r="O407" s="1012"/>
      <c r="P407" s="1012"/>
      <c r="Q407" s="1012"/>
      <c r="R407" s="1012"/>
      <c r="S407" s="1012"/>
      <c r="T407" s="1012"/>
      <c r="U407" s="1012"/>
      <c r="V407" s="1012"/>
      <c r="W407" s="1012"/>
      <c r="X407" s="1012"/>
      <c r="Y407" s="1012"/>
      <c r="Z407" s="1012"/>
    </row>
    <row r="408" ht="15.75" customHeight="1">
      <c r="A408" s="1012"/>
      <c r="B408" s="1012"/>
      <c r="C408" s="1012"/>
      <c r="D408" s="1012"/>
      <c r="E408" s="1012"/>
      <c r="F408" s="1012"/>
      <c r="G408" s="1012"/>
      <c r="H408" s="1012"/>
      <c r="I408" s="1012"/>
      <c r="J408" s="1012"/>
      <c r="K408" s="1012"/>
      <c r="L408" s="1012"/>
      <c r="M408" s="1012"/>
      <c r="N408" s="1012"/>
      <c r="O408" s="1012"/>
      <c r="P408" s="1012"/>
      <c r="Q408" s="1012"/>
      <c r="R408" s="1012"/>
      <c r="S408" s="1012"/>
      <c r="T408" s="1012"/>
      <c r="U408" s="1012"/>
      <c r="V408" s="1012"/>
      <c r="W408" s="1012"/>
      <c r="X408" s="1012"/>
      <c r="Y408" s="1012"/>
      <c r="Z408" s="1012"/>
    </row>
    <row r="409" ht="15.75" customHeight="1">
      <c r="A409" s="1012"/>
      <c r="B409" s="1012"/>
      <c r="C409" s="1012"/>
      <c r="D409" s="1012"/>
      <c r="E409" s="1012"/>
      <c r="F409" s="1012"/>
      <c r="G409" s="1012"/>
      <c r="H409" s="1012"/>
      <c r="I409" s="1012"/>
      <c r="J409" s="1012"/>
      <c r="K409" s="1012"/>
      <c r="L409" s="1012"/>
      <c r="M409" s="1012"/>
      <c r="N409" s="1012"/>
      <c r="O409" s="1012"/>
      <c r="P409" s="1012"/>
      <c r="Q409" s="1012"/>
      <c r="R409" s="1012"/>
      <c r="S409" s="1012"/>
      <c r="T409" s="1012"/>
      <c r="U409" s="1012"/>
      <c r="V409" s="1012"/>
      <c r="W409" s="1012"/>
      <c r="X409" s="1012"/>
      <c r="Y409" s="1012"/>
      <c r="Z409" s="1012"/>
    </row>
    <row r="410" ht="15.75" customHeight="1">
      <c r="A410" s="1012"/>
      <c r="B410" s="1012"/>
      <c r="C410" s="1012"/>
      <c r="D410" s="1012"/>
      <c r="E410" s="1012"/>
      <c r="F410" s="1012"/>
      <c r="G410" s="1012"/>
      <c r="H410" s="1012"/>
      <c r="I410" s="1012"/>
      <c r="J410" s="1012"/>
      <c r="K410" s="1012"/>
      <c r="L410" s="1012"/>
      <c r="M410" s="1012"/>
      <c r="N410" s="1012"/>
      <c r="O410" s="1012"/>
      <c r="P410" s="1012"/>
      <c r="Q410" s="1012"/>
      <c r="R410" s="1012"/>
      <c r="S410" s="1012"/>
      <c r="T410" s="1012"/>
      <c r="U410" s="1012"/>
      <c r="V410" s="1012"/>
      <c r="W410" s="1012"/>
      <c r="X410" s="1012"/>
      <c r="Y410" s="1012"/>
      <c r="Z410" s="1012"/>
    </row>
    <row r="411" ht="15.75" customHeight="1">
      <c r="A411" s="1012"/>
      <c r="B411" s="1012"/>
      <c r="C411" s="1012"/>
      <c r="D411" s="1012"/>
      <c r="E411" s="1012"/>
      <c r="F411" s="1012"/>
      <c r="G411" s="1012"/>
      <c r="H411" s="1012"/>
      <c r="I411" s="1012"/>
      <c r="J411" s="1012"/>
      <c r="K411" s="1012"/>
      <c r="L411" s="1012"/>
      <c r="M411" s="1012"/>
      <c r="N411" s="1012"/>
      <c r="O411" s="1012"/>
      <c r="P411" s="1012"/>
      <c r="Q411" s="1012"/>
      <c r="R411" s="1012"/>
      <c r="S411" s="1012"/>
      <c r="T411" s="1012"/>
      <c r="U411" s="1012"/>
      <c r="V411" s="1012"/>
      <c r="W411" s="1012"/>
      <c r="X411" s="1012"/>
      <c r="Y411" s="1012"/>
      <c r="Z411" s="1012"/>
    </row>
    <row r="412" ht="15.75" customHeight="1">
      <c r="A412" s="1012"/>
      <c r="B412" s="1012"/>
      <c r="C412" s="1012"/>
      <c r="D412" s="1012"/>
      <c r="E412" s="1012"/>
      <c r="F412" s="1012"/>
      <c r="G412" s="1012"/>
      <c r="H412" s="1012"/>
      <c r="I412" s="1012"/>
      <c r="J412" s="1012"/>
      <c r="K412" s="1012"/>
      <c r="L412" s="1012"/>
      <c r="M412" s="1012"/>
      <c r="N412" s="1012"/>
      <c r="O412" s="1012"/>
      <c r="P412" s="1012"/>
      <c r="Q412" s="1012"/>
      <c r="R412" s="1012"/>
      <c r="S412" s="1012"/>
      <c r="T412" s="1012"/>
      <c r="U412" s="1012"/>
      <c r="V412" s="1012"/>
      <c r="W412" s="1012"/>
      <c r="X412" s="1012"/>
      <c r="Y412" s="1012"/>
      <c r="Z412" s="1012"/>
    </row>
    <row r="413" ht="15.75" customHeight="1">
      <c r="A413" s="1012"/>
      <c r="B413" s="1012"/>
      <c r="C413" s="1012"/>
      <c r="D413" s="1012"/>
      <c r="E413" s="1012"/>
      <c r="F413" s="1012"/>
      <c r="G413" s="1012"/>
      <c r="H413" s="1012"/>
      <c r="I413" s="1012"/>
      <c r="J413" s="1012"/>
      <c r="K413" s="1012"/>
      <c r="L413" s="1012"/>
      <c r="M413" s="1012"/>
      <c r="N413" s="1012"/>
      <c r="O413" s="1012"/>
      <c r="P413" s="1012"/>
      <c r="Q413" s="1012"/>
      <c r="R413" s="1012"/>
      <c r="S413" s="1012"/>
      <c r="T413" s="1012"/>
      <c r="U413" s="1012"/>
      <c r="V413" s="1012"/>
      <c r="W413" s="1012"/>
      <c r="X413" s="1012"/>
      <c r="Y413" s="1012"/>
      <c r="Z413" s="1012"/>
    </row>
    <row r="414" ht="15.75" customHeight="1">
      <c r="A414" s="1012"/>
      <c r="B414" s="1012"/>
      <c r="C414" s="1012"/>
      <c r="D414" s="1012"/>
      <c r="E414" s="1012"/>
      <c r="F414" s="1012"/>
      <c r="G414" s="1012"/>
      <c r="H414" s="1012"/>
      <c r="I414" s="1012"/>
      <c r="J414" s="1012"/>
      <c r="K414" s="1012"/>
      <c r="L414" s="1012"/>
      <c r="M414" s="1012"/>
      <c r="N414" s="1012"/>
      <c r="O414" s="1012"/>
      <c r="P414" s="1012"/>
      <c r="Q414" s="1012"/>
      <c r="R414" s="1012"/>
      <c r="S414" s="1012"/>
      <c r="T414" s="1012"/>
      <c r="U414" s="1012"/>
      <c r="V414" s="1012"/>
      <c r="W414" s="1012"/>
      <c r="X414" s="1012"/>
      <c r="Y414" s="1012"/>
      <c r="Z414" s="1012"/>
    </row>
    <row r="415" ht="15.75" customHeight="1">
      <c r="A415" s="1012"/>
      <c r="B415" s="1012"/>
      <c r="C415" s="1012"/>
      <c r="D415" s="1012"/>
      <c r="E415" s="1012"/>
      <c r="F415" s="1012"/>
      <c r="G415" s="1012"/>
      <c r="H415" s="1012"/>
      <c r="I415" s="1012"/>
      <c r="J415" s="1012"/>
      <c r="K415" s="1012"/>
      <c r="L415" s="1012"/>
      <c r="M415" s="1012"/>
      <c r="N415" s="1012"/>
      <c r="O415" s="1012"/>
      <c r="P415" s="1012"/>
      <c r="Q415" s="1012"/>
      <c r="R415" s="1012"/>
      <c r="S415" s="1012"/>
      <c r="T415" s="1012"/>
      <c r="U415" s="1012"/>
      <c r="V415" s="1012"/>
      <c r="W415" s="1012"/>
      <c r="X415" s="1012"/>
      <c r="Y415" s="1012"/>
      <c r="Z415" s="1012"/>
    </row>
    <row r="416" ht="15.75" customHeight="1">
      <c r="A416" s="1012"/>
      <c r="B416" s="1012"/>
      <c r="C416" s="1012"/>
      <c r="D416" s="1012"/>
      <c r="E416" s="1012"/>
      <c r="F416" s="1012"/>
      <c r="G416" s="1012"/>
      <c r="H416" s="1012"/>
      <c r="I416" s="1012"/>
      <c r="J416" s="1012"/>
      <c r="K416" s="1012"/>
      <c r="L416" s="1012"/>
      <c r="M416" s="1012"/>
      <c r="N416" s="1012"/>
      <c r="O416" s="1012"/>
      <c r="P416" s="1012"/>
      <c r="Q416" s="1012"/>
      <c r="R416" s="1012"/>
      <c r="S416" s="1012"/>
      <c r="T416" s="1012"/>
      <c r="U416" s="1012"/>
      <c r="V416" s="1012"/>
      <c r="W416" s="1012"/>
      <c r="X416" s="1012"/>
      <c r="Y416" s="1012"/>
      <c r="Z416" s="1012"/>
    </row>
    <row r="417" ht="15.75" customHeight="1">
      <c r="A417" s="1012"/>
      <c r="B417" s="1012"/>
      <c r="C417" s="1012"/>
      <c r="D417" s="1012"/>
      <c r="E417" s="1012"/>
      <c r="F417" s="1012"/>
      <c r="G417" s="1012"/>
      <c r="H417" s="1012"/>
      <c r="I417" s="1012"/>
      <c r="J417" s="1012"/>
      <c r="K417" s="1012"/>
      <c r="L417" s="1012"/>
      <c r="M417" s="1012"/>
      <c r="N417" s="1012"/>
      <c r="O417" s="1012"/>
      <c r="P417" s="1012"/>
      <c r="Q417" s="1012"/>
      <c r="R417" s="1012"/>
      <c r="S417" s="1012"/>
      <c r="T417" s="1012"/>
      <c r="U417" s="1012"/>
      <c r="V417" s="1012"/>
      <c r="W417" s="1012"/>
      <c r="X417" s="1012"/>
      <c r="Y417" s="1012"/>
      <c r="Z417" s="1012"/>
    </row>
    <row r="418" ht="15.75" customHeight="1">
      <c r="A418" s="1012"/>
      <c r="B418" s="1012"/>
      <c r="C418" s="1012"/>
      <c r="D418" s="1012"/>
      <c r="E418" s="1012"/>
      <c r="F418" s="1012"/>
      <c r="G418" s="1012"/>
      <c r="H418" s="1012"/>
      <c r="I418" s="1012"/>
      <c r="J418" s="1012"/>
      <c r="K418" s="1012"/>
      <c r="L418" s="1012"/>
      <c r="M418" s="1012"/>
      <c r="N418" s="1012"/>
      <c r="O418" s="1012"/>
      <c r="P418" s="1012"/>
      <c r="Q418" s="1012"/>
      <c r="R418" s="1012"/>
      <c r="S418" s="1012"/>
      <c r="T418" s="1012"/>
      <c r="U418" s="1012"/>
      <c r="V418" s="1012"/>
      <c r="W418" s="1012"/>
      <c r="X418" s="1012"/>
      <c r="Y418" s="1012"/>
      <c r="Z418" s="1012"/>
    </row>
    <row r="419" ht="15.75" customHeight="1">
      <c r="A419" s="1012"/>
      <c r="B419" s="1012"/>
      <c r="C419" s="1012"/>
      <c r="D419" s="1012"/>
      <c r="E419" s="1012"/>
      <c r="F419" s="1012"/>
      <c r="G419" s="1012"/>
      <c r="H419" s="1012"/>
      <c r="I419" s="1012"/>
      <c r="J419" s="1012"/>
      <c r="K419" s="1012"/>
      <c r="L419" s="1012"/>
      <c r="M419" s="1012"/>
      <c r="N419" s="1012"/>
      <c r="O419" s="1012"/>
      <c r="P419" s="1012"/>
      <c r="Q419" s="1012"/>
      <c r="R419" s="1012"/>
      <c r="S419" s="1012"/>
      <c r="T419" s="1012"/>
      <c r="U419" s="1012"/>
      <c r="V419" s="1012"/>
      <c r="W419" s="1012"/>
      <c r="X419" s="1012"/>
      <c r="Y419" s="1012"/>
      <c r="Z419" s="1012"/>
    </row>
    <row r="420" ht="15.75" customHeight="1">
      <c r="A420" s="1012"/>
      <c r="B420" s="1012"/>
      <c r="C420" s="1012"/>
      <c r="D420" s="1012"/>
      <c r="E420" s="1012"/>
      <c r="F420" s="1012"/>
      <c r="G420" s="1012"/>
      <c r="H420" s="1012"/>
      <c r="I420" s="1012"/>
      <c r="J420" s="1012"/>
      <c r="K420" s="1012"/>
      <c r="L420" s="1012"/>
      <c r="M420" s="1012"/>
      <c r="N420" s="1012"/>
      <c r="O420" s="1012"/>
      <c r="P420" s="1012"/>
      <c r="Q420" s="1012"/>
      <c r="R420" s="1012"/>
      <c r="S420" s="1012"/>
      <c r="T420" s="1012"/>
      <c r="U420" s="1012"/>
      <c r="V420" s="1012"/>
      <c r="W420" s="1012"/>
      <c r="X420" s="1012"/>
      <c r="Y420" s="1012"/>
      <c r="Z420" s="1012"/>
    </row>
    <row r="421" ht="15.75" customHeight="1">
      <c r="A421" s="1012"/>
      <c r="B421" s="1012"/>
      <c r="C421" s="1012"/>
      <c r="D421" s="1012"/>
      <c r="E421" s="1012"/>
      <c r="F421" s="1012"/>
      <c r="G421" s="1012"/>
      <c r="H421" s="1012"/>
      <c r="I421" s="1012"/>
      <c r="J421" s="1012"/>
      <c r="K421" s="1012"/>
      <c r="L421" s="1012"/>
      <c r="M421" s="1012"/>
      <c r="N421" s="1012"/>
      <c r="O421" s="1012"/>
      <c r="P421" s="1012"/>
      <c r="Q421" s="1012"/>
      <c r="R421" s="1012"/>
      <c r="S421" s="1012"/>
      <c r="T421" s="1012"/>
      <c r="U421" s="1012"/>
      <c r="V421" s="1012"/>
      <c r="W421" s="1012"/>
      <c r="X421" s="1012"/>
      <c r="Y421" s="1012"/>
      <c r="Z421" s="1012"/>
    </row>
    <row r="422" ht="15.75" customHeight="1">
      <c r="A422" s="1012"/>
      <c r="B422" s="1012"/>
      <c r="C422" s="1012"/>
      <c r="D422" s="1012"/>
      <c r="E422" s="1012"/>
      <c r="F422" s="1012"/>
      <c r="G422" s="1012"/>
      <c r="H422" s="1012"/>
      <c r="I422" s="1012"/>
      <c r="J422" s="1012"/>
      <c r="K422" s="1012"/>
      <c r="L422" s="1012"/>
      <c r="M422" s="1012"/>
      <c r="N422" s="1012"/>
      <c r="O422" s="1012"/>
      <c r="P422" s="1012"/>
      <c r="Q422" s="1012"/>
      <c r="R422" s="1012"/>
      <c r="S422" s="1012"/>
      <c r="T422" s="1012"/>
      <c r="U422" s="1012"/>
      <c r="V422" s="1012"/>
      <c r="W422" s="1012"/>
      <c r="X422" s="1012"/>
      <c r="Y422" s="1012"/>
      <c r="Z422" s="1012"/>
    </row>
    <row r="423" ht="15.75" customHeight="1">
      <c r="A423" s="1012"/>
      <c r="B423" s="1012"/>
      <c r="C423" s="1012"/>
      <c r="D423" s="1012"/>
      <c r="E423" s="1012"/>
      <c r="F423" s="1012"/>
      <c r="G423" s="1012"/>
      <c r="H423" s="1012"/>
      <c r="I423" s="1012"/>
      <c r="J423" s="1012"/>
      <c r="K423" s="1012"/>
      <c r="L423" s="1012"/>
      <c r="M423" s="1012"/>
      <c r="N423" s="1012"/>
      <c r="O423" s="1012"/>
      <c r="P423" s="1012"/>
      <c r="Q423" s="1012"/>
      <c r="R423" s="1012"/>
      <c r="S423" s="1012"/>
      <c r="T423" s="1012"/>
      <c r="U423" s="1012"/>
      <c r="V423" s="1012"/>
      <c r="W423" s="1012"/>
      <c r="X423" s="1012"/>
      <c r="Y423" s="1012"/>
      <c r="Z423" s="1012"/>
    </row>
    <row r="424" ht="15.75" customHeight="1">
      <c r="A424" s="1012"/>
      <c r="B424" s="1012"/>
      <c r="C424" s="1012"/>
      <c r="D424" s="1012"/>
      <c r="E424" s="1012"/>
      <c r="F424" s="1012"/>
      <c r="G424" s="1012"/>
      <c r="H424" s="1012"/>
      <c r="I424" s="1012"/>
      <c r="J424" s="1012"/>
      <c r="K424" s="1012"/>
      <c r="L424" s="1012"/>
      <c r="M424" s="1012"/>
      <c r="N424" s="1012"/>
      <c r="O424" s="1012"/>
      <c r="P424" s="1012"/>
      <c r="Q424" s="1012"/>
      <c r="R424" s="1012"/>
      <c r="S424" s="1012"/>
      <c r="T424" s="1012"/>
      <c r="U424" s="1012"/>
      <c r="V424" s="1012"/>
      <c r="W424" s="1012"/>
      <c r="X424" s="1012"/>
      <c r="Y424" s="1012"/>
      <c r="Z424" s="1012"/>
    </row>
    <row r="425" ht="15.75" customHeight="1">
      <c r="A425" s="1012"/>
      <c r="B425" s="1012"/>
      <c r="C425" s="1012"/>
      <c r="D425" s="1012"/>
      <c r="E425" s="1012"/>
      <c r="F425" s="1012"/>
      <c r="G425" s="1012"/>
      <c r="H425" s="1012"/>
      <c r="I425" s="1012"/>
      <c r="J425" s="1012"/>
      <c r="K425" s="1012"/>
      <c r="L425" s="1012"/>
      <c r="M425" s="1012"/>
      <c r="N425" s="1012"/>
      <c r="O425" s="1012"/>
      <c r="P425" s="1012"/>
      <c r="Q425" s="1012"/>
      <c r="R425" s="1012"/>
      <c r="S425" s="1012"/>
      <c r="T425" s="1012"/>
      <c r="U425" s="1012"/>
      <c r="V425" s="1012"/>
      <c r="W425" s="1012"/>
      <c r="X425" s="1012"/>
      <c r="Y425" s="1012"/>
      <c r="Z425" s="1012"/>
    </row>
    <row r="426" ht="15.75" customHeight="1">
      <c r="A426" s="1012"/>
      <c r="B426" s="1012"/>
      <c r="C426" s="1012"/>
      <c r="D426" s="1012"/>
      <c r="E426" s="1012"/>
      <c r="F426" s="1012"/>
      <c r="G426" s="1012"/>
      <c r="H426" s="1012"/>
      <c r="I426" s="1012"/>
      <c r="J426" s="1012"/>
      <c r="K426" s="1012"/>
      <c r="L426" s="1012"/>
      <c r="M426" s="1012"/>
      <c r="N426" s="1012"/>
      <c r="O426" s="1012"/>
      <c r="P426" s="1012"/>
      <c r="Q426" s="1012"/>
      <c r="R426" s="1012"/>
      <c r="S426" s="1012"/>
      <c r="T426" s="1012"/>
      <c r="U426" s="1012"/>
      <c r="V426" s="1012"/>
      <c r="W426" s="1012"/>
      <c r="X426" s="1012"/>
      <c r="Y426" s="1012"/>
      <c r="Z426" s="1012"/>
    </row>
    <row r="427" ht="15.75" customHeight="1">
      <c r="A427" s="1012"/>
      <c r="B427" s="1012"/>
      <c r="C427" s="1012"/>
      <c r="D427" s="1012"/>
      <c r="E427" s="1012"/>
      <c r="F427" s="1012"/>
      <c r="G427" s="1012"/>
      <c r="H427" s="1012"/>
      <c r="I427" s="1012"/>
      <c r="J427" s="1012"/>
      <c r="K427" s="1012"/>
      <c r="L427" s="1012"/>
      <c r="M427" s="1012"/>
      <c r="N427" s="1012"/>
      <c r="O427" s="1012"/>
      <c r="P427" s="1012"/>
      <c r="Q427" s="1012"/>
      <c r="R427" s="1012"/>
      <c r="S427" s="1012"/>
      <c r="T427" s="1012"/>
      <c r="U427" s="1012"/>
      <c r="V427" s="1012"/>
      <c r="W427" s="1012"/>
      <c r="X427" s="1012"/>
      <c r="Y427" s="1012"/>
      <c r="Z427" s="1012"/>
    </row>
    <row r="428" ht="15.75" customHeight="1">
      <c r="A428" s="1012"/>
      <c r="B428" s="1012"/>
      <c r="C428" s="1012"/>
      <c r="D428" s="1012"/>
      <c r="E428" s="1012"/>
      <c r="F428" s="1012"/>
      <c r="G428" s="1012"/>
      <c r="H428" s="1012"/>
      <c r="I428" s="1012"/>
      <c r="J428" s="1012"/>
      <c r="K428" s="1012"/>
      <c r="L428" s="1012"/>
      <c r="M428" s="1012"/>
      <c r="N428" s="1012"/>
      <c r="O428" s="1012"/>
      <c r="P428" s="1012"/>
      <c r="Q428" s="1012"/>
      <c r="R428" s="1012"/>
      <c r="S428" s="1012"/>
      <c r="T428" s="1012"/>
      <c r="U428" s="1012"/>
      <c r="V428" s="1012"/>
      <c r="W428" s="1012"/>
      <c r="X428" s="1012"/>
      <c r="Y428" s="1012"/>
      <c r="Z428" s="1012"/>
    </row>
    <row r="429" ht="15.75" customHeight="1">
      <c r="A429" s="1012"/>
      <c r="B429" s="1012"/>
      <c r="C429" s="1012"/>
      <c r="D429" s="1012"/>
      <c r="E429" s="1012"/>
      <c r="F429" s="1012"/>
      <c r="G429" s="1012"/>
      <c r="H429" s="1012"/>
      <c r="I429" s="1012"/>
      <c r="J429" s="1012"/>
      <c r="K429" s="1012"/>
      <c r="L429" s="1012"/>
      <c r="M429" s="1012"/>
      <c r="N429" s="1012"/>
      <c r="O429" s="1012"/>
      <c r="P429" s="1012"/>
      <c r="Q429" s="1012"/>
      <c r="R429" s="1012"/>
      <c r="S429" s="1012"/>
      <c r="T429" s="1012"/>
      <c r="U429" s="1012"/>
      <c r="V429" s="1012"/>
      <c r="W429" s="1012"/>
      <c r="X429" s="1012"/>
      <c r="Y429" s="1012"/>
      <c r="Z429" s="1012"/>
    </row>
    <row r="430" ht="15.75" customHeight="1">
      <c r="A430" s="1012"/>
      <c r="B430" s="1012"/>
      <c r="C430" s="1012"/>
      <c r="D430" s="1012"/>
      <c r="E430" s="1012"/>
      <c r="F430" s="1012"/>
      <c r="G430" s="1012"/>
      <c r="H430" s="1012"/>
      <c r="I430" s="1012"/>
      <c r="J430" s="1012"/>
      <c r="K430" s="1012"/>
      <c r="L430" s="1012"/>
      <c r="M430" s="1012"/>
      <c r="N430" s="1012"/>
      <c r="O430" s="1012"/>
      <c r="P430" s="1012"/>
      <c r="Q430" s="1012"/>
      <c r="R430" s="1012"/>
      <c r="S430" s="1012"/>
      <c r="T430" s="1012"/>
      <c r="U430" s="1012"/>
      <c r="V430" s="1012"/>
      <c r="W430" s="1012"/>
      <c r="X430" s="1012"/>
      <c r="Y430" s="1012"/>
      <c r="Z430" s="1012"/>
    </row>
    <row r="431" ht="15.75" customHeight="1">
      <c r="A431" s="1012"/>
      <c r="B431" s="1012"/>
      <c r="C431" s="1012"/>
      <c r="D431" s="1012"/>
      <c r="E431" s="1012"/>
      <c r="F431" s="1012"/>
      <c r="G431" s="1012"/>
      <c r="H431" s="1012"/>
      <c r="I431" s="1012"/>
      <c r="J431" s="1012"/>
      <c r="K431" s="1012"/>
      <c r="L431" s="1012"/>
      <c r="M431" s="1012"/>
      <c r="N431" s="1012"/>
      <c r="O431" s="1012"/>
      <c r="P431" s="1012"/>
      <c r="Q431" s="1012"/>
      <c r="R431" s="1012"/>
      <c r="S431" s="1012"/>
      <c r="T431" s="1012"/>
      <c r="U431" s="1012"/>
      <c r="V431" s="1012"/>
      <c r="W431" s="1012"/>
      <c r="X431" s="1012"/>
      <c r="Y431" s="1012"/>
      <c r="Z431" s="1012"/>
    </row>
    <row r="432" ht="15.75" customHeight="1">
      <c r="A432" s="1012"/>
      <c r="B432" s="1012"/>
      <c r="C432" s="1012"/>
      <c r="D432" s="1012"/>
      <c r="E432" s="1012"/>
      <c r="F432" s="1012"/>
      <c r="G432" s="1012"/>
      <c r="H432" s="1012"/>
      <c r="I432" s="1012"/>
      <c r="J432" s="1012"/>
      <c r="K432" s="1012"/>
      <c r="L432" s="1012"/>
      <c r="M432" s="1012"/>
      <c r="N432" s="1012"/>
      <c r="O432" s="1012"/>
      <c r="P432" s="1012"/>
      <c r="Q432" s="1012"/>
      <c r="R432" s="1012"/>
      <c r="S432" s="1012"/>
      <c r="T432" s="1012"/>
      <c r="U432" s="1012"/>
      <c r="V432" s="1012"/>
      <c r="W432" s="1012"/>
      <c r="X432" s="1012"/>
      <c r="Y432" s="1012"/>
      <c r="Z432" s="1012"/>
    </row>
    <row r="433" ht="15.75" customHeight="1">
      <c r="A433" s="1012"/>
      <c r="B433" s="1012"/>
      <c r="C433" s="1012"/>
      <c r="D433" s="1012"/>
      <c r="E433" s="1012"/>
      <c r="F433" s="1012"/>
      <c r="G433" s="1012"/>
      <c r="H433" s="1012"/>
      <c r="I433" s="1012"/>
      <c r="J433" s="1012"/>
      <c r="K433" s="1012"/>
      <c r="L433" s="1012"/>
      <c r="M433" s="1012"/>
      <c r="N433" s="1012"/>
      <c r="O433" s="1012"/>
      <c r="P433" s="1012"/>
      <c r="Q433" s="1012"/>
      <c r="R433" s="1012"/>
      <c r="S433" s="1012"/>
      <c r="T433" s="1012"/>
      <c r="U433" s="1012"/>
      <c r="V433" s="1012"/>
      <c r="W433" s="1012"/>
      <c r="X433" s="1012"/>
      <c r="Y433" s="1012"/>
      <c r="Z433" s="1012"/>
    </row>
    <row r="434" ht="15.75" customHeight="1">
      <c r="A434" s="1012"/>
      <c r="B434" s="1012"/>
      <c r="C434" s="1012"/>
      <c r="D434" s="1012"/>
      <c r="E434" s="1012"/>
      <c r="F434" s="1012"/>
      <c r="G434" s="1012"/>
      <c r="H434" s="1012"/>
      <c r="I434" s="1012"/>
      <c r="J434" s="1012"/>
      <c r="K434" s="1012"/>
      <c r="L434" s="1012"/>
      <c r="M434" s="1012"/>
      <c r="N434" s="1012"/>
      <c r="O434" s="1012"/>
      <c r="P434" s="1012"/>
      <c r="Q434" s="1012"/>
      <c r="R434" s="1012"/>
      <c r="S434" s="1012"/>
      <c r="T434" s="1012"/>
      <c r="U434" s="1012"/>
      <c r="V434" s="1012"/>
      <c r="W434" s="1012"/>
      <c r="X434" s="1012"/>
      <c r="Y434" s="1012"/>
      <c r="Z434" s="1012"/>
    </row>
    <row r="435" ht="15.75" customHeight="1">
      <c r="A435" s="1012"/>
      <c r="B435" s="1012"/>
      <c r="C435" s="1012"/>
      <c r="D435" s="1012"/>
      <c r="E435" s="1012"/>
      <c r="F435" s="1012"/>
      <c r="G435" s="1012"/>
      <c r="H435" s="1012"/>
      <c r="I435" s="1012"/>
      <c r="J435" s="1012"/>
      <c r="K435" s="1012"/>
      <c r="L435" s="1012"/>
      <c r="M435" s="1012"/>
      <c r="N435" s="1012"/>
      <c r="O435" s="1012"/>
      <c r="P435" s="1012"/>
      <c r="Q435" s="1012"/>
      <c r="R435" s="1012"/>
      <c r="S435" s="1012"/>
      <c r="T435" s="1012"/>
      <c r="U435" s="1012"/>
      <c r="V435" s="1012"/>
      <c r="W435" s="1012"/>
      <c r="X435" s="1012"/>
      <c r="Y435" s="1012"/>
      <c r="Z435" s="1012"/>
    </row>
    <row r="436" ht="15.75" customHeight="1">
      <c r="A436" s="1012"/>
      <c r="B436" s="1012"/>
      <c r="C436" s="1012"/>
      <c r="D436" s="1012"/>
      <c r="E436" s="1012"/>
      <c r="F436" s="1012"/>
      <c r="G436" s="1012"/>
      <c r="H436" s="1012"/>
      <c r="I436" s="1012"/>
      <c r="J436" s="1012"/>
      <c r="K436" s="1012"/>
      <c r="L436" s="1012"/>
      <c r="M436" s="1012"/>
      <c r="N436" s="1012"/>
      <c r="O436" s="1012"/>
      <c r="P436" s="1012"/>
      <c r="Q436" s="1012"/>
      <c r="R436" s="1012"/>
      <c r="S436" s="1012"/>
      <c r="T436" s="1012"/>
      <c r="U436" s="1012"/>
      <c r="V436" s="1012"/>
      <c r="W436" s="1012"/>
      <c r="X436" s="1012"/>
      <c r="Y436" s="1012"/>
      <c r="Z436" s="1012"/>
    </row>
    <row r="437" ht="15.75" customHeight="1">
      <c r="A437" s="1012"/>
      <c r="B437" s="1012"/>
      <c r="C437" s="1012"/>
      <c r="D437" s="1012"/>
      <c r="E437" s="1012"/>
      <c r="F437" s="1012"/>
      <c r="G437" s="1012"/>
      <c r="H437" s="1012"/>
      <c r="I437" s="1012"/>
      <c r="J437" s="1012"/>
      <c r="K437" s="1012"/>
      <c r="L437" s="1012"/>
      <c r="M437" s="1012"/>
      <c r="N437" s="1012"/>
      <c r="O437" s="1012"/>
      <c r="P437" s="1012"/>
      <c r="Q437" s="1012"/>
      <c r="R437" s="1012"/>
      <c r="S437" s="1012"/>
      <c r="T437" s="1012"/>
      <c r="U437" s="1012"/>
      <c r="V437" s="1012"/>
      <c r="W437" s="1012"/>
      <c r="X437" s="1012"/>
      <c r="Y437" s="1012"/>
      <c r="Z437" s="1012"/>
    </row>
    <row r="438" ht="15.75" customHeight="1">
      <c r="A438" s="1012"/>
      <c r="B438" s="1012"/>
      <c r="C438" s="1012"/>
      <c r="D438" s="1012"/>
      <c r="E438" s="1012"/>
      <c r="F438" s="1012"/>
      <c r="G438" s="1012"/>
      <c r="H438" s="1012"/>
      <c r="I438" s="1012"/>
      <c r="J438" s="1012"/>
      <c r="K438" s="1012"/>
      <c r="L438" s="1012"/>
      <c r="M438" s="1012"/>
      <c r="N438" s="1012"/>
      <c r="O438" s="1012"/>
      <c r="P438" s="1012"/>
      <c r="Q438" s="1012"/>
      <c r="R438" s="1012"/>
      <c r="S438" s="1012"/>
      <c r="T438" s="1012"/>
      <c r="U438" s="1012"/>
      <c r="V438" s="1012"/>
      <c r="W438" s="1012"/>
      <c r="X438" s="1012"/>
      <c r="Y438" s="1012"/>
      <c r="Z438" s="1012"/>
    </row>
    <row r="439" ht="15.75" customHeight="1">
      <c r="A439" s="1012"/>
      <c r="B439" s="1012"/>
      <c r="C439" s="1012"/>
      <c r="D439" s="1012"/>
      <c r="E439" s="1012"/>
      <c r="F439" s="1012"/>
      <c r="G439" s="1012"/>
      <c r="H439" s="1012"/>
      <c r="I439" s="1012"/>
      <c r="J439" s="1012"/>
      <c r="K439" s="1012"/>
      <c r="L439" s="1012"/>
      <c r="M439" s="1012"/>
      <c r="N439" s="1012"/>
      <c r="O439" s="1012"/>
      <c r="P439" s="1012"/>
      <c r="Q439" s="1012"/>
      <c r="R439" s="1012"/>
      <c r="S439" s="1012"/>
      <c r="T439" s="1012"/>
      <c r="U439" s="1012"/>
      <c r="V439" s="1012"/>
      <c r="W439" s="1012"/>
      <c r="X439" s="1012"/>
      <c r="Y439" s="1012"/>
      <c r="Z439" s="1012"/>
    </row>
    <row r="440" ht="15.75" customHeight="1">
      <c r="A440" s="1012"/>
      <c r="B440" s="1012"/>
      <c r="C440" s="1012"/>
      <c r="D440" s="1012"/>
      <c r="E440" s="1012"/>
      <c r="F440" s="1012"/>
      <c r="G440" s="1012"/>
      <c r="H440" s="1012"/>
      <c r="I440" s="1012"/>
      <c r="J440" s="1012"/>
      <c r="K440" s="1012"/>
      <c r="L440" s="1012"/>
      <c r="M440" s="1012"/>
      <c r="N440" s="1012"/>
      <c r="O440" s="1012"/>
      <c r="P440" s="1012"/>
      <c r="Q440" s="1012"/>
      <c r="R440" s="1012"/>
      <c r="S440" s="1012"/>
      <c r="T440" s="1012"/>
      <c r="U440" s="1012"/>
      <c r="V440" s="1012"/>
      <c r="W440" s="1012"/>
      <c r="X440" s="1012"/>
      <c r="Y440" s="1012"/>
      <c r="Z440" s="1012"/>
    </row>
    <row r="441" ht="15.75" customHeight="1">
      <c r="A441" s="1012"/>
      <c r="B441" s="1012"/>
      <c r="C441" s="1012"/>
      <c r="D441" s="1012"/>
      <c r="E441" s="1012"/>
      <c r="F441" s="1012"/>
      <c r="G441" s="1012"/>
      <c r="H441" s="1012"/>
      <c r="I441" s="1012"/>
      <c r="J441" s="1012"/>
      <c r="K441" s="1012"/>
      <c r="L441" s="1012"/>
      <c r="M441" s="1012"/>
      <c r="N441" s="1012"/>
      <c r="O441" s="1012"/>
      <c r="P441" s="1012"/>
      <c r="Q441" s="1012"/>
      <c r="R441" s="1012"/>
      <c r="S441" s="1012"/>
      <c r="T441" s="1012"/>
      <c r="U441" s="1012"/>
      <c r="V441" s="1012"/>
      <c r="W441" s="1012"/>
      <c r="X441" s="1012"/>
      <c r="Y441" s="1012"/>
      <c r="Z441" s="1012"/>
    </row>
    <row r="442" ht="15.75" customHeight="1">
      <c r="A442" s="1012"/>
      <c r="B442" s="1012"/>
      <c r="C442" s="1012"/>
      <c r="D442" s="1012"/>
      <c r="E442" s="1012"/>
      <c r="F442" s="1012"/>
      <c r="G442" s="1012"/>
      <c r="H442" s="1012"/>
      <c r="I442" s="1012"/>
      <c r="J442" s="1012"/>
      <c r="K442" s="1012"/>
      <c r="L442" s="1012"/>
      <c r="M442" s="1012"/>
      <c r="N442" s="1012"/>
      <c r="O442" s="1012"/>
      <c r="P442" s="1012"/>
      <c r="Q442" s="1012"/>
      <c r="R442" s="1012"/>
      <c r="S442" s="1012"/>
      <c r="T442" s="1012"/>
      <c r="U442" s="1012"/>
      <c r="V442" s="1012"/>
      <c r="W442" s="1012"/>
      <c r="X442" s="1012"/>
      <c r="Y442" s="1012"/>
      <c r="Z442" s="1012"/>
    </row>
    <row r="443" ht="15.75" customHeight="1">
      <c r="A443" s="1012"/>
      <c r="B443" s="1012"/>
      <c r="C443" s="1012"/>
      <c r="D443" s="1012"/>
      <c r="E443" s="1012"/>
      <c r="F443" s="1012"/>
      <c r="G443" s="1012"/>
      <c r="H443" s="1012"/>
      <c r="I443" s="1012"/>
      <c r="J443" s="1012"/>
      <c r="K443" s="1012"/>
      <c r="L443" s="1012"/>
      <c r="M443" s="1012"/>
      <c r="N443" s="1012"/>
      <c r="O443" s="1012"/>
      <c r="P443" s="1012"/>
      <c r="Q443" s="1012"/>
      <c r="R443" s="1012"/>
      <c r="S443" s="1012"/>
      <c r="T443" s="1012"/>
      <c r="U443" s="1012"/>
      <c r="V443" s="1012"/>
      <c r="W443" s="1012"/>
      <c r="X443" s="1012"/>
      <c r="Y443" s="1012"/>
      <c r="Z443" s="1012"/>
    </row>
    <row r="444" ht="15.75" customHeight="1">
      <c r="A444" s="1012"/>
      <c r="B444" s="1012"/>
      <c r="C444" s="1012"/>
      <c r="D444" s="1012"/>
      <c r="E444" s="1012"/>
      <c r="F444" s="1012"/>
      <c r="G444" s="1012"/>
      <c r="H444" s="1012"/>
      <c r="I444" s="1012"/>
      <c r="J444" s="1012"/>
      <c r="K444" s="1012"/>
      <c r="L444" s="1012"/>
      <c r="M444" s="1012"/>
      <c r="N444" s="1012"/>
      <c r="O444" s="1012"/>
      <c r="P444" s="1012"/>
      <c r="Q444" s="1012"/>
      <c r="R444" s="1012"/>
      <c r="S444" s="1012"/>
      <c r="T444" s="1012"/>
      <c r="U444" s="1012"/>
      <c r="V444" s="1012"/>
      <c r="W444" s="1012"/>
      <c r="X444" s="1012"/>
      <c r="Y444" s="1012"/>
      <c r="Z444" s="1012"/>
    </row>
    <row r="445" ht="15.75" customHeight="1">
      <c r="A445" s="1012"/>
      <c r="B445" s="1012"/>
      <c r="C445" s="1012"/>
      <c r="D445" s="1012"/>
      <c r="E445" s="1012"/>
      <c r="F445" s="1012"/>
      <c r="G445" s="1012"/>
      <c r="H445" s="1012"/>
      <c r="I445" s="1012"/>
      <c r="J445" s="1012"/>
      <c r="K445" s="1012"/>
      <c r="L445" s="1012"/>
      <c r="M445" s="1012"/>
      <c r="N445" s="1012"/>
      <c r="O445" s="1012"/>
      <c r="P445" s="1012"/>
      <c r="Q445" s="1012"/>
      <c r="R445" s="1012"/>
      <c r="S445" s="1012"/>
      <c r="T445" s="1012"/>
      <c r="U445" s="1012"/>
      <c r="V445" s="1012"/>
      <c r="W445" s="1012"/>
      <c r="X445" s="1012"/>
      <c r="Y445" s="1012"/>
      <c r="Z445" s="1012"/>
    </row>
    <row r="446" ht="15.75" customHeight="1">
      <c r="A446" s="1012"/>
      <c r="B446" s="1012"/>
      <c r="C446" s="1012"/>
      <c r="D446" s="1012"/>
      <c r="E446" s="1012"/>
      <c r="F446" s="1012"/>
      <c r="G446" s="1012"/>
      <c r="H446" s="1012"/>
      <c r="I446" s="1012"/>
      <c r="J446" s="1012"/>
      <c r="K446" s="1012"/>
      <c r="L446" s="1012"/>
      <c r="M446" s="1012"/>
      <c r="N446" s="1012"/>
      <c r="O446" s="1012"/>
      <c r="P446" s="1012"/>
      <c r="Q446" s="1012"/>
      <c r="R446" s="1012"/>
      <c r="S446" s="1012"/>
      <c r="T446" s="1012"/>
      <c r="U446" s="1012"/>
      <c r="V446" s="1012"/>
      <c r="W446" s="1012"/>
      <c r="X446" s="1012"/>
      <c r="Y446" s="1012"/>
      <c r="Z446" s="1012"/>
    </row>
    <row r="447" ht="15.75" customHeight="1">
      <c r="A447" s="1012"/>
      <c r="B447" s="1012"/>
      <c r="C447" s="1012"/>
      <c r="D447" s="1012"/>
      <c r="E447" s="1012"/>
      <c r="F447" s="1012"/>
      <c r="G447" s="1012"/>
      <c r="H447" s="1012"/>
      <c r="I447" s="1012"/>
      <c r="J447" s="1012"/>
      <c r="K447" s="1012"/>
      <c r="L447" s="1012"/>
      <c r="M447" s="1012"/>
      <c r="N447" s="1012"/>
      <c r="O447" s="1012"/>
      <c r="P447" s="1012"/>
      <c r="Q447" s="1012"/>
      <c r="R447" s="1012"/>
      <c r="S447" s="1012"/>
      <c r="T447" s="1012"/>
      <c r="U447" s="1012"/>
      <c r="V447" s="1012"/>
      <c r="W447" s="1012"/>
      <c r="X447" s="1012"/>
      <c r="Y447" s="1012"/>
      <c r="Z447" s="1012"/>
    </row>
    <row r="448" ht="15.75" customHeight="1">
      <c r="A448" s="1012"/>
      <c r="B448" s="1012"/>
      <c r="C448" s="1012"/>
      <c r="D448" s="1012"/>
      <c r="E448" s="1012"/>
      <c r="F448" s="1012"/>
      <c r="G448" s="1012"/>
      <c r="H448" s="1012"/>
      <c r="I448" s="1012"/>
      <c r="J448" s="1012"/>
      <c r="K448" s="1012"/>
      <c r="L448" s="1012"/>
      <c r="M448" s="1012"/>
      <c r="N448" s="1012"/>
      <c r="O448" s="1012"/>
      <c r="P448" s="1012"/>
      <c r="Q448" s="1012"/>
      <c r="R448" s="1012"/>
      <c r="S448" s="1012"/>
      <c r="T448" s="1012"/>
      <c r="U448" s="1012"/>
      <c r="V448" s="1012"/>
      <c r="W448" s="1012"/>
      <c r="X448" s="1012"/>
      <c r="Y448" s="1012"/>
      <c r="Z448" s="1012"/>
    </row>
    <row r="449" ht="15.75" customHeight="1">
      <c r="A449" s="1012"/>
      <c r="B449" s="1012"/>
      <c r="C449" s="1012"/>
      <c r="D449" s="1012"/>
      <c r="E449" s="1012"/>
      <c r="F449" s="1012"/>
      <c r="G449" s="1012"/>
      <c r="H449" s="1012"/>
      <c r="I449" s="1012"/>
      <c r="J449" s="1012"/>
      <c r="K449" s="1012"/>
      <c r="L449" s="1012"/>
      <c r="M449" s="1012"/>
      <c r="N449" s="1012"/>
      <c r="O449" s="1012"/>
      <c r="P449" s="1012"/>
      <c r="Q449" s="1012"/>
      <c r="R449" s="1012"/>
      <c r="S449" s="1012"/>
      <c r="T449" s="1012"/>
      <c r="U449" s="1012"/>
      <c r="V449" s="1012"/>
      <c r="W449" s="1012"/>
      <c r="X449" s="1012"/>
      <c r="Y449" s="1012"/>
      <c r="Z449" s="1012"/>
    </row>
    <row r="450" ht="15.75" customHeight="1">
      <c r="A450" s="1012"/>
      <c r="B450" s="1012"/>
      <c r="C450" s="1012"/>
      <c r="D450" s="1012"/>
      <c r="E450" s="1012"/>
      <c r="F450" s="1012"/>
      <c r="G450" s="1012"/>
      <c r="H450" s="1012"/>
      <c r="I450" s="1012"/>
      <c r="J450" s="1012"/>
      <c r="K450" s="1012"/>
      <c r="L450" s="1012"/>
      <c r="M450" s="1012"/>
      <c r="N450" s="1012"/>
      <c r="O450" s="1012"/>
      <c r="P450" s="1012"/>
      <c r="Q450" s="1012"/>
      <c r="R450" s="1012"/>
      <c r="S450" s="1012"/>
      <c r="T450" s="1012"/>
      <c r="U450" s="1012"/>
      <c r="V450" s="1012"/>
      <c r="W450" s="1012"/>
      <c r="X450" s="1012"/>
      <c r="Y450" s="1012"/>
      <c r="Z450" s="1012"/>
    </row>
    <row r="451" ht="15.75" customHeight="1">
      <c r="A451" s="1012"/>
      <c r="B451" s="1012"/>
      <c r="C451" s="1012"/>
      <c r="D451" s="1012"/>
      <c r="E451" s="1012"/>
      <c r="F451" s="1012"/>
      <c r="G451" s="1012"/>
      <c r="H451" s="1012"/>
      <c r="I451" s="1012"/>
      <c r="J451" s="1012"/>
      <c r="K451" s="1012"/>
      <c r="L451" s="1012"/>
      <c r="M451" s="1012"/>
      <c r="N451" s="1012"/>
      <c r="O451" s="1012"/>
      <c r="P451" s="1012"/>
      <c r="Q451" s="1012"/>
      <c r="R451" s="1012"/>
      <c r="S451" s="1012"/>
      <c r="T451" s="1012"/>
      <c r="U451" s="1012"/>
      <c r="V451" s="1012"/>
      <c r="W451" s="1012"/>
      <c r="X451" s="1012"/>
      <c r="Y451" s="1012"/>
      <c r="Z451" s="1012"/>
    </row>
    <row r="452" ht="15.75" customHeight="1">
      <c r="A452" s="1012"/>
      <c r="B452" s="1012"/>
      <c r="C452" s="1012"/>
      <c r="D452" s="1012"/>
      <c r="E452" s="1012"/>
      <c r="F452" s="1012"/>
      <c r="G452" s="1012"/>
      <c r="H452" s="1012"/>
      <c r="I452" s="1012"/>
      <c r="J452" s="1012"/>
      <c r="K452" s="1012"/>
      <c r="L452" s="1012"/>
      <c r="M452" s="1012"/>
      <c r="N452" s="1012"/>
      <c r="O452" s="1012"/>
      <c r="P452" s="1012"/>
      <c r="Q452" s="1012"/>
      <c r="R452" s="1012"/>
      <c r="S452" s="1012"/>
      <c r="T452" s="1012"/>
      <c r="U452" s="1012"/>
      <c r="V452" s="1012"/>
      <c r="W452" s="1012"/>
      <c r="X452" s="1012"/>
      <c r="Y452" s="1012"/>
      <c r="Z452" s="1012"/>
    </row>
    <row r="453" ht="15.75" customHeight="1">
      <c r="A453" s="1012"/>
      <c r="B453" s="1012"/>
      <c r="C453" s="1012"/>
      <c r="D453" s="1012"/>
      <c r="E453" s="1012"/>
      <c r="F453" s="1012"/>
      <c r="G453" s="1012"/>
      <c r="H453" s="1012"/>
      <c r="I453" s="1012"/>
      <c r="J453" s="1012"/>
      <c r="K453" s="1012"/>
      <c r="L453" s="1012"/>
      <c r="M453" s="1012"/>
      <c r="N453" s="1012"/>
      <c r="O453" s="1012"/>
      <c r="P453" s="1012"/>
      <c r="Q453" s="1012"/>
      <c r="R453" s="1012"/>
      <c r="S453" s="1012"/>
      <c r="T453" s="1012"/>
      <c r="U453" s="1012"/>
      <c r="V453" s="1012"/>
      <c r="W453" s="1012"/>
      <c r="X453" s="1012"/>
      <c r="Y453" s="1012"/>
      <c r="Z453" s="1012"/>
    </row>
    <row r="454" ht="15.75" customHeight="1">
      <c r="A454" s="1012"/>
      <c r="B454" s="1012"/>
      <c r="C454" s="1012"/>
      <c r="D454" s="1012"/>
      <c r="E454" s="1012"/>
      <c r="F454" s="1012"/>
      <c r="G454" s="1012"/>
      <c r="H454" s="1012"/>
      <c r="I454" s="1012"/>
      <c r="J454" s="1012"/>
      <c r="K454" s="1012"/>
      <c r="L454" s="1012"/>
      <c r="M454" s="1012"/>
      <c r="N454" s="1012"/>
      <c r="O454" s="1012"/>
      <c r="P454" s="1012"/>
      <c r="Q454" s="1012"/>
      <c r="R454" s="1012"/>
      <c r="S454" s="1012"/>
      <c r="T454" s="1012"/>
      <c r="U454" s="1012"/>
      <c r="V454" s="1012"/>
      <c r="W454" s="1012"/>
      <c r="X454" s="1012"/>
      <c r="Y454" s="1012"/>
      <c r="Z454" s="1012"/>
    </row>
    <row r="455" ht="15.75" customHeight="1">
      <c r="A455" s="1012"/>
      <c r="B455" s="1012"/>
      <c r="C455" s="1012"/>
      <c r="D455" s="1012"/>
      <c r="E455" s="1012"/>
      <c r="F455" s="1012"/>
      <c r="G455" s="1012"/>
      <c r="H455" s="1012"/>
      <c r="I455" s="1012"/>
      <c r="J455" s="1012"/>
      <c r="K455" s="1012"/>
      <c r="L455" s="1012"/>
      <c r="M455" s="1012"/>
      <c r="N455" s="1012"/>
      <c r="O455" s="1012"/>
      <c r="P455" s="1012"/>
      <c r="Q455" s="1012"/>
      <c r="R455" s="1012"/>
      <c r="S455" s="1012"/>
      <c r="T455" s="1012"/>
      <c r="U455" s="1012"/>
      <c r="V455" s="1012"/>
      <c r="W455" s="1012"/>
      <c r="X455" s="1012"/>
      <c r="Y455" s="1012"/>
      <c r="Z455" s="1012"/>
    </row>
    <row r="456" ht="15.75" customHeight="1">
      <c r="A456" s="1012"/>
      <c r="B456" s="1012"/>
      <c r="C456" s="1012"/>
      <c r="D456" s="1012"/>
      <c r="E456" s="1012"/>
      <c r="F456" s="1012"/>
      <c r="G456" s="1012"/>
      <c r="H456" s="1012"/>
      <c r="I456" s="1012"/>
      <c r="J456" s="1012"/>
      <c r="K456" s="1012"/>
      <c r="L456" s="1012"/>
      <c r="M456" s="1012"/>
      <c r="N456" s="1012"/>
      <c r="O456" s="1012"/>
      <c r="P456" s="1012"/>
      <c r="Q456" s="1012"/>
      <c r="R456" s="1012"/>
      <c r="S456" s="1012"/>
      <c r="T456" s="1012"/>
      <c r="U456" s="1012"/>
      <c r="V456" s="1012"/>
      <c r="W456" s="1012"/>
      <c r="X456" s="1012"/>
      <c r="Y456" s="1012"/>
      <c r="Z456" s="1012"/>
    </row>
    <row r="457" ht="15.75" customHeight="1">
      <c r="A457" s="1012"/>
      <c r="B457" s="1012"/>
      <c r="C457" s="1012"/>
      <c r="D457" s="1012"/>
      <c r="E457" s="1012"/>
      <c r="F457" s="1012"/>
      <c r="G457" s="1012"/>
      <c r="H457" s="1012"/>
      <c r="I457" s="1012"/>
      <c r="J457" s="1012"/>
      <c r="K457" s="1012"/>
      <c r="L457" s="1012"/>
      <c r="M457" s="1012"/>
      <c r="N457" s="1012"/>
      <c r="O457" s="1012"/>
      <c r="P457" s="1012"/>
      <c r="Q457" s="1012"/>
      <c r="R457" s="1012"/>
      <c r="S457" s="1012"/>
      <c r="T457" s="1012"/>
      <c r="U457" s="1012"/>
      <c r="V457" s="1012"/>
      <c r="W457" s="1012"/>
      <c r="X457" s="1012"/>
      <c r="Y457" s="1012"/>
      <c r="Z457" s="1012"/>
    </row>
    <row r="458" ht="15.75" customHeight="1">
      <c r="A458" s="1012"/>
      <c r="B458" s="1012"/>
      <c r="C458" s="1012"/>
      <c r="D458" s="1012"/>
      <c r="E458" s="1012"/>
      <c r="F458" s="1012"/>
      <c r="G458" s="1012"/>
      <c r="H458" s="1012"/>
      <c r="I458" s="1012"/>
      <c r="J458" s="1012"/>
      <c r="K458" s="1012"/>
      <c r="L458" s="1012"/>
      <c r="M458" s="1012"/>
      <c r="N458" s="1012"/>
      <c r="O458" s="1012"/>
      <c r="P458" s="1012"/>
      <c r="Q458" s="1012"/>
      <c r="R458" s="1012"/>
      <c r="S458" s="1012"/>
      <c r="T458" s="1012"/>
      <c r="U458" s="1012"/>
      <c r="V458" s="1012"/>
      <c r="W458" s="1012"/>
      <c r="X458" s="1012"/>
      <c r="Y458" s="1012"/>
      <c r="Z458" s="1012"/>
    </row>
    <row r="459" ht="15.75" customHeight="1">
      <c r="A459" s="1012"/>
      <c r="B459" s="1012"/>
      <c r="C459" s="1012"/>
      <c r="D459" s="1012"/>
      <c r="E459" s="1012"/>
      <c r="F459" s="1012"/>
      <c r="G459" s="1012"/>
      <c r="H459" s="1012"/>
      <c r="I459" s="1012"/>
      <c r="J459" s="1012"/>
      <c r="K459" s="1012"/>
      <c r="L459" s="1012"/>
      <c r="M459" s="1012"/>
      <c r="N459" s="1012"/>
      <c r="O459" s="1012"/>
      <c r="P459" s="1012"/>
      <c r="Q459" s="1012"/>
      <c r="R459" s="1012"/>
      <c r="S459" s="1012"/>
      <c r="T459" s="1012"/>
      <c r="U459" s="1012"/>
      <c r="V459" s="1012"/>
      <c r="W459" s="1012"/>
      <c r="X459" s="1012"/>
      <c r="Y459" s="1012"/>
      <c r="Z459" s="1012"/>
    </row>
    <row r="460" ht="15.75" customHeight="1">
      <c r="A460" s="1012"/>
      <c r="B460" s="1012"/>
      <c r="C460" s="1012"/>
      <c r="D460" s="1012"/>
      <c r="E460" s="1012"/>
      <c r="F460" s="1012"/>
      <c r="G460" s="1012"/>
      <c r="H460" s="1012"/>
      <c r="I460" s="1012"/>
      <c r="J460" s="1012"/>
      <c r="K460" s="1012"/>
      <c r="L460" s="1012"/>
      <c r="M460" s="1012"/>
      <c r="N460" s="1012"/>
      <c r="O460" s="1012"/>
      <c r="P460" s="1012"/>
      <c r="Q460" s="1012"/>
      <c r="R460" s="1012"/>
      <c r="S460" s="1012"/>
      <c r="T460" s="1012"/>
      <c r="U460" s="1012"/>
      <c r="V460" s="1012"/>
      <c r="W460" s="1012"/>
      <c r="X460" s="1012"/>
      <c r="Y460" s="1012"/>
      <c r="Z460" s="1012"/>
    </row>
    <row r="461" ht="15.75" customHeight="1">
      <c r="A461" s="1012"/>
      <c r="B461" s="1012"/>
      <c r="C461" s="1012"/>
      <c r="D461" s="1012"/>
      <c r="E461" s="1012"/>
      <c r="F461" s="1012"/>
      <c r="G461" s="1012"/>
      <c r="H461" s="1012"/>
      <c r="I461" s="1012"/>
      <c r="J461" s="1012"/>
      <c r="K461" s="1012"/>
      <c r="L461" s="1012"/>
      <c r="M461" s="1012"/>
      <c r="N461" s="1012"/>
      <c r="O461" s="1012"/>
      <c r="P461" s="1012"/>
      <c r="Q461" s="1012"/>
      <c r="R461" s="1012"/>
      <c r="S461" s="1012"/>
      <c r="T461" s="1012"/>
      <c r="U461" s="1012"/>
      <c r="V461" s="1012"/>
      <c r="W461" s="1012"/>
      <c r="X461" s="1012"/>
      <c r="Y461" s="1012"/>
      <c r="Z461" s="1012"/>
    </row>
    <row r="462" ht="15.75" customHeight="1">
      <c r="A462" s="1012"/>
      <c r="B462" s="1012"/>
      <c r="C462" s="1012"/>
      <c r="D462" s="1012"/>
      <c r="E462" s="1012"/>
      <c r="F462" s="1012"/>
      <c r="G462" s="1012"/>
      <c r="H462" s="1012"/>
      <c r="I462" s="1012"/>
      <c r="J462" s="1012"/>
      <c r="K462" s="1012"/>
      <c r="L462" s="1012"/>
      <c r="M462" s="1012"/>
      <c r="N462" s="1012"/>
      <c r="O462" s="1012"/>
      <c r="P462" s="1012"/>
      <c r="Q462" s="1012"/>
      <c r="R462" s="1012"/>
      <c r="S462" s="1012"/>
      <c r="T462" s="1012"/>
      <c r="U462" s="1012"/>
      <c r="V462" s="1012"/>
      <c r="W462" s="1012"/>
      <c r="X462" s="1012"/>
      <c r="Y462" s="1012"/>
      <c r="Z462" s="1012"/>
    </row>
    <row r="463" ht="15.75" customHeight="1">
      <c r="A463" s="1012"/>
      <c r="B463" s="1012"/>
      <c r="C463" s="1012"/>
      <c r="D463" s="1012"/>
      <c r="E463" s="1012"/>
      <c r="F463" s="1012"/>
      <c r="G463" s="1012"/>
      <c r="H463" s="1012"/>
      <c r="I463" s="1012"/>
      <c r="J463" s="1012"/>
      <c r="K463" s="1012"/>
      <c r="L463" s="1012"/>
      <c r="M463" s="1012"/>
      <c r="N463" s="1012"/>
      <c r="O463" s="1012"/>
      <c r="P463" s="1012"/>
      <c r="Q463" s="1012"/>
      <c r="R463" s="1012"/>
      <c r="S463" s="1012"/>
      <c r="T463" s="1012"/>
      <c r="U463" s="1012"/>
      <c r="V463" s="1012"/>
      <c r="W463" s="1012"/>
      <c r="X463" s="1012"/>
      <c r="Y463" s="1012"/>
      <c r="Z463" s="1012"/>
    </row>
    <row r="464" ht="15.75" customHeight="1">
      <c r="A464" s="1012"/>
      <c r="B464" s="1012"/>
      <c r="C464" s="1012"/>
      <c r="D464" s="1012"/>
      <c r="E464" s="1012"/>
      <c r="F464" s="1012"/>
      <c r="G464" s="1012"/>
      <c r="H464" s="1012"/>
      <c r="I464" s="1012"/>
      <c r="J464" s="1012"/>
      <c r="K464" s="1012"/>
      <c r="L464" s="1012"/>
      <c r="M464" s="1012"/>
      <c r="N464" s="1012"/>
      <c r="O464" s="1012"/>
      <c r="P464" s="1012"/>
      <c r="Q464" s="1012"/>
      <c r="R464" s="1012"/>
      <c r="S464" s="1012"/>
      <c r="T464" s="1012"/>
      <c r="U464" s="1012"/>
      <c r="V464" s="1012"/>
      <c r="W464" s="1012"/>
      <c r="X464" s="1012"/>
      <c r="Y464" s="1012"/>
      <c r="Z464" s="1012"/>
    </row>
    <row r="465" ht="15.75" customHeight="1">
      <c r="A465" s="1012"/>
      <c r="B465" s="1012"/>
      <c r="C465" s="1012"/>
      <c r="D465" s="1012"/>
      <c r="E465" s="1012"/>
      <c r="F465" s="1012"/>
      <c r="G465" s="1012"/>
      <c r="H465" s="1012"/>
      <c r="I465" s="1012"/>
      <c r="J465" s="1012"/>
      <c r="K465" s="1012"/>
      <c r="L465" s="1012"/>
      <c r="M465" s="1012"/>
      <c r="N465" s="1012"/>
      <c r="O465" s="1012"/>
      <c r="P465" s="1012"/>
      <c r="Q465" s="1012"/>
      <c r="R465" s="1012"/>
      <c r="S465" s="1012"/>
      <c r="T465" s="1012"/>
      <c r="U465" s="1012"/>
      <c r="V465" s="1012"/>
      <c r="W465" s="1012"/>
      <c r="X465" s="1012"/>
      <c r="Y465" s="1012"/>
      <c r="Z465" s="1012"/>
    </row>
    <row r="466" ht="15.75" customHeight="1">
      <c r="A466" s="1012"/>
      <c r="B466" s="1012"/>
      <c r="C466" s="1012"/>
      <c r="D466" s="1012"/>
      <c r="E466" s="1012"/>
      <c r="F466" s="1012"/>
      <c r="G466" s="1012"/>
      <c r="H466" s="1012"/>
      <c r="I466" s="1012"/>
      <c r="J466" s="1012"/>
      <c r="K466" s="1012"/>
      <c r="L466" s="1012"/>
      <c r="M466" s="1012"/>
      <c r="N466" s="1012"/>
      <c r="O466" s="1012"/>
      <c r="P466" s="1012"/>
      <c r="Q466" s="1012"/>
      <c r="R466" s="1012"/>
      <c r="S466" s="1012"/>
      <c r="T466" s="1012"/>
      <c r="U466" s="1012"/>
      <c r="V466" s="1012"/>
      <c r="W466" s="1012"/>
      <c r="X466" s="1012"/>
      <c r="Y466" s="1012"/>
      <c r="Z466" s="1012"/>
    </row>
    <row r="467" ht="15.75" customHeight="1">
      <c r="A467" s="1012"/>
      <c r="B467" s="1012"/>
      <c r="C467" s="1012"/>
      <c r="D467" s="1012"/>
      <c r="E467" s="1012"/>
      <c r="F467" s="1012"/>
      <c r="G467" s="1012"/>
      <c r="H467" s="1012"/>
      <c r="I467" s="1012"/>
      <c r="J467" s="1012"/>
      <c r="K467" s="1012"/>
      <c r="L467" s="1012"/>
      <c r="M467" s="1012"/>
      <c r="N467" s="1012"/>
      <c r="O467" s="1012"/>
      <c r="P467" s="1012"/>
      <c r="Q467" s="1012"/>
      <c r="R467" s="1012"/>
      <c r="S467" s="1012"/>
      <c r="T467" s="1012"/>
      <c r="U467" s="1012"/>
      <c r="V467" s="1012"/>
      <c r="W467" s="1012"/>
      <c r="X467" s="1012"/>
      <c r="Y467" s="1012"/>
      <c r="Z467" s="1012"/>
    </row>
    <row r="468" ht="15.75" customHeight="1">
      <c r="A468" s="1012"/>
      <c r="B468" s="1012"/>
      <c r="C468" s="1012"/>
      <c r="D468" s="1012"/>
      <c r="E468" s="1012"/>
      <c r="F468" s="1012"/>
      <c r="G468" s="1012"/>
      <c r="H468" s="1012"/>
      <c r="I468" s="1012"/>
      <c r="J468" s="1012"/>
      <c r="K468" s="1012"/>
      <c r="L468" s="1012"/>
      <c r="M468" s="1012"/>
      <c r="N468" s="1012"/>
      <c r="O468" s="1012"/>
      <c r="P468" s="1012"/>
      <c r="Q468" s="1012"/>
      <c r="R468" s="1012"/>
      <c r="S468" s="1012"/>
      <c r="T468" s="1012"/>
      <c r="U468" s="1012"/>
      <c r="V468" s="1012"/>
      <c r="W468" s="1012"/>
      <c r="X468" s="1012"/>
      <c r="Y468" s="1012"/>
      <c r="Z468" s="1012"/>
    </row>
    <row r="469" ht="15.75" customHeight="1">
      <c r="A469" s="1012"/>
      <c r="B469" s="1012"/>
      <c r="C469" s="1012"/>
      <c r="D469" s="1012"/>
      <c r="E469" s="1012"/>
      <c r="F469" s="1012"/>
      <c r="G469" s="1012"/>
      <c r="H469" s="1012"/>
      <c r="I469" s="1012"/>
      <c r="J469" s="1012"/>
      <c r="K469" s="1012"/>
      <c r="L469" s="1012"/>
      <c r="M469" s="1012"/>
      <c r="N469" s="1012"/>
      <c r="O469" s="1012"/>
      <c r="P469" s="1012"/>
      <c r="Q469" s="1012"/>
      <c r="R469" s="1012"/>
      <c r="S469" s="1012"/>
      <c r="T469" s="1012"/>
      <c r="U469" s="1012"/>
      <c r="V469" s="1012"/>
      <c r="W469" s="1012"/>
      <c r="X469" s="1012"/>
      <c r="Y469" s="1012"/>
      <c r="Z469" s="1012"/>
    </row>
    <row r="470" ht="15.75" customHeight="1">
      <c r="A470" s="1012"/>
      <c r="B470" s="1012"/>
      <c r="C470" s="1012"/>
      <c r="D470" s="1012"/>
      <c r="E470" s="1012"/>
      <c r="F470" s="1012"/>
      <c r="G470" s="1012"/>
      <c r="H470" s="1012"/>
      <c r="I470" s="1012"/>
      <c r="J470" s="1012"/>
      <c r="K470" s="1012"/>
      <c r="L470" s="1012"/>
      <c r="M470" s="1012"/>
      <c r="N470" s="1012"/>
      <c r="O470" s="1012"/>
      <c r="P470" s="1012"/>
      <c r="Q470" s="1012"/>
      <c r="R470" s="1012"/>
      <c r="S470" s="1012"/>
      <c r="T470" s="1012"/>
      <c r="U470" s="1012"/>
      <c r="V470" s="1012"/>
      <c r="W470" s="1012"/>
      <c r="X470" s="1012"/>
      <c r="Y470" s="1012"/>
      <c r="Z470" s="1012"/>
    </row>
    <row r="471" ht="15.75" customHeight="1">
      <c r="A471" s="1012"/>
      <c r="B471" s="1012"/>
      <c r="C471" s="1012"/>
      <c r="D471" s="1012"/>
      <c r="E471" s="1012"/>
      <c r="F471" s="1012"/>
      <c r="G471" s="1012"/>
      <c r="H471" s="1012"/>
      <c r="I471" s="1012"/>
      <c r="J471" s="1012"/>
      <c r="K471" s="1012"/>
      <c r="L471" s="1012"/>
      <c r="M471" s="1012"/>
      <c r="N471" s="1012"/>
      <c r="O471" s="1012"/>
      <c r="P471" s="1012"/>
      <c r="Q471" s="1012"/>
      <c r="R471" s="1012"/>
      <c r="S471" s="1012"/>
      <c r="T471" s="1012"/>
      <c r="U471" s="1012"/>
      <c r="V471" s="1012"/>
      <c r="W471" s="1012"/>
      <c r="X471" s="1012"/>
      <c r="Y471" s="1012"/>
      <c r="Z471" s="1012"/>
    </row>
    <row r="472" ht="15.75" customHeight="1">
      <c r="A472" s="1012"/>
      <c r="B472" s="1012"/>
      <c r="C472" s="1012"/>
      <c r="D472" s="1012"/>
      <c r="E472" s="1012"/>
      <c r="F472" s="1012"/>
      <c r="G472" s="1012"/>
      <c r="H472" s="1012"/>
      <c r="I472" s="1012"/>
      <c r="J472" s="1012"/>
      <c r="K472" s="1012"/>
      <c r="L472" s="1012"/>
      <c r="M472" s="1012"/>
      <c r="N472" s="1012"/>
      <c r="O472" s="1012"/>
      <c r="P472" s="1012"/>
      <c r="Q472" s="1012"/>
      <c r="R472" s="1012"/>
      <c r="S472" s="1012"/>
      <c r="T472" s="1012"/>
      <c r="U472" s="1012"/>
      <c r="V472" s="1012"/>
      <c r="W472" s="1012"/>
      <c r="X472" s="1012"/>
      <c r="Y472" s="1012"/>
      <c r="Z472" s="1012"/>
    </row>
    <row r="473" ht="15.75" customHeight="1">
      <c r="A473" s="1012"/>
      <c r="B473" s="1012"/>
      <c r="C473" s="1012"/>
      <c r="D473" s="1012"/>
      <c r="E473" s="1012"/>
      <c r="F473" s="1012"/>
      <c r="G473" s="1012"/>
      <c r="H473" s="1012"/>
      <c r="I473" s="1012"/>
      <c r="J473" s="1012"/>
      <c r="K473" s="1012"/>
      <c r="L473" s="1012"/>
      <c r="M473" s="1012"/>
      <c r="N473" s="1012"/>
      <c r="O473" s="1012"/>
      <c r="P473" s="1012"/>
      <c r="Q473" s="1012"/>
      <c r="R473" s="1012"/>
      <c r="S473" s="1012"/>
      <c r="T473" s="1012"/>
      <c r="U473" s="1012"/>
      <c r="V473" s="1012"/>
      <c r="W473" s="1012"/>
      <c r="X473" s="1012"/>
      <c r="Y473" s="1012"/>
      <c r="Z473" s="1012"/>
    </row>
    <row r="474" ht="15.75" customHeight="1">
      <c r="A474" s="1012"/>
      <c r="B474" s="1012"/>
      <c r="C474" s="1012"/>
      <c r="D474" s="1012"/>
      <c r="E474" s="1012"/>
      <c r="F474" s="1012"/>
      <c r="G474" s="1012"/>
      <c r="H474" s="1012"/>
      <c r="I474" s="1012"/>
      <c r="J474" s="1012"/>
      <c r="K474" s="1012"/>
      <c r="L474" s="1012"/>
      <c r="M474" s="1012"/>
      <c r="N474" s="1012"/>
      <c r="O474" s="1012"/>
      <c r="P474" s="1012"/>
      <c r="Q474" s="1012"/>
      <c r="R474" s="1012"/>
      <c r="S474" s="1012"/>
      <c r="T474" s="1012"/>
      <c r="U474" s="1012"/>
      <c r="V474" s="1012"/>
      <c r="W474" s="1012"/>
      <c r="X474" s="1012"/>
      <c r="Y474" s="1012"/>
      <c r="Z474" s="1012"/>
    </row>
    <row r="475" ht="15.75" customHeight="1">
      <c r="A475" s="1012"/>
      <c r="B475" s="1012"/>
      <c r="C475" s="1012"/>
      <c r="D475" s="1012"/>
      <c r="E475" s="1012"/>
      <c r="F475" s="1012"/>
      <c r="G475" s="1012"/>
      <c r="H475" s="1012"/>
      <c r="I475" s="1012"/>
      <c r="J475" s="1012"/>
      <c r="K475" s="1012"/>
      <c r="L475" s="1012"/>
      <c r="M475" s="1012"/>
      <c r="N475" s="1012"/>
      <c r="O475" s="1012"/>
      <c r="P475" s="1012"/>
      <c r="Q475" s="1012"/>
      <c r="R475" s="1012"/>
      <c r="S475" s="1012"/>
      <c r="T475" s="1012"/>
      <c r="U475" s="1012"/>
      <c r="V475" s="1012"/>
      <c r="W475" s="1012"/>
      <c r="X475" s="1012"/>
      <c r="Y475" s="1012"/>
      <c r="Z475" s="1012"/>
    </row>
    <row r="476" ht="15.75" customHeight="1">
      <c r="A476" s="1012"/>
      <c r="B476" s="1012"/>
      <c r="C476" s="1012"/>
      <c r="D476" s="1012"/>
      <c r="E476" s="1012"/>
      <c r="F476" s="1012"/>
      <c r="G476" s="1012"/>
      <c r="H476" s="1012"/>
      <c r="I476" s="1012"/>
      <c r="J476" s="1012"/>
      <c r="K476" s="1012"/>
      <c r="L476" s="1012"/>
      <c r="M476" s="1012"/>
      <c r="N476" s="1012"/>
      <c r="O476" s="1012"/>
      <c r="P476" s="1012"/>
      <c r="Q476" s="1012"/>
      <c r="R476" s="1012"/>
      <c r="S476" s="1012"/>
      <c r="T476" s="1012"/>
      <c r="U476" s="1012"/>
      <c r="V476" s="1012"/>
      <c r="W476" s="1012"/>
      <c r="X476" s="1012"/>
      <c r="Y476" s="1012"/>
      <c r="Z476" s="1012"/>
    </row>
    <row r="477" ht="15.75" customHeight="1">
      <c r="A477" s="1012"/>
      <c r="B477" s="1012"/>
      <c r="C477" s="1012"/>
      <c r="D477" s="1012"/>
      <c r="E477" s="1012"/>
      <c r="F477" s="1012"/>
      <c r="G477" s="1012"/>
      <c r="H477" s="1012"/>
      <c r="I477" s="1012"/>
      <c r="J477" s="1012"/>
      <c r="K477" s="1012"/>
      <c r="L477" s="1012"/>
      <c r="M477" s="1012"/>
      <c r="N477" s="1012"/>
      <c r="O477" s="1012"/>
      <c r="P477" s="1012"/>
      <c r="Q477" s="1012"/>
      <c r="R477" s="1012"/>
      <c r="S477" s="1012"/>
      <c r="T477" s="1012"/>
      <c r="U477" s="1012"/>
      <c r="V477" s="1012"/>
      <c r="W477" s="1012"/>
      <c r="X477" s="1012"/>
      <c r="Y477" s="1012"/>
      <c r="Z477" s="1012"/>
    </row>
    <row r="478" ht="15.75" customHeight="1">
      <c r="A478" s="1012"/>
      <c r="B478" s="1012"/>
      <c r="C478" s="1012"/>
      <c r="D478" s="1012"/>
      <c r="E478" s="1012"/>
      <c r="F478" s="1012"/>
      <c r="G478" s="1012"/>
      <c r="H478" s="1012"/>
      <c r="I478" s="1012"/>
      <c r="J478" s="1012"/>
      <c r="K478" s="1012"/>
      <c r="L478" s="1012"/>
      <c r="M478" s="1012"/>
      <c r="N478" s="1012"/>
      <c r="O478" s="1012"/>
      <c r="P478" s="1012"/>
      <c r="Q478" s="1012"/>
      <c r="R478" s="1012"/>
      <c r="S478" s="1012"/>
      <c r="T478" s="1012"/>
      <c r="U478" s="1012"/>
      <c r="V478" s="1012"/>
      <c r="W478" s="1012"/>
      <c r="X478" s="1012"/>
      <c r="Y478" s="1012"/>
      <c r="Z478" s="1012"/>
    </row>
    <row r="479" ht="15.75" customHeight="1">
      <c r="A479" s="1012"/>
      <c r="B479" s="1012"/>
      <c r="C479" s="1012"/>
      <c r="D479" s="1012"/>
      <c r="E479" s="1012"/>
      <c r="F479" s="1012"/>
      <c r="G479" s="1012"/>
      <c r="H479" s="1012"/>
      <c r="I479" s="1012"/>
      <c r="J479" s="1012"/>
      <c r="K479" s="1012"/>
      <c r="L479" s="1012"/>
      <c r="M479" s="1012"/>
      <c r="N479" s="1012"/>
      <c r="O479" s="1012"/>
      <c r="P479" s="1012"/>
      <c r="Q479" s="1012"/>
      <c r="R479" s="1012"/>
      <c r="S479" s="1012"/>
      <c r="T479" s="1012"/>
      <c r="U479" s="1012"/>
      <c r="V479" s="1012"/>
      <c r="W479" s="1012"/>
      <c r="X479" s="1012"/>
      <c r="Y479" s="1012"/>
      <c r="Z479" s="1012"/>
    </row>
    <row r="480" ht="15.75" customHeight="1">
      <c r="A480" s="1012"/>
      <c r="B480" s="1012"/>
      <c r="C480" s="1012"/>
      <c r="D480" s="1012"/>
      <c r="E480" s="1012"/>
      <c r="F480" s="1012"/>
      <c r="G480" s="1012"/>
      <c r="H480" s="1012"/>
      <c r="I480" s="1012"/>
      <c r="J480" s="1012"/>
      <c r="K480" s="1012"/>
      <c r="L480" s="1012"/>
      <c r="M480" s="1012"/>
      <c r="N480" s="1012"/>
      <c r="O480" s="1012"/>
      <c r="P480" s="1012"/>
      <c r="Q480" s="1012"/>
      <c r="R480" s="1012"/>
      <c r="S480" s="1012"/>
      <c r="T480" s="1012"/>
      <c r="U480" s="1012"/>
      <c r="V480" s="1012"/>
      <c r="W480" s="1012"/>
      <c r="X480" s="1012"/>
      <c r="Y480" s="1012"/>
      <c r="Z480" s="1012"/>
    </row>
    <row r="481" ht="15.75" customHeight="1">
      <c r="A481" s="1012"/>
      <c r="B481" s="1012"/>
      <c r="C481" s="1012"/>
      <c r="D481" s="1012"/>
      <c r="E481" s="1012"/>
      <c r="F481" s="1012"/>
      <c r="G481" s="1012"/>
      <c r="H481" s="1012"/>
      <c r="I481" s="1012"/>
      <c r="J481" s="1012"/>
      <c r="K481" s="1012"/>
      <c r="L481" s="1012"/>
      <c r="M481" s="1012"/>
      <c r="N481" s="1012"/>
      <c r="O481" s="1012"/>
      <c r="P481" s="1012"/>
      <c r="Q481" s="1012"/>
      <c r="R481" s="1012"/>
      <c r="S481" s="1012"/>
      <c r="T481" s="1012"/>
      <c r="U481" s="1012"/>
      <c r="V481" s="1012"/>
      <c r="W481" s="1012"/>
      <c r="X481" s="1012"/>
      <c r="Y481" s="1012"/>
      <c r="Z481" s="1012"/>
    </row>
    <row r="482" ht="15.75" customHeight="1">
      <c r="A482" s="1012"/>
      <c r="B482" s="1012"/>
      <c r="C482" s="1012"/>
      <c r="D482" s="1012"/>
      <c r="E482" s="1012"/>
      <c r="F482" s="1012"/>
      <c r="G482" s="1012"/>
      <c r="H482" s="1012"/>
      <c r="I482" s="1012"/>
      <c r="J482" s="1012"/>
      <c r="K482" s="1012"/>
      <c r="L482" s="1012"/>
      <c r="M482" s="1012"/>
      <c r="N482" s="1012"/>
      <c r="O482" s="1012"/>
      <c r="P482" s="1012"/>
      <c r="Q482" s="1012"/>
      <c r="R482" s="1012"/>
      <c r="S482" s="1012"/>
      <c r="T482" s="1012"/>
      <c r="U482" s="1012"/>
      <c r="V482" s="1012"/>
      <c r="W482" s="1012"/>
      <c r="X482" s="1012"/>
      <c r="Y482" s="1012"/>
      <c r="Z482" s="1012"/>
    </row>
    <row r="483" ht="15.75" customHeight="1">
      <c r="A483" s="1012"/>
      <c r="B483" s="1012"/>
      <c r="C483" s="1012"/>
      <c r="D483" s="1012"/>
      <c r="E483" s="1012"/>
      <c r="F483" s="1012"/>
      <c r="G483" s="1012"/>
      <c r="H483" s="1012"/>
      <c r="I483" s="1012"/>
      <c r="J483" s="1012"/>
      <c r="K483" s="1012"/>
      <c r="L483" s="1012"/>
      <c r="M483" s="1012"/>
      <c r="N483" s="1012"/>
      <c r="O483" s="1012"/>
      <c r="P483" s="1012"/>
      <c r="Q483" s="1012"/>
      <c r="R483" s="1012"/>
      <c r="S483" s="1012"/>
      <c r="T483" s="1012"/>
      <c r="U483" s="1012"/>
      <c r="V483" s="1012"/>
      <c r="W483" s="1012"/>
      <c r="X483" s="1012"/>
      <c r="Y483" s="1012"/>
      <c r="Z483" s="1012"/>
    </row>
    <row r="484" ht="15.75" customHeight="1">
      <c r="A484" s="1012"/>
      <c r="B484" s="1012"/>
      <c r="C484" s="1012"/>
      <c r="D484" s="1012"/>
      <c r="E484" s="1012"/>
      <c r="F484" s="1012"/>
      <c r="G484" s="1012"/>
      <c r="H484" s="1012"/>
      <c r="I484" s="1012"/>
      <c r="J484" s="1012"/>
      <c r="K484" s="1012"/>
      <c r="L484" s="1012"/>
      <c r="M484" s="1012"/>
      <c r="N484" s="1012"/>
      <c r="O484" s="1012"/>
      <c r="P484" s="1012"/>
      <c r="Q484" s="1012"/>
      <c r="R484" s="1012"/>
      <c r="S484" s="1012"/>
      <c r="T484" s="1012"/>
      <c r="U484" s="1012"/>
      <c r="V484" s="1012"/>
      <c r="W484" s="1012"/>
      <c r="X484" s="1012"/>
      <c r="Y484" s="1012"/>
      <c r="Z484" s="1012"/>
    </row>
    <row r="485" ht="15.75" customHeight="1">
      <c r="A485" s="1012"/>
      <c r="B485" s="1012"/>
      <c r="C485" s="1012"/>
      <c r="D485" s="1012"/>
      <c r="E485" s="1012"/>
      <c r="F485" s="1012"/>
      <c r="G485" s="1012"/>
      <c r="H485" s="1012"/>
      <c r="I485" s="1012"/>
      <c r="J485" s="1012"/>
      <c r="K485" s="1012"/>
      <c r="L485" s="1012"/>
      <c r="M485" s="1012"/>
      <c r="N485" s="1012"/>
      <c r="O485" s="1012"/>
      <c r="P485" s="1012"/>
      <c r="Q485" s="1012"/>
      <c r="R485" s="1012"/>
      <c r="S485" s="1012"/>
      <c r="T485" s="1012"/>
      <c r="U485" s="1012"/>
      <c r="V485" s="1012"/>
      <c r="W485" s="1012"/>
      <c r="X485" s="1012"/>
      <c r="Y485" s="1012"/>
      <c r="Z485" s="1012"/>
    </row>
    <row r="486" ht="15.75" customHeight="1">
      <c r="A486" s="1012"/>
      <c r="B486" s="1012"/>
      <c r="C486" s="1012"/>
      <c r="D486" s="1012"/>
      <c r="E486" s="1012"/>
      <c r="F486" s="1012"/>
      <c r="G486" s="1012"/>
      <c r="H486" s="1012"/>
      <c r="I486" s="1012"/>
      <c r="J486" s="1012"/>
      <c r="K486" s="1012"/>
      <c r="L486" s="1012"/>
      <c r="M486" s="1012"/>
      <c r="N486" s="1012"/>
      <c r="O486" s="1012"/>
      <c r="P486" s="1012"/>
      <c r="Q486" s="1012"/>
      <c r="R486" s="1012"/>
      <c r="S486" s="1012"/>
      <c r="T486" s="1012"/>
      <c r="U486" s="1012"/>
      <c r="V486" s="1012"/>
      <c r="W486" s="1012"/>
      <c r="X486" s="1012"/>
      <c r="Y486" s="1012"/>
      <c r="Z486" s="1012"/>
    </row>
    <row r="487" ht="15.75" customHeight="1">
      <c r="A487" s="1012"/>
      <c r="B487" s="1012"/>
      <c r="C487" s="1012"/>
      <c r="D487" s="1012"/>
      <c r="E487" s="1012"/>
      <c r="F487" s="1012"/>
      <c r="G487" s="1012"/>
      <c r="H487" s="1012"/>
      <c r="I487" s="1012"/>
      <c r="J487" s="1012"/>
      <c r="K487" s="1012"/>
      <c r="L487" s="1012"/>
      <c r="M487" s="1012"/>
      <c r="N487" s="1012"/>
      <c r="O487" s="1012"/>
      <c r="P487" s="1012"/>
      <c r="Q487" s="1012"/>
      <c r="R487" s="1012"/>
      <c r="S487" s="1012"/>
      <c r="T487" s="1012"/>
      <c r="U487" s="1012"/>
      <c r="V487" s="1012"/>
      <c r="W487" s="1012"/>
      <c r="X487" s="1012"/>
      <c r="Y487" s="1012"/>
      <c r="Z487" s="1012"/>
    </row>
    <row r="488" ht="15.75" customHeight="1">
      <c r="A488" s="1012"/>
      <c r="B488" s="1012"/>
      <c r="C488" s="1012"/>
      <c r="D488" s="1012"/>
      <c r="E488" s="1012"/>
      <c r="F488" s="1012"/>
      <c r="G488" s="1012"/>
      <c r="H488" s="1012"/>
      <c r="I488" s="1012"/>
      <c r="J488" s="1012"/>
      <c r="K488" s="1012"/>
      <c r="L488" s="1012"/>
      <c r="M488" s="1012"/>
      <c r="N488" s="1012"/>
      <c r="O488" s="1012"/>
      <c r="P488" s="1012"/>
      <c r="Q488" s="1012"/>
      <c r="R488" s="1012"/>
      <c r="S488" s="1012"/>
      <c r="T488" s="1012"/>
      <c r="U488" s="1012"/>
      <c r="V488" s="1012"/>
      <c r="W488" s="1012"/>
      <c r="X488" s="1012"/>
      <c r="Y488" s="1012"/>
      <c r="Z488" s="1012"/>
    </row>
    <row r="489" ht="15.75" customHeight="1">
      <c r="A489" s="1012"/>
      <c r="B489" s="1012"/>
      <c r="C489" s="1012"/>
      <c r="D489" s="1012"/>
      <c r="E489" s="1012"/>
      <c r="F489" s="1012"/>
      <c r="G489" s="1012"/>
      <c r="H489" s="1012"/>
      <c r="I489" s="1012"/>
      <c r="J489" s="1012"/>
      <c r="K489" s="1012"/>
      <c r="L489" s="1012"/>
      <c r="M489" s="1012"/>
      <c r="N489" s="1012"/>
      <c r="O489" s="1012"/>
      <c r="P489" s="1012"/>
      <c r="Q489" s="1012"/>
      <c r="R489" s="1012"/>
      <c r="S489" s="1012"/>
      <c r="T489" s="1012"/>
      <c r="U489" s="1012"/>
      <c r="V489" s="1012"/>
      <c r="W489" s="1012"/>
      <c r="X489" s="1012"/>
      <c r="Y489" s="1012"/>
      <c r="Z489" s="1012"/>
    </row>
    <row r="490" ht="15.75" customHeight="1">
      <c r="A490" s="1012"/>
      <c r="B490" s="1012"/>
      <c r="C490" s="1012"/>
      <c r="D490" s="1012"/>
      <c r="E490" s="1012"/>
      <c r="F490" s="1012"/>
      <c r="G490" s="1012"/>
      <c r="H490" s="1012"/>
      <c r="I490" s="1012"/>
      <c r="J490" s="1012"/>
      <c r="K490" s="1012"/>
      <c r="L490" s="1012"/>
      <c r="M490" s="1012"/>
      <c r="N490" s="1012"/>
      <c r="O490" s="1012"/>
      <c r="P490" s="1012"/>
      <c r="Q490" s="1012"/>
      <c r="R490" s="1012"/>
      <c r="S490" s="1012"/>
      <c r="T490" s="1012"/>
      <c r="U490" s="1012"/>
      <c r="V490" s="1012"/>
      <c r="W490" s="1012"/>
      <c r="X490" s="1012"/>
      <c r="Y490" s="1012"/>
      <c r="Z490" s="1012"/>
    </row>
    <row r="491" ht="15.75" customHeight="1">
      <c r="A491" s="1012"/>
      <c r="B491" s="1012"/>
      <c r="C491" s="1012"/>
      <c r="D491" s="1012"/>
      <c r="E491" s="1012"/>
      <c r="F491" s="1012"/>
      <c r="G491" s="1012"/>
      <c r="H491" s="1012"/>
      <c r="I491" s="1012"/>
      <c r="J491" s="1012"/>
      <c r="K491" s="1012"/>
      <c r="L491" s="1012"/>
      <c r="M491" s="1012"/>
      <c r="N491" s="1012"/>
      <c r="O491" s="1012"/>
      <c r="P491" s="1012"/>
      <c r="Q491" s="1012"/>
      <c r="R491" s="1012"/>
      <c r="S491" s="1012"/>
      <c r="T491" s="1012"/>
      <c r="U491" s="1012"/>
      <c r="V491" s="1012"/>
      <c r="W491" s="1012"/>
      <c r="X491" s="1012"/>
      <c r="Y491" s="1012"/>
      <c r="Z491" s="1012"/>
    </row>
    <row r="492" ht="15.75" customHeight="1">
      <c r="A492" s="1012"/>
      <c r="B492" s="1012"/>
      <c r="C492" s="1012"/>
      <c r="D492" s="1012"/>
      <c r="E492" s="1012"/>
      <c r="F492" s="1012"/>
      <c r="G492" s="1012"/>
      <c r="H492" s="1012"/>
      <c r="I492" s="1012"/>
      <c r="J492" s="1012"/>
      <c r="K492" s="1012"/>
      <c r="L492" s="1012"/>
      <c r="M492" s="1012"/>
      <c r="N492" s="1012"/>
      <c r="O492" s="1012"/>
      <c r="P492" s="1012"/>
      <c r="Q492" s="1012"/>
      <c r="R492" s="1012"/>
      <c r="S492" s="1012"/>
      <c r="T492" s="1012"/>
      <c r="U492" s="1012"/>
      <c r="V492" s="1012"/>
      <c r="W492" s="1012"/>
      <c r="X492" s="1012"/>
      <c r="Y492" s="1012"/>
      <c r="Z492" s="1012"/>
    </row>
    <row r="493" ht="15.75" customHeight="1">
      <c r="A493" s="1012"/>
      <c r="B493" s="1012"/>
      <c r="C493" s="1012"/>
      <c r="D493" s="1012"/>
      <c r="E493" s="1012"/>
      <c r="F493" s="1012"/>
      <c r="G493" s="1012"/>
      <c r="H493" s="1012"/>
      <c r="I493" s="1012"/>
      <c r="J493" s="1012"/>
      <c r="K493" s="1012"/>
      <c r="L493" s="1012"/>
      <c r="M493" s="1012"/>
      <c r="N493" s="1012"/>
      <c r="O493" s="1012"/>
      <c r="P493" s="1012"/>
      <c r="Q493" s="1012"/>
      <c r="R493" s="1012"/>
      <c r="S493" s="1012"/>
      <c r="T493" s="1012"/>
      <c r="U493" s="1012"/>
      <c r="V493" s="1012"/>
      <c r="W493" s="1012"/>
      <c r="X493" s="1012"/>
      <c r="Y493" s="1012"/>
      <c r="Z493" s="1012"/>
    </row>
    <row r="494" ht="15.75" customHeight="1">
      <c r="A494" s="1012"/>
      <c r="B494" s="1012"/>
      <c r="C494" s="1012"/>
      <c r="D494" s="1012"/>
      <c r="E494" s="1012"/>
      <c r="F494" s="1012"/>
      <c r="G494" s="1012"/>
      <c r="H494" s="1012"/>
      <c r="I494" s="1012"/>
      <c r="J494" s="1012"/>
      <c r="K494" s="1012"/>
      <c r="L494" s="1012"/>
      <c r="M494" s="1012"/>
      <c r="N494" s="1012"/>
      <c r="O494" s="1012"/>
      <c r="P494" s="1012"/>
      <c r="Q494" s="1012"/>
      <c r="R494" s="1012"/>
      <c r="S494" s="1012"/>
      <c r="T494" s="1012"/>
      <c r="U494" s="1012"/>
      <c r="V494" s="1012"/>
      <c r="W494" s="1012"/>
      <c r="X494" s="1012"/>
      <c r="Y494" s="1012"/>
      <c r="Z494" s="1012"/>
    </row>
    <row r="495" ht="15.75" customHeight="1">
      <c r="A495" s="1012"/>
      <c r="B495" s="1012"/>
      <c r="C495" s="1012"/>
      <c r="D495" s="1012"/>
      <c r="E495" s="1012"/>
      <c r="F495" s="1012"/>
      <c r="G495" s="1012"/>
      <c r="H495" s="1012"/>
      <c r="I495" s="1012"/>
      <c r="J495" s="1012"/>
      <c r="K495" s="1012"/>
      <c r="L495" s="1012"/>
      <c r="M495" s="1012"/>
      <c r="N495" s="1012"/>
      <c r="O495" s="1012"/>
      <c r="P495" s="1012"/>
      <c r="Q495" s="1012"/>
      <c r="R495" s="1012"/>
      <c r="S495" s="1012"/>
      <c r="T495" s="1012"/>
      <c r="U495" s="1012"/>
      <c r="V495" s="1012"/>
      <c r="W495" s="1012"/>
      <c r="X495" s="1012"/>
      <c r="Y495" s="1012"/>
      <c r="Z495" s="1012"/>
    </row>
    <row r="496" ht="15.75" customHeight="1">
      <c r="A496" s="1012"/>
      <c r="B496" s="1012"/>
      <c r="C496" s="1012"/>
      <c r="D496" s="1012"/>
      <c r="E496" s="1012"/>
      <c r="F496" s="1012"/>
      <c r="G496" s="1012"/>
      <c r="H496" s="1012"/>
      <c r="I496" s="1012"/>
      <c r="J496" s="1012"/>
      <c r="K496" s="1012"/>
      <c r="L496" s="1012"/>
      <c r="M496" s="1012"/>
      <c r="N496" s="1012"/>
      <c r="O496" s="1012"/>
      <c r="P496" s="1012"/>
      <c r="Q496" s="1012"/>
      <c r="R496" s="1012"/>
      <c r="S496" s="1012"/>
      <c r="T496" s="1012"/>
      <c r="U496" s="1012"/>
      <c r="V496" s="1012"/>
      <c r="W496" s="1012"/>
      <c r="X496" s="1012"/>
      <c r="Y496" s="1012"/>
      <c r="Z496" s="1012"/>
    </row>
    <row r="497" ht="15.75" customHeight="1">
      <c r="A497" s="1012"/>
      <c r="B497" s="1012"/>
      <c r="C497" s="1012"/>
      <c r="D497" s="1012"/>
      <c r="E497" s="1012"/>
      <c r="F497" s="1012"/>
      <c r="G497" s="1012"/>
      <c r="H497" s="1012"/>
      <c r="I497" s="1012"/>
      <c r="J497" s="1012"/>
      <c r="K497" s="1012"/>
      <c r="L497" s="1012"/>
      <c r="M497" s="1012"/>
      <c r="N497" s="1012"/>
      <c r="O497" s="1012"/>
      <c r="P497" s="1012"/>
      <c r="Q497" s="1012"/>
      <c r="R497" s="1012"/>
      <c r="S497" s="1012"/>
      <c r="T497" s="1012"/>
      <c r="U497" s="1012"/>
      <c r="V497" s="1012"/>
      <c r="W497" s="1012"/>
      <c r="X497" s="1012"/>
      <c r="Y497" s="1012"/>
      <c r="Z497" s="1012"/>
    </row>
    <row r="498" ht="15.75" customHeight="1">
      <c r="A498" s="1012"/>
      <c r="B498" s="1012"/>
      <c r="C498" s="1012"/>
      <c r="D498" s="1012"/>
      <c r="E498" s="1012"/>
      <c r="F498" s="1012"/>
      <c r="G498" s="1012"/>
      <c r="H498" s="1012"/>
      <c r="I498" s="1012"/>
      <c r="J498" s="1012"/>
      <c r="K498" s="1012"/>
      <c r="L498" s="1012"/>
      <c r="M498" s="1012"/>
      <c r="N498" s="1012"/>
      <c r="O498" s="1012"/>
      <c r="P498" s="1012"/>
      <c r="Q498" s="1012"/>
      <c r="R498" s="1012"/>
      <c r="S498" s="1012"/>
      <c r="T498" s="1012"/>
      <c r="U498" s="1012"/>
      <c r="V498" s="1012"/>
      <c r="W498" s="1012"/>
      <c r="X498" s="1012"/>
      <c r="Y498" s="1012"/>
      <c r="Z498" s="1012"/>
    </row>
    <row r="499" ht="15.75" customHeight="1">
      <c r="A499" s="1012"/>
      <c r="B499" s="1012"/>
      <c r="C499" s="1012"/>
      <c r="D499" s="1012"/>
      <c r="E499" s="1012"/>
      <c r="F499" s="1012"/>
      <c r="G499" s="1012"/>
      <c r="H499" s="1012"/>
      <c r="I499" s="1012"/>
      <c r="J499" s="1012"/>
      <c r="K499" s="1012"/>
      <c r="L499" s="1012"/>
      <c r="M499" s="1012"/>
      <c r="N499" s="1012"/>
      <c r="O499" s="1012"/>
      <c r="P499" s="1012"/>
      <c r="Q499" s="1012"/>
      <c r="R499" s="1012"/>
      <c r="S499" s="1012"/>
      <c r="T499" s="1012"/>
      <c r="U499" s="1012"/>
      <c r="V499" s="1012"/>
      <c r="W499" s="1012"/>
      <c r="X499" s="1012"/>
      <c r="Y499" s="1012"/>
      <c r="Z499" s="1012"/>
    </row>
    <row r="500" ht="15.75" customHeight="1">
      <c r="A500" s="1012"/>
      <c r="B500" s="1012"/>
      <c r="C500" s="1012"/>
      <c r="D500" s="1012"/>
      <c r="E500" s="1012"/>
      <c r="F500" s="1012"/>
      <c r="G500" s="1012"/>
      <c r="H500" s="1012"/>
      <c r="I500" s="1012"/>
      <c r="J500" s="1012"/>
      <c r="K500" s="1012"/>
      <c r="L500" s="1012"/>
      <c r="M500" s="1012"/>
      <c r="N500" s="1012"/>
      <c r="O500" s="1012"/>
      <c r="P500" s="1012"/>
      <c r="Q500" s="1012"/>
      <c r="R500" s="1012"/>
      <c r="S500" s="1012"/>
      <c r="T500" s="1012"/>
      <c r="U500" s="1012"/>
      <c r="V500" s="1012"/>
      <c r="W500" s="1012"/>
      <c r="X500" s="1012"/>
      <c r="Y500" s="1012"/>
      <c r="Z500" s="1012"/>
    </row>
    <row r="501" ht="15.75" customHeight="1">
      <c r="A501" s="1012"/>
      <c r="B501" s="1012"/>
      <c r="C501" s="1012"/>
      <c r="D501" s="1012"/>
      <c r="E501" s="1012"/>
      <c r="F501" s="1012"/>
      <c r="G501" s="1012"/>
      <c r="H501" s="1012"/>
      <c r="I501" s="1012"/>
      <c r="J501" s="1012"/>
      <c r="K501" s="1012"/>
      <c r="L501" s="1012"/>
      <c r="M501" s="1012"/>
      <c r="N501" s="1012"/>
      <c r="O501" s="1012"/>
      <c r="P501" s="1012"/>
      <c r="Q501" s="1012"/>
      <c r="R501" s="1012"/>
      <c r="S501" s="1012"/>
      <c r="T501" s="1012"/>
      <c r="U501" s="1012"/>
      <c r="V501" s="1012"/>
      <c r="W501" s="1012"/>
      <c r="X501" s="1012"/>
      <c r="Y501" s="1012"/>
      <c r="Z501" s="1012"/>
    </row>
    <row r="502" ht="15.75" customHeight="1">
      <c r="A502" s="1012"/>
      <c r="B502" s="1012"/>
      <c r="C502" s="1012"/>
      <c r="D502" s="1012"/>
      <c r="E502" s="1012"/>
      <c r="F502" s="1012"/>
      <c r="G502" s="1012"/>
      <c r="H502" s="1012"/>
      <c r="I502" s="1012"/>
      <c r="J502" s="1012"/>
      <c r="K502" s="1012"/>
      <c r="L502" s="1012"/>
      <c r="M502" s="1012"/>
      <c r="N502" s="1012"/>
      <c r="O502" s="1012"/>
      <c r="P502" s="1012"/>
      <c r="Q502" s="1012"/>
      <c r="R502" s="1012"/>
      <c r="S502" s="1012"/>
      <c r="T502" s="1012"/>
      <c r="U502" s="1012"/>
      <c r="V502" s="1012"/>
      <c r="W502" s="1012"/>
      <c r="X502" s="1012"/>
      <c r="Y502" s="1012"/>
      <c r="Z502" s="1012"/>
    </row>
    <row r="503" ht="15.75" customHeight="1">
      <c r="A503" s="1012"/>
      <c r="B503" s="1012"/>
      <c r="C503" s="1012"/>
      <c r="D503" s="1012"/>
      <c r="E503" s="1012"/>
      <c r="F503" s="1012"/>
      <c r="G503" s="1012"/>
      <c r="H503" s="1012"/>
      <c r="I503" s="1012"/>
      <c r="J503" s="1012"/>
      <c r="K503" s="1012"/>
      <c r="L503" s="1012"/>
      <c r="M503" s="1012"/>
      <c r="N503" s="1012"/>
      <c r="O503" s="1012"/>
      <c r="P503" s="1012"/>
      <c r="Q503" s="1012"/>
      <c r="R503" s="1012"/>
      <c r="S503" s="1012"/>
      <c r="T503" s="1012"/>
      <c r="U503" s="1012"/>
      <c r="V503" s="1012"/>
      <c r="W503" s="1012"/>
      <c r="X503" s="1012"/>
      <c r="Y503" s="1012"/>
      <c r="Z503" s="1012"/>
    </row>
    <row r="504" ht="15.75" customHeight="1">
      <c r="A504" s="1012"/>
      <c r="B504" s="1012"/>
      <c r="C504" s="1012"/>
      <c r="D504" s="1012"/>
      <c r="E504" s="1012"/>
      <c r="F504" s="1012"/>
      <c r="G504" s="1012"/>
      <c r="H504" s="1012"/>
      <c r="I504" s="1012"/>
      <c r="J504" s="1012"/>
      <c r="K504" s="1012"/>
      <c r="L504" s="1012"/>
      <c r="M504" s="1012"/>
      <c r="N504" s="1012"/>
      <c r="O504" s="1012"/>
      <c r="P504" s="1012"/>
      <c r="Q504" s="1012"/>
      <c r="R504" s="1012"/>
      <c r="S504" s="1012"/>
      <c r="T504" s="1012"/>
      <c r="U504" s="1012"/>
      <c r="V504" s="1012"/>
      <c r="W504" s="1012"/>
      <c r="X504" s="1012"/>
      <c r="Y504" s="1012"/>
      <c r="Z504" s="1012"/>
    </row>
    <row r="505" ht="15.75" customHeight="1">
      <c r="A505" s="1012"/>
      <c r="B505" s="1012"/>
      <c r="C505" s="1012"/>
      <c r="D505" s="1012"/>
      <c r="E505" s="1012"/>
      <c r="F505" s="1012"/>
      <c r="G505" s="1012"/>
      <c r="H505" s="1012"/>
      <c r="I505" s="1012"/>
      <c r="J505" s="1012"/>
      <c r="K505" s="1012"/>
      <c r="L505" s="1012"/>
      <c r="M505" s="1012"/>
      <c r="N505" s="1012"/>
      <c r="O505" s="1012"/>
      <c r="P505" s="1012"/>
      <c r="Q505" s="1012"/>
      <c r="R505" s="1012"/>
      <c r="S505" s="1012"/>
      <c r="T505" s="1012"/>
      <c r="U505" s="1012"/>
      <c r="V505" s="1012"/>
      <c r="W505" s="1012"/>
      <c r="X505" s="1012"/>
      <c r="Y505" s="1012"/>
      <c r="Z505" s="1012"/>
    </row>
    <row r="506" ht="15.75" customHeight="1">
      <c r="A506" s="1012"/>
      <c r="B506" s="1012"/>
      <c r="C506" s="1012"/>
      <c r="D506" s="1012"/>
      <c r="E506" s="1012"/>
      <c r="F506" s="1012"/>
      <c r="G506" s="1012"/>
      <c r="H506" s="1012"/>
      <c r="I506" s="1012"/>
      <c r="J506" s="1012"/>
      <c r="K506" s="1012"/>
      <c r="L506" s="1012"/>
      <c r="M506" s="1012"/>
      <c r="N506" s="1012"/>
      <c r="O506" s="1012"/>
      <c r="P506" s="1012"/>
      <c r="Q506" s="1012"/>
      <c r="R506" s="1012"/>
      <c r="S506" s="1012"/>
      <c r="T506" s="1012"/>
      <c r="U506" s="1012"/>
      <c r="V506" s="1012"/>
      <c r="W506" s="1012"/>
      <c r="X506" s="1012"/>
      <c r="Y506" s="1012"/>
      <c r="Z506" s="1012"/>
    </row>
    <row r="507" ht="15.75" customHeight="1">
      <c r="A507" s="1012"/>
      <c r="B507" s="1012"/>
      <c r="C507" s="1012"/>
      <c r="D507" s="1012"/>
      <c r="E507" s="1012"/>
      <c r="F507" s="1012"/>
      <c r="G507" s="1012"/>
      <c r="H507" s="1012"/>
      <c r="I507" s="1012"/>
      <c r="J507" s="1012"/>
      <c r="K507" s="1012"/>
      <c r="L507" s="1012"/>
      <c r="M507" s="1012"/>
      <c r="N507" s="1012"/>
      <c r="O507" s="1012"/>
      <c r="P507" s="1012"/>
      <c r="Q507" s="1012"/>
      <c r="R507" s="1012"/>
      <c r="S507" s="1012"/>
      <c r="T507" s="1012"/>
      <c r="U507" s="1012"/>
      <c r="V507" s="1012"/>
      <c r="W507" s="1012"/>
      <c r="X507" s="1012"/>
      <c r="Y507" s="1012"/>
      <c r="Z507" s="1012"/>
    </row>
    <row r="508" ht="15.75" customHeight="1">
      <c r="A508" s="1012"/>
      <c r="B508" s="1012"/>
      <c r="C508" s="1012"/>
      <c r="D508" s="1012"/>
      <c r="E508" s="1012"/>
      <c r="F508" s="1012"/>
      <c r="G508" s="1012"/>
      <c r="H508" s="1012"/>
      <c r="I508" s="1012"/>
      <c r="J508" s="1012"/>
      <c r="K508" s="1012"/>
      <c r="L508" s="1012"/>
      <c r="M508" s="1012"/>
      <c r="N508" s="1012"/>
      <c r="O508" s="1012"/>
      <c r="P508" s="1012"/>
      <c r="Q508" s="1012"/>
      <c r="R508" s="1012"/>
      <c r="S508" s="1012"/>
      <c r="T508" s="1012"/>
      <c r="U508" s="1012"/>
      <c r="V508" s="1012"/>
      <c r="W508" s="1012"/>
      <c r="X508" s="1012"/>
      <c r="Y508" s="1012"/>
      <c r="Z508" s="1012"/>
    </row>
    <row r="509" ht="15.75" customHeight="1">
      <c r="A509" s="1012"/>
      <c r="B509" s="1012"/>
      <c r="C509" s="1012"/>
      <c r="D509" s="1012"/>
      <c r="E509" s="1012"/>
      <c r="F509" s="1012"/>
      <c r="G509" s="1012"/>
      <c r="H509" s="1012"/>
      <c r="I509" s="1012"/>
      <c r="J509" s="1012"/>
      <c r="K509" s="1012"/>
      <c r="L509" s="1012"/>
      <c r="M509" s="1012"/>
      <c r="N509" s="1012"/>
      <c r="O509" s="1012"/>
      <c r="P509" s="1012"/>
      <c r="Q509" s="1012"/>
      <c r="R509" s="1012"/>
      <c r="S509" s="1012"/>
      <c r="T509" s="1012"/>
      <c r="U509" s="1012"/>
      <c r="V509" s="1012"/>
      <c r="W509" s="1012"/>
      <c r="X509" s="1012"/>
      <c r="Y509" s="1012"/>
      <c r="Z509" s="1012"/>
    </row>
    <row r="510" ht="15.75" customHeight="1">
      <c r="A510" s="1012"/>
      <c r="B510" s="1012"/>
      <c r="C510" s="1012"/>
      <c r="D510" s="1012"/>
      <c r="E510" s="1012"/>
      <c r="F510" s="1012"/>
      <c r="G510" s="1012"/>
      <c r="H510" s="1012"/>
      <c r="I510" s="1012"/>
      <c r="J510" s="1012"/>
      <c r="K510" s="1012"/>
      <c r="L510" s="1012"/>
      <c r="M510" s="1012"/>
      <c r="N510" s="1012"/>
      <c r="O510" s="1012"/>
      <c r="P510" s="1012"/>
      <c r="Q510" s="1012"/>
      <c r="R510" s="1012"/>
      <c r="S510" s="1012"/>
      <c r="T510" s="1012"/>
      <c r="U510" s="1012"/>
      <c r="V510" s="1012"/>
      <c r="W510" s="1012"/>
      <c r="X510" s="1012"/>
      <c r="Y510" s="1012"/>
      <c r="Z510" s="1012"/>
    </row>
    <row r="511" ht="15.75" customHeight="1">
      <c r="A511" s="1012"/>
      <c r="B511" s="1012"/>
      <c r="C511" s="1012"/>
      <c r="D511" s="1012"/>
      <c r="E511" s="1012"/>
      <c r="F511" s="1012"/>
      <c r="G511" s="1012"/>
      <c r="H511" s="1012"/>
      <c r="I511" s="1012"/>
      <c r="J511" s="1012"/>
      <c r="K511" s="1012"/>
      <c r="L511" s="1012"/>
      <c r="M511" s="1012"/>
      <c r="N511" s="1012"/>
      <c r="O511" s="1012"/>
      <c r="P511" s="1012"/>
      <c r="Q511" s="1012"/>
      <c r="R511" s="1012"/>
      <c r="S511" s="1012"/>
      <c r="T511" s="1012"/>
      <c r="U511" s="1012"/>
      <c r="V511" s="1012"/>
      <c r="W511" s="1012"/>
      <c r="X511" s="1012"/>
      <c r="Y511" s="1012"/>
      <c r="Z511" s="1012"/>
    </row>
    <row r="512" ht="15.75" customHeight="1">
      <c r="A512" s="1012"/>
      <c r="B512" s="1012"/>
      <c r="C512" s="1012"/>
      <c r="D512" s="1012"/>
      <c r="E512" s="1012"/>
      <c r="F512" s="1012"/>
      <c r="G512" s="1012"/>
      <c r="H512" s="1012"/>
      <c r="I512" s="1012"/>
      <c r="J512" s="1012"/>
      <c r="K512" s="1012"/>
      <c r="L512" s="1012"/>
      <c r="M512" s="1012"/>
      <c r="N512" s="1012"/>
      <c r="O512" s="1012"/>
      <c r="P512" s="1012"/>
      <c r="Q512" s="1012"/>
      <c r="R512" s="1012"/>
      <c r="S512" s="1012"/>
      <c r="T512" s="1012"/>
      <c r="U512" s="1012"/>
      <c r="V512" s="1012"/>
      <c r="W512" s="1012"/>
      <c r="X512" s="1012"/>
      <c r="Y512" s="1012"/>
      <c r="Z512" s="1012"/>
    </row>
    <row r="513" ht="15.75" customHeight="1">
      <c r="A513" s="1012"/>
      <c r="B513" s="1012"/>
      <c r="C513" s="1012"/>
      <c r="D513" s="1012"/>
      <c r="E513" s="1012"/>
      <c r="F513" s="1012"/>
      <c r="G513" s="1012"/>
      <c r="H513" s="1012"/>
      <c r="I513" s="1012"/>
      <c r="J513" s="1012"/>
      <c r="K513" s="1012"/>
      <c r="L513" s="1012"/>
      <c r="M513" s="1012"/>
      <c r="N513" s="1012"/>
      <c r="O513" s="1012"/>
      <c r="P513" s="1012"/>
      <c r="Q513" s="1012"/>
      <c r="R513" s="1012"/>
      <c r="S513" s="1012"/>
      <c r="T513" s="1012"/>
      <c r="U513" s="1012"/>
      <c r="V513" s="1012"/>
      <c r="W513" s="1012"/>
      <c r="X513" s="1012"/>
      <c r="Y513" s="1012"/>
      <c r="Z513" s="1012"/>
    </row>
    <row r="514" ht="15.75" customHeight="1">
      <c r="A514" s="1012"/>
      <c r="B514" s="1012"/>
      <c r="C514" s="1012"/>
      <c r="D514" s="1012"/>
      <c r="E514" s="1012"/>
      <c r="F514" s="1012"/>
      <c r="G514" s="1012"/>
      <c r="H514" s="1012"/>
      <c r="I514" s="1012"/>
      <c r="J514" s="1012"/>
      <c r="K514" s="1012"/>
      <c r="L514" s="1012"/>
      <c r="M514" s="1012"/>
      <c r="N514" s="1012"/>
      <c r="O514" s="1012"/>
      <c r="P514" s="1012"/>
      <c r="Q514" s="1012"/>
      <c r="R514" s="1012"/>
      <c r="S514" s="1012"/>
      <c r="T514" s="1012"/>
      <c r="U514" s="1012"/>
      <c r="V514" s="1012"/>
      <c r="W514" s="1012"/>
      <c r="X514" s="1012"/>
      <c r="Y514" s="1012"/>
      <c r="Z514" s="1012"/>
    </row>
    <row r="515" ht="15.75" customHeight="1">
      <c r="A515" s="1012"/>
      <c r="B515" s="1012"/>
      <c r="C515" s="1012"/>
      <c r="D515" s="1012"/>
      <c r="E515" s="1012"/>
      <c r="F515" s="1012"/>
      <c r="G515" s="1012"/>
      <c r="H515" s="1012"/>
      <c r="I515" s="1012"/>
      <c r="J515" s="1012"/>
      <c r="K515" s="1012"/>
      <c r="L515" s="1012"/>
      <c r="M515" s="1012"/>
      <c r="N515" s="1012"/>
      <c r="O515" s="1012"/>
      <c r="P515" s="1012"/>
      <c r="Q515" s="1012"/>
      <c r="R515" s="1012"/>
      <c r="S515" s="1012"/>
      <c r="T515" s="1012"/>
      <c r="U515" s="1012"/>
      <c r="V515" s="1012"/>
      <c r="W515" s="1012"/>
      <c r="X515" s="1012"/>
      <c r="Y515" s="1012"/>
      <c r="Z515" s="1012"/>
    </row>
    <row r="516" ht="15.75" customHeight="1">
      <c r="A516" s="1012"/>
      <c r="B516" s="1012"/>
      <c r="C516" s="1012"/>
      <c r="D516" s="1012"/>
      <c r="E516" s="1012"/>
      <c r="F516" s="1012"/>
      <c r="G516" s="1012"/>
      <c r="H516" s="1012"/>
      <c r="I516" s="1012"/>
      <c r="J516" s="1012"/>
      <c r="K516" s="1012"/>
      <c r="L516" s="1012"/>
      <c r="M516" s="1012"/>
      <c r="N516" s="1012"/>
      <c r="O516" s="1012"/>
      <c r="P516" s="1012"/>
      <c r="Q516" s="1012"/>
      <c r="R516" s="1012"/>
      <c r="S516" s="1012"/>
      <c r="T516" s="1012"/>
      <c r="U516" s="1012"/>
      <c r="V516" s="1012"/>
      <c r="W516" s="1012"/>
      <c r="X516" s="1012"/>
      <c r="Y516" s="1012"/>
      <c r="Z516" s="1012"/>
    </row>
    <row r="517" ht="15.75" customHeight="1">
      <c r="A517" s="1012"/>
      <c r="B517" s="1012"/>
      <c r="C517" s="1012"/>
      <c r="D517" s="1012"/>
      <c r="E517" s="1012"/>
      <c r="F517" s="1012"/>
      <c r="G517" s="1012"/>
      <c r="H517" s="1012"/>
      <c r="I517" s="1012"/>
      <c r="J517" s="1012"/>
      <c r="K517" s="1012"/>
      <c r="L517" s="1012"/>
      <c r="M517" s="1012"/>
      <c r="N517" s="1012"/>
      <c r="O517" s="1012"/>
      <c r="P517" s="1012"/>
      <c r="Q517" s="1012"/>
      <c r="R517" s="1012"/>
      <c r="S517" s="1012"/>
      <c r="T517" s="1012"/>
      <c r="U517" s="1012"/>
      <c r="V517" s="1012"/>
      <c r="W517" s="1012"/>
      <c r="X517" s="1012"/>
      <c r="Y517" s="1012"/>
      <c r="Z517" s="1012"/>
    </row>
    <row r="518" ht="15.75" customHeight="1">
      <c r="A518" s="1012"/>
      <c r="B518" s="1012"/>
      <c r="C518" s="1012"/>
      <c r="D518" s="1012"/>
      <c r="E518" s="1012"/>
      <c r="F518" s="1012"/>
      <c r="G518" s="1012"/>
      <c r="H518" s="1012"/>
      <c r="I518" s="1012"/>
      <c r="J518" s="1012"/>
      <c r="K518" s="1012"/>
      <c r="L518" s="1012"/>
      <c r="M518" s="1012"/>
      <c r="N518" s="1012"/>
      <c r="O518" s="1012"/>
      <c r="P518" s="1012"/>
      <c r="Q518" s="1012"/>
      <c r="R518" s="1012"/>
      <c r="S518" s="1012"/>
      <c r="T518" s="1012"/>
      <c r="U518" s="1012"/>
      <c r="V518" s="1012"/>
      <c r="W518" s="1012"/>
      <c r="X518" s="1012"/>
      <c r="Y518" s="1012"/>
      <c r="Z518" s="1012"/>
    </row>
    <row r="519" ht="15.75" customHeight="1">
      <c r="A519" s="1012"/>
      <c r="B519" s="1012"/>
      <c r="C519" s="1012"/>
      <c r="D519" s="1012"/>
      <c r="E519" s="1012"/>
      <c r="F519" s="1012"/>
      <c r="G519" s="1012"/>
      <c r="H519" s="1012"/>
      <c r="I519" s="1012"/>
      <c r="J519" s="1012"/>
      <c r="K519" s="1012"/>
      <c r="L519" s="1012"/>
      <c r="M519" s="1012"/>
      <c r="N519" s="1012"/>
      <c r="O519" s="1012"/>
      <c r="P519" s="1012"/>
      <c r="Q519" s="1012"/>
      <c r="R519" s="1012"/>
      <c r="S519" s="1012"/>
      <c r="T519" s="1012"/>
      <c r="U519" s="1012"/>
      <c r="V519" s="1012"/>
      <c r="W519" s="1012"/>
      <c r="X519" s="1012"/>
      <c r="Y519" s="1012"/>
      <c r="Z519" s="1012"/>
    </row>
    <row r="520" ht="15.75" customHeight="1">
      <c r="A520" s="1012"/>
      <c r="B520" s="1012"/>
      <c r="C520" s="1012"/>
      <c r="D520" s="1012"/>
      <c r="E520" s="1012"/>
      <c r="F520" s="1012"/>
      <c r="G520" s="1012"/>
      <c r="H520" s="1012"/>
      <c r="I520" s="1012"/>
      <c r="J520" s="1012"/>
      <c r="K520" s="1012"/>
      <c r="L520" s="1012"/>
      <c r="M520" s="1012"/>
      <c r="N520" s="1012"/>
      <c r="O520" s="1012"/>
      <c r="P520" s="1012"/>
      <c r="Q520" s="1012"/>
      <c r="R520" s="1012"/>
      <c r="S520" s="1012"/>
      <c r="T520" s="1012"/>
      <c r="U520" s="1012"/>
      <c r="V520" s="1012"/>
      <c r="W520" s="1012"/>
      <c r="X520" s="1012"/>
      <c r="Y520" s="1012"/>
      <c r="Z520" s="1012"/>
    </row>
    <row r="521" ht="15.75" customHeight="1">
      <c r="A521" s="1012"/>
      <c r="B521" s="1012"/>
      <c r="C521" s="1012"/>
      <c r="D521" s="1012"/>
      <c r="E521" s="1012"/>
      <c r="F521" s="1012"/>
      <c r="G521" s="1012"/>
      <c r="H521" s="1012"/>
      <c r="I521" s="1012"/>
      <c r="J521" s="1012"/>
      <c r="K521" s="1012"/>
      <c r="L521" s="1012"/>
      <c r="M521" s="1012"/>
      <c r="N521" s="1012"/>
      <c r="O521" s="1012"/>
      <c r="P521" s="1012"/>
      <c r="Q521" s="1012"/>
      <c r="R521" s="1012"/>
      <c r="S521" s="1012"/>
      <c r="T521" s="1012"/>
      <c r="U521" s="1012"/>
      <c r="V521" s="1012"/>
      <c r="W521" s="1012"/>
      <c r="X521" s="1012"/>
      <c r="Y521" s="1012"/>
      <c r="Z521" s="1012"/>
    </row>
    <row r="522" ht="15.75" customHeight="1">
      <c r="A522" s="1012"/>
      <c r="B522" s="1012"/>
      <c r="C522" s="1012"/>
      <c r="D522" s="1012"/>
      <c r="E522" s="1012"/>
      <c r="F522" s="1012"/>
      <c r="G522" s="1012"/>
      <c r="H522" s="1012"/>
      <c r="I522" s="1012"/>
      <c r="J522" s="1012"/>
      <c r="K522" s="1012"/>
      <c r="L522" s="1012"/>
      <c r="M522" s="1012"/>
      <c r="N522" s="1012"/>
      <c r="O522" s="1012"/>
      <c r="P522" s="1012"/>
      <c r="Q522" s="1012"/>
      <c r="R522" s="1012"/>
      <c r="S522" s="1012"/>
      <c r="T522" s="1012"/>
      <c r="U522" s="1012"/>
      <c r="V522" s="1012"/>
      <c r="W522" s="1012"/>
      <c r="X522" s="1012"/>
      <c r="Y522" s="1012"/>
      <c r="Z522" s="1012"/>
    </row>
    <row r="523" ht="15.75" customHeight="1">
      <c r="A523" s="1012"/>
      <c r="B523" s="1012"/>
      <c r="C523" s="1012"/>
      <c r="D523" s="1012"/>
      <c r="E523" s="1012"/>
      <c r="F523" s="1012"/>
      <c r="G523" s="1012"/>
      <c r="H523" s="1012"/>
      <c r="I523" s="1012"/>
      <c r="J523" s="1012"/>
      <c r="K523" s="1012"/>
      <c r="L523" s="1012"/>
      <c r="M523" s="1012"/>
      <c r="N523" s="1012"/>
      <c r="O523" s="1012"/>
      <c r="P523" s="1012"/>
      <c r="Q523" s="1012"/>
      <c r="R523" s="1012"/>
      <c r="S523" s="1012"/>
      <c r="T523" s="1012"/>
      <c r="U523" s="1012"/>
      <c r="V523" s="1012"/>
      <c r="W523" s="1012"/>
      <c r="X523" s="1012"/>
      <c r="Y523" s="1012"/>
      <c r="Z523" s="1012"/>
    </row>
    <row r="524" ht="15.75" customHeight="1">
      <c r="A524" s="1012"/>
      <c r="B524" s="1012"/>
      <c r="C524" s="1012"/>
      <c r="D524" s="1012"/>
      <c r="E524" s="1012"/>
      <c r="F524" s="1012"/>
      <c r="G524" s="1012"/>
      <c r="H524" s="1012"/>
      <c r="I524" s="1012"/>
      <c r="J524" s="1012"/>
      <c r="K524" s="1012"/>
      <c r="L524" s="1012"/>
      <c r="M524" s="1012"/>
      <c r="N524" s="1012"/>
      <c r="O524" s="1012"/>
      <c r="P524" s="1012"/>
      <c r="Q524" s="1012"/>
      <c r="R524" s="1012"/>
      <c r="S524" s="1012"/>
      <c r="T524" s="1012"/>
      <c r="U524" s="1012"/>
      <c r="V524" s="1012"/>
      <c r="W524" s="1012"/>
      <c r="X524" s="1012"/>
      <c r="Y524" s="1012"/>
      <c r="Z524" s="1012"/>
    </row>
    <row r="525" ht="15.75" customHeight="1">
      <c r="A525" s="1012"/>
      <c r="B525" s="1012"/>
      <c r="C525" s="1012"/>
      <c r="D525" s="1012"/>
      <c r="E525" s="1012"/>
      <c r="F525" s="1012"/>
      <c r="G525" s="1012"/>
      <c r="H525" s="1012"/>
      <c r="I525" s="1012"/>
      <c r="J525" s="1012"/>
      <c r="K525" s="1012"/>
      <c r="L525" s="1012"/>
      <c r="M525" s="1012"/>
      <c r="N525" s="1012"/>
      <c r="O525" s="1012"/>
      <c r="P525" s="1012"/>
      <c r="Q525" s="1012"/>
      <c r="R525" s="1012"/>
      <c r="S525" s="1012"/>
      <c r="T525" s="1012"/>
      <c r="U525" s="1012"/>
      <c r="V525" s="1012"/>
      <c r="W525" s="1012"/>
      <c r="X525" s="1012"/>
      <c r="Y525" s="1012"/>
      <c r="Z525" s="1012"/>
    </row>
    <row r="526" ht="15.75" customHeight="1">
      <c r="A526" s="1012"/>
      <c r="B526" s="1012"/>
      <c r="C526" s="1012"/>
      <c r="D526" s="1012"/>
      <c r="E526" s="1012"/>
      <c r="F526" s="1012"/>
      <c r="G526" s="1012"/>
      <c r="H526" s="1012"/>
      <c r="I526" s="1012"/>
      <c r="J526" s="1012"/>
      <c r="K526" s="1012"/>
      <c r="L526" s="1012"/>
      <c r="M526" s="1012"/>
      <c r="N526" s="1012"/>
      <c r="O526" s="1012"/>
      <c r="P526" s="1012"/>
      <c r="Q526" s="1012"/>
      <c r="R526" s="1012"/>
      <c r="S526" s="1012"/>
      <c r="T526" s="1012"/>
      <c r="U526" s="1012"/>
      <c r="V526" s="1012"/>
      <c r="W526" s="1012"/>
      <c r="X526" s="1012"/>
      <c r="Y526" s="1012"/>
      <c r="Z526" s="1012"/>
    </row>
    <row r="527" ht="15.75" customHeight="1">
      <c r="A527" s="1012"/>
      <c r="B527" s="1012"/>
      <c r="C527" s="1012"/>
      <c r="D527" s="1012"/>
      <c r="E527" s="1012"/>
      <c r="F527" s="1012"/>
      <c r="G527" s="1012"/>
      <c r="H527" s="1012"/>
      <c r="I527" s="1012"/>
      <c r="J527" s="1012"/>
      <c r="K527" s="1012"/>
      <c r="L527" s="1012"/>
      <c r="M527" s="1012"/>
      <c r="N527" s="1012"/>
      <c r="O527" s="1012"/>
      <c r="P527" s="1012"/>
      <c r="Q527" s="1012"/>
      <c r="R527" s="1012"/>
      <c r="S527" s="1012"/>
      <c r="T527" s="1012"/>
      <c r="U527" s="1012"/>
      <c r="V527" s="1012"/>
      <c r="W527" s="1012"/>
      <c r="X527" s="1012"/>
      <c r="Y527" s="1012"/>
      <c r="Z527" s="1012"/>
    </row>
    <row r="528" ht="15.75" customHeight="1">
      <c r="A528" s="1012"/>
      <c r="B528" s="1012"/>
      <c r="C528" s="1012"/>
      <c r="D528" s="1012"/>
      <c r="E528" s="1012"/>
      <c r="F528" s="1012"/>
      <c r="G528" s="1012"/>
      <c r="H528" s="1012"/>
      <c r="I528" s="1012"/>
      <c r="J528" s="1012"/>
      <c r="K528" s="1012"/>
      <c r="L528" s="1012"/>
      <c r="M528" s="1012"/>
      <c r="N528" s="1012"/>
      <c r="O528" s="1012"/>
      <c r="P528" s="1012"/>
      <c r="Q528" s="1012"/>
      <c r="R528" s="1012"/>
      <c r="S528" s="1012"/>
      <c r="T528" s="1012"/>
      <c r="U528" s="1012"/>
      <c r="V528" s="1012"/>
      <c r="W528" s="1012"/>
      <c r="X528" s="1012"/>
      <c r="Y528" s="1012"/>
      <c r="Z528" s="1012"/>
    </row>
    <row r="529" ht="15.75" customHeight="1">
      <c r="A529" s="1012"/>
      <c r="B529" s="1012"/>
      <c r="C529" s="1012"/>
      <c r="D529" s="1012"/>
      <c r="E529" s="1012"/>
      <c r="F529" s="1012"/>
      <c r="G529" s="1012"/>
      <c r="H529" s="1012"/>
      <c r="I529" s="1012"/>
      <c r="J529" s="1012"/>
      <c r="K529" s="1012"/>
      <c r="L529" s="1012"/>
      <c r="M529" s="1012"/>
      <c r="N529" s="1012"/>
      <c r="O529" s="1012"/>
      <c r="P529" s="1012"/>
      <c r="Q529" s="1012"/>
      <c r="R529" s="1012"/>
      <c r="S529" s="1012"/>
      <c r="T529" s="1012"/>
      <c r="U529" s="1012"/>
      <c r="V529" s="1012"/>
      <c r="W529" s="1012"/>
      <c r="X529" s="1012"/>
      <c r="Y529" s="1012"/>
      <c r="Z529" s="1012"/>
    </row>
    <row r="530" ht="15.75" customHeight="1">
      <c r="A530" s="1012"/>
      <c r="B530" s="1012"/>
      <c r="C530" s="1012"/>
      <c r="D530" s="1012"/>
      <c r="E530" s="1012"/>
      <c r="F530" s="1012"/>
      <c r="G530" s="1012"/>
      <c r="H530" s="1012"/>
      <c r="I530" s="1012"/>
      <c r="J530" s="1012"/>
      <c r="K530" s="1012"/>
      <c r="L530" s="1012"/>
      <c r="M530" s="1012"/>
      <c r="N530" s="1012"/>
      <c r="O530" s="1012"/>
      <c r="P530" s="1012"/>
      <c r="Q530" s="1012"/>
      <c r="R530" s="1012"/>
      <c r="S530" s="1012"/>
      <c r="T530" s="1012"/>
      <c r="U530" s="1012"/>
      <c r="V530" s="1012"/>
      <c r="W530" s="1012"/>
      <c r="X530" s="1012"/>
      <c r="Y530" s="1012"/>
      <c r="Z530" s="1012"/>
    </row>
    <row r="531" ht="15.75" customHeight="1">
      <c r="A531" s="1012"/>
      <c r="B531" s="1012"/>
      <c r="C531" s="1012"/>
      <c r="D531" s="1012"/>
      <c r="E531" s="1012"/>
      <c r="F531" s="1012"/>
      <c r="G531" s="1012"/>
      <c r="H531" s="1012"/>
      <c r="I531" s="1012"/>
      <c r="J531" s="1012"/>
      <c r="K531" s="1012"/>
      <c r="L531" s="1012"/>
      <c r="M531" s="1012"/>
      <c r="N531" s="1012"/>
      <c r="O531" s="1012"/>
      <c r="P531" s="1012"/>
      <c r="Q531" s="1012"/>
      <c r="R531" s="1012"/>
      <c r="S531" s="1012"/>
      <c r="T531" s="1012"/>
      <c r="U531" s="1012"/>
      <c r="V531" s="1012"/>
      <c r="W531" s="1012"/>
      <c r="X531" s="1012"/>
      <c r="Y531" s="1012"/>
      <c r="Z531" s="1012"/>
    </row>
    <row r="532" ht="15.75" customHeight="1">
      <c r="A532" s="1012"/>
      <c r="B532" s="1012"/>
      <c r="C532" s="1012"/>
      <c r="D532" s="1012"/>
      <c r="E532" s="1012"/>
      <c r="F532" s="1012"/>
      <c r="G532" s="1012"/>
      <c r="H532" s="1012"/>
      <c r="I532" s="1012"/>
      <c r="J532" s="1012"/>
      <c r="K532" s="1012"/>
      <c r="L532" s="1012"/>
      <c r="M532" s="1012"/>
      <c r="N532" s="1012"/>
      <c r="O532" s="1012"/>
      <c r="P532" s="1012"/>
      <c r="Q532" s="1012"/>
      <c r="R532" s="1012"/>
      <c r="S532" s="1012"/>
      <c r="T532" s="1012"/>
      <c r="U532" s="1012"/>
      <c r="V532" s="1012"/>
      <c r="W532" s="1012"/>
      <c r="X532" s="1012"/>
      <c r="Y532" s="1012"/>
      <c r="Z532" s="1012"/>
    </row>
    <row r="533" ht="15.75" customHeight="1">
      <c r="A533" s="1012"/>
      <c r="B533" s="1012"/>
      <c r="C533" s="1012"/>
      <c r="D533" s="1012"/>
      <c r="E533" s="1012"/>
      <c r="F533" s="1012"/>
      <c r="G533" s="1012"/>
      <c r="H533" s="1012"/>
      <c r="I533" s="1012"/>
      <c r="J533" s="1012"/>
      <c r="K533" s="1012"/>
      <c r="L533" s="1012"/>
      <c r="M533" s="1012"/>
      <c r="N533" s="1012"/>
      <c r="O533" s="1012"/>
      <c r="P533" s="1012"/>
      <c r="Q533" s="1012"/>
      <c r="R533" s="1012"/>
      <c r="S533" s="1012"/>
      <c r="T533" s="1012"/>
      <c r="U533" s="1012"/>
      <c r="V533" s="1012"/>
      <c r="W533" s="1012"/>
      <c r="X533" s="1012"/>
      <c r="Y533" s="1012"/>
      <c r="Z533" s="1012"/>
    </row>
    <row r="534" ht="15.75" customHeight="1">
      <c r="A534" s="1012"/>
      <c r="B534" s="1012"/>
      <c r="C534" s="1012"/>
      <c r="D534" s="1012"/>
      <c r="E534" s="1012"/>
      <c r="F534" s="1012"/>
      <c r="G534" s="1012"/>
      <c r="H534" s="1012"/>
      <c r="I534" s="1012"/>
      <c r="J534" s="1012"/>
      <c r="K534" s="1012"/>
      <c r="L534" s="1012"/>
      <c r="M534" s="1012"/>
      <c r="N534" s="1012"/>
      <c r="O534" s="1012"/>
      <c r="P534" s="1012"/>
      <c r="Q534" s="1012"/>
      <c r="R534" s="1012"/>
      <c r="S534" s="1012"/>
      <c r="T534" s="1012"/>
      <c r="U534" s="1012"/>
      <c r="V534" s="1012"/>
      <c r="W534" s="1012"/>
      <c r="X534" s="1012"/>
      <c r="Y534" s="1012"/>
      <c r="Z534" s="1012"/>
    </row>
    <row r="535" ht="15.75" customHeight="1">
      <c r="A535" s="1012"/>
      <c r="B535" s="1012"/>
      <c r="C535" s="1012"/>
      <c r="D535" s="1012"/>
      <c r="E535" s="1012"/>
      <c r="F535" s="1012"/>
      <c r="G535" s="1012"/>
      <c r="H535" s="1012"/>
      <c r="I535" s="1012"/>
      <c r="J535" s="1012"/>
      <c r="K535" s="1012"/>
      <c r="L535" s="1012"/>
      <c r="M535" s="1012"/>
      <c r="N535" s="1012"/>
      <c r="O535" s="1012"/>
      <c r="P535" s="1012"/>
      <c r="Q535" s="1012"/>
      <c r="R535" s="1012"/>
      <c r="S535" s="1012"/>
      <c r="T535" s="1012"/>
      <c r="U535" s="1012"/>
      <c r="V535" s="1012"/>
      <c r="W535" s="1012"/>
      <c r="X535" s="1012"/>
      <c r="Y535" s="1012"/>
      <c r="Z535" s="1012"/>
    </row>
    <row r="536" ht="15.75" customHeight="1">
      <c r="A536" s="1012"/>
      <c r="B536" s="1012"/>
      <c r="C536" s="1012"/>
      <c r="D536" s="1012"/>
      <c r="E536" s="1012"/>
      <c r="F536" s="1012"/>
      <c r="G536" s="1012"/>
      <c r="H536" s="1012"/>
      <c r="I536" s="1012"/>
      <c r="J536" s="1012"/>
      <c r="K536" s="1012"/>
      <c r="L536" s="1012"/>
      <c r="M536" s="1012"/>
      <c r="N536" s="1012"/>
      <c r="O536" s="1012"/>
      <c r="P536" s="1012"/>
      <c r="Q536" s="1012"/>
      <c r="R536" s="1012"/>
      <c r="S536" s="1012"/>
      <c r="T536" s="1012"/>
      <c r="U536" s="1012"/>
      <c r="V536" s="1012"/>
      <c r="W536" s="1012"/>
      <c r="X536" s="1012"/>
      <c r="Y536" s="1012"/>
      <c r="Z536" s="1012"/>
    </row>
    <row r="537" ht="15.75" customHeight="1">
      <c r="A537" s="1012"/>
      <c r="B537" s="1012"/>
      <c r="C537" s="1012"/>
      <c r="D537" s="1012"/>
      <c r="E537" s="1012"/>
      <c r="F537" s="1012"/>
      <c r="G537" s="1012"/>
      <c r="H537" s="1012"/>
      <c r="I537" s="1012"/>
      <c r="J537" s="1012"/>
      <c r="K537" s="1012"/>
      <c r="L537" s="1012"/>
      <c r="M537" s="1012"/>
      <c r="N537" s="1012"/>
      <c r="O537" s="1012"/>
      <c r="P537" s="1012"/>
      <c r="Q537" s="1012"/>
      <c r="R537" s="1012"/>
      <c r="S537" s="1012"/>
      <c r="T537" s="1012"/>
      <c r="U537" s="1012"/>
      <c r="V537" s="1012"/>
      <c r="W537" s="1012"/>
      <c r="X537" s="1012"/>
      <c r="Y537" s="1012"/>
      <c r="Z537" s="1012"/>
    </row>
    <row r="538" ht="15.75" customHeight="1">
      <c r="A538" s="1012"/>
      <c r="B538" s="1012"/>
      <c r="C538" s="1012"/>
      <c r="D538" s="1012"/>
      <c r="E538" s="1012"/>
      <c r="F538" s="1012"/>
      <c r="G538" s="1012"/>
      <c r="H538" s="1012"/>
      <c r="I538" s="1012"/>
      <c r="J538" s="1012"/>
      <c r="K538" s="1012"/>
      <c r="L538" s="1012"/>
      <c r="M538" s="1012"/>
      <c r="N538" s="1012"/>
      <c r="O538" s="1012"/>
      <c r="P538" s="1012"/>
      <c r="Q538" s="1012"/>
      <c r="R538" s="1012"/>
      <c r="S538" s="1012"/>
      <c r="T538" s="1012"/>
      <c r="U538" s="1012"/>
      <c r="V538" s="1012"/>
      <c r="W538" s="1012"/>
      <c r="X538" s="1012"/>
      <c r="Y538" s="1012"/>
      <c r="Z538" s="1012"/>
    </row>
    <row r="539" ht="15.75" customHeight="1">
      <c r="A539" s="1012"/>
      <c r="B539" s="1012"/>
      <c r="C539" s="1012"/>
      <c r="D539" s="1012"/>
      <c r="E539" s="1012"/>
      <c r="F539" s="1012"/>
      <c r="G539" s="1012"/>
      <c r="H539" s="1012"/>
      <c r="I539" s="1012"/>
      <c r="J539" s="1012"/>
      <c r="K539" s="1012"/>
      <c r="L539" s="1012"/>
      <c r="M539" s="1012"/>
      <c r="N539" s="1012"/>
      <c r="O539" s="1012"/>
      <c r="P539" s="1012"/>
      <c r="Q539" s="1012"/>
      <c r="R539" s="1012"/>
      <c r="S539" s="1012"/>
      <c r="T539" s="1012"/>
      <c r="U539" s="1012"/>
      <c r="V539" s="1012"/>
      <c r="W539" s="1012"/>
      <c r="X539" s="1012"/>
      <c r="Y539" s="1012"/>
      <c r="Z539" s="1012"/>
    </row>
    <row r="540" ht="15.75" customHeight="1">
      <c r="A540" s="1012"/>
      <c r="B540" s="1012"/>
      <c r="C540" s="1012"/>
      <c r="D540" s="1012"/>
      <c r="E540" s="1012"/>
      <c r="F540" s="1012"/>
      <c r="G540" s="1012"/>
      <c r="H540" s="1012"/>
      <c r="I540" s="1012"/>
      <c r="J540" s="1012"/>
      <c r="K540" s="1012"/>
      <c r="L540" s="1012"/>
      <c r="M540" s="1012"/>
      <c r="N540" s="1012"/>
      <c r="O540" s="1012"/>
      <c r="P540" s="1012"/>
      <c r="Q540" s="1012"/>
      <c r="R540" s="1012"/>
      <c r="S540" s="1012"/>
      <c r="T540" s="1012"/>
      <c r="U540" s="1012"/>
      <c r="V540" s="1012"/>
      <c r="W540" s="1012"/>
      <c r="X540" s="1012"/>
      <c r="Y540" s="1012"/>
      <c r="Z540" s="1012"/>
    </row>
    <row r="541" ht="15.75" customHeight="1">
      <c r="A541" s="1012"/>
      <c r="B541" s="1012"/>
      <c r="C541" s="1012"/>
      <c r="D541" s="1012"/>
      <c r="E541" s="1012"/>
      <c r="F541" s="1012"/>
      <c r="G541" s="1012"/>
      <c r="H541" s="1012"/>
      <c r="I541" s="1012"/>
      <c r="J541" s="1012"/>
      <c r="K541" s="1012"/>
      <c r="L541" s="1012"/>
      <c r="M541" s="1012"/>
      <c r="N541" s="1012"/>
      <c r="O541" s="1012"/>
      <c r="P541" s="1012"/>
      <c r="Q541" s="1012"/>
      <c r="R541" s="1012"/>
      <c r="S541" s="1012"/>
      <c r="T541" s="1012"/>
      <c r="U541" s="1012"/>
      <c r="V541" s="1012"/>
      <c r="W541" s="1012"/>
      <c r="X541" s="1012"/>
      <c r="Y541" s="1012"/>
      <c r="Z541" s="1012"/>
    </row>
    <row r="542" ht="15.75" customHeight="1">
      <c r="A542" s="1012"/>
      <c r="B542" s="1012"/>
      <c r="C542" s="1012"/>
      <c r="D542" s="1012"/>
      <c r="E542" s="1012"/>
      <c r="F542" s="1012"/>
      <c r="G542" s="1012"/>
      <c r="H542" s="1012"/>
      <c r="I542" s="1012"/>
      <c r="J542" s="1012"/>
      <c r="K542" s="1012"/>
      <c r="L542" s="1012"/>
      <c r="M542" s="1012"/>
      <c r="N542" s="1012"/>
      <c r="O542" s="1012"/>
      <c r="P542" s="1012"/>
      <c r="Q542" s="1012"/>
      <c r="R542" s="1012"/>
      <c r="S542" s="1012"/>
      <c r="T542" s="1012"/>
      <c r="U542" s="1012"/>
      <c r="V542" s="1012"/>
      <c r="W542" s="1012"/>
      <c r="X542" s="1012"/>
      <c r="Y542" s="1012"/>
      <c r="Z542" s="1012"/>
    </row>
    <row r="543" ht="15.75" customHeight="1">
      <c r="A543" s="1012"/>
      <c r="B543" s="1012"/>
      <c r="C543" s="1012"/>
      <c r="D543" s="1012"/>
      <c r="E543" s="1012"/>
      <c r="F543" s="1012"/>
      <c r="G543" s="1012"/>
      <c r="H543" s="1012"/>
      <c r="I543" s="1012"/>
      <c r="J543" s="1012"/>
      <c r="K543" s="1012"/>
      <c r="L543" s="1012"/>
      <c r="M543" s="1012"/>
      <c r="N543" s="1012"/>
      <c r="O543" s="1012"/>
      <c r="P543" s="1012"/>
      <c r="Q543" s="1012"/>
      <c r="R543" s="1012"/>
      <c r="S543" s="1012"/>
      <c r="T543" s="1012"/>
      <c r="U543" s="1012"/>
      <c r="V543" s="1012"/>
      <c r="W543" s="1012"/>
      <c r="X543" s="1012"/>
      <c r="Y543" s="1012"/>
      <c r="Z543" s="1012"/>
    </row>
    <row r="544" ht="15.75" customHeight="1">
      <c r="A544" s="1012"/>
      <c r="B544" s="1012"/>
      <c r="C544" s="1012"/>
      <c r="D544" s="1012"/>
      <c r="E544" s="1012"/>
      <c r="F544" s="1012"/>
      <c r="G544" s="1012"/>
      <c r="H544" s="1012"/>
      <c r="I544" s="1012"/>
      <c r="J544" s="1012"/>
      <c r="K544" s="1012"/>
      <c r="L544" s="1012"/>
      <c r="M544" s="1012"/>
      <c r="N544" s="1012"/>
      <c r="O544" s="1012"/>
      <c r="P544" s="1012"/>
      <c r="Q544" s="1012"/>
      <c r="R544" s="1012"/>
      <c r="S544" s="1012"/>
      <c r="T544" s="1012"/>
      <c r="U544" s="1012"/>
      <c r="V544" s="1012"/>
      <c r="W544" s="1012"/>
      <c r="X544" s="1012"/>
      <c r="Y544" s="1012"/>
      <c r="Z544" s="1012"/>
    </row>
    <row r="545" ht="15.75" customHeight="1">
      <c r="A545" s="1012"/>
      <c r="B545" s="1012"/>
      <c r="C545" s="1012"/>
      <c r="D545" s="1012"/>
      <c r="E545" s="1012"/>
      <c r="F545" s="1012"/>
      <c r="G545" s="1012"/>
      <c r="H545" s="1012"/>
      <c r="I545" s="1012"/>
      <c r="J545" s="1012"/>
      <c r="K545" s="1012"/>
      <c r="L545" s="1012"/>
      <c r="M545" s="1012"/>
      <c r="N545" s="1012"/>
      <c r="O545" s="1012"/>
      <c r="P545" s="1012"/>
      <c r="Q545" s="1012"/>
      <c r="R545" s="1012"/>
      <c r="S545" s="1012"/>
      <c r="T545" s="1012"/>
      <c r="U545" s="1012"/>
      <c r="V545" s="1012"/>
      <c r="W545" s="1012"/>
      <c r="X545" s="1012"/>
      <c r="Y545" s="1012"/>
      <c r="Z545" s="1012"/>
    </row>
    <row r="546" ht="15.75" customHeight="1">
      <c r="A546" s="1012"/>
      <c r="B546" s="1012"/>
      <c r="C546" s="1012"/>
      <c r="D546" s="1012"/>
      <c r="E546" s="1012"/>
      <c r="F546" s="1012"/>
      <c r="G546" s="1012"/>
      <c r="H546" s="1012"/>
      <c r="I546" s="1012"/>
      <c r="J546" s="1012"/>
      <c r="K546" s="1012"/>
      <c r="L546" s="1012"/>
      <c r="M546" s="1012"/>
      <c r="N546" s="1012"/>
      <c r="O546" s="1012"/>
      <c r="P546" s="1012"/>
      <c r="Q546" s="1012"/>
      <c r="R546" s="1012"/>
      <c r="S546" s="1012"/>
      <c r="T546" s="1012"/>
      <c r="U546" s="1012"/>
      <c r="V546" s="1012"/>
      <c r="W546" s="1012"/>
      <c r="X546" s="1012"/>
      <c r="Y546" s="1012"/>
      <c r="Z546" s="1012"/>
    </row>
    <row r="547" ht="15.75" customHeight="1">
      <c r="A547" s="1012"/>
      <c r="B547" s="1012"/>
      <c r="C547" s="1012"/>
      <c r="D547" s="1012"/>
      <c r="E547" s="1012"/>
      <c r="F547" s="1012"/>
      <c r="G547" s="1012"/>
      <c r="H547" s="1012"/>
      <c r="I547" s="1012"/>
      <c r="J547" s="1012"/>
      <c r="K547" s="1012"/>
      <c r="L547" s="1012"/>
      <c r="M547" s="1012"/>
      <c r="N547" s="1012"/>
      <c r="O547" s="1012"/>
      <c r="P547" s="1012"/>
      <c r="Q547" s="1012"/>
      <c r="R547" s="1012"/>
      <c r="S547" s="1012"/>
      <c r="T547" s="1012"/>
      <c r="U547" s="1012"/>
      <c r="V547" s="1012"/>
      <c r="W547" s="1012"/>
      <c r="X547" s="1012"/>
      <c r="Y547" s="1012"/>
      <c r="Z547" s="1012"/>
    </row>
    <row r="548" ht="15.75" customHeight="1">
      <c r="A548" s="1012"/>
      <c r="B548" s="1012"/>
      <c r="C548" s="1012"/>
      <c r="D548" s="1012"/>
      <c r="E548" s="1012"/>
      <c r="F548" s="1012"/>
      <c r="G548" s="1012"/>
      <c r="H548" s="1012"/>
      <c r="I548" s="1012"/>
      <c r="J548" s="1012"/>
      <c r="K548" s="1012"/>
      <c r="L548" s="1012"/>
      <c r="M548" s="1012"/>
      <c r="N548" s="1012"/>
      <c r="O548" s="1012"/>
      <c r="P548" s="1012"/>
      <c r="Q548" s="1012"/>
      <c r="R548" s="1012"/>
      <c r="S548" s="1012"/>
      <c r="T548" s="1012"/>
      <c r="U548" s="1012"/>
      <c r="V548" s="1012"/>
      <c r="W548" s="1012"/>
      <c r="X548" s="1012"/>
      <c r="Y548" s="1012"/>
      <c r="Z548" s="1012"/>
    </row>
    <row r="549" ht="15.75" customHeight="1">
      <c r="A549" s="1012"/>
      <c r="B549" s="1012"/>
      <c r="C549" s="1012"/>
      <c r="D549" s="1012"/>
      <c r="E549" s="1012"/>
      <c r="F549" s="1012"/>
      <c r="G549" s="1012"/>
      <c r="H549" s="1012"/>
      <c r="I549" s="1012"/>
      <c r="J549" s="1012"/>
      <c r="K549" s="1012"/>
      <c r="L549" s="1012"/>
      <c r="M549" s="1012"/>
      <c r="N549" s="1012"/>
      <c r="O549" s="1012"/>
      <c r="P549" s="1012"/>
      <c r="Q549" s="1012"/>
      <c r="R549" s="1012"/>
      <c r="S549" s="1012"/>
      <c r="T549" s="1012"/>
      <c r="U549" s="1012"/>
      <c r="V549" s="1012"/>
      <c r="W549" s="1012"/>
      <c r="X549" s="1012"/>
      <c r="Y549" s="1012"/>
      <c r="Z549" s="1012"/>
    </row>
    <row r="550" ht="15.75" customHeight="1">
      <c r="A550" s="1012"/>
      <c r="B550" s="1012"/>
      <c r="C550" s="1012"/>
      <c r="D550" s="1012"/>
      <c r="E550" s="1012"/>
      <c r="F550" s="1012"/>
      <c r="G550" s="1012"/>
      <c r="H550" s="1012"/>
      <c r="I550" s="1012"/>
      <c r="J550" s="1012"/>
      <c r="K550" s="1012"/>
      <c r="L550" s="1012"/>
      <c r="M550" s="1012"/>
      <c r="N550" s="1012"/>
      <c r="O550" s="1012"/>
      <c r="P550" s="1012"/>
      <c r="Q550" s="1012"/>
      <c r="R550" s="1012"/>
      <c r="S550" s="1012"/>
      <c r="T550" s="1012"/>
      <c r="U550" s="1012"/>
      <c r="V550" s="1012"/>
      <c r="W550" s="1012"/>
      <c r="X550" s="1012"/>
      <c r="Y550" s="1012"/>
      <c r="Z550" s="1012"/>
    </row>
    <row r="551" ht="15.75" customHeight="1">
      <c r="A551" s="1012"/>
      <c r="B551" s="1012"/>
      <c r="C551" s="1012"/>
      <c r="D551" s="1012"/>
      <c r="E551" s="1012"/>
      <c r="F551" s="1012"/>
      <c r="G551" s="1012"/>
      <c r="H551" s="1012"/>
      <c r="I551" s="1012"/>
      <c r="J551" s="1012"/>
      <c r="K551" s="1012"/>
      <c r="L551" s="1012"/>
      <c r="M551" s="1012"/>
      <c r="N551" s="1012"/>
      <c r="O551" s="1012"/>
      <c r="P551" s="1012"/>
      <c r="Q551" s="1012"/>
      <c r="R551" s="1012"/>
      <c r="S551" s="1012"/>
      <c r="T551" s="1012"/>
      <c r="U551" s="1012"/>
      <c r="V551" s="1012"/>
      <c r="W551" s="1012"/>
      <c r="X551" s="1012"/>
      <c r="Y551" s="1012"/>
      <c r="Z551" s="1012"/>
    </row>
    <row r="552" ht="15.75" customHeight="1">
      <c r="A552" s="1012"/>
      <c r="B552" s="1012"/>
      <c r="C552" s="1012"/>
      <c r="D552" s="1012"/>
      <c r="E552" s="1012"/>
      <c r="F552" s="1012"/>
      <c r="G552" s="1012"/>
      <c r="H552" s="1012"/>
      <c r="I552" s="1012"/>
      <c r="J552" s="1012"/>
      <c r="K552" s="1012"/>
      <c r="L552" s="1012"/>
      <c r="M552" s="1012"/>
      <c r="N552" s="1012"/>
      <c r="O552" s="1012"/>
      <c r="P552" s="1012"/>
      <c r="Q552" s="1012"/>
      <c r="R552" s="1012"/>
      <c r="S552" s="1012"/>
      <c r="T552" s="1012"/>
      <c r="U552" s="1012"/>
      <c r="V552" s="1012"/>
      <c r="W552" s="1012"/>
      <c r="X552" s="1012"/>
      <c r="Y552" s="1012"/>
      <c r="Z552" s="1012"/>
    </row>
    <row r="553" ht="15.75" customHeight="1">
      <c r="A553" s="1012"/>
      <c r="B553" s="1012"/>
      <c r="C553" s="1012"/>
      <c r="D553" s="1012"/>
      <c r="E553" s="1012"/>
      <c r="F553" s="1012"/>
      <c r="G553" s="1012"/>
      <c r="H553" s="1012"/>
      <c r="I553" s="1012"/>
      <c r="J553" s="1012"/>
      <c r="K553" s="1012"/>
      <c r="L553" s="1012"/>
      <c r="M553" s="1012"/>
      <c r="N553" s="1012"/>
      <c r="O553" s="1012"/>
      <c r="P553" s="1012"/>
      <c r="Q553" s="1012"/>
      <c r="R553" s="1012"/>
      <c r="S553" s="1012"/>
      <c r="T553" s="1012"/>
      <c r="U553" s="1012"/>
      <c r="V553" s="1012"/>
      <c r="W553" s="1012"/>
      <c r="X553" s="1012"/>
      <c r="Y553" s="1012"/>
      <c r="Z553" s="1012"/>
    </row>
    <row r="554" ht="15.75" customHeight="1">
      <c r="A554" s="1012"/>
      <c r="B554" s="1012"/>
      <c r="C554" s="1012"/>
      <c r="D554" s="1012"/>
      <c r="E554" s="1012"/>
      <c r="F554" s="1012"/>
      <c r="G554" s="1012"/>
      <c r="H554" s="1012"/>
      <c r="I554" s="1012"/>
      <c r="J554" s="1012"/>
      <c r="K554" s="1012"/>
      <c r="L554" s="1012"/>
      <c r="M554" s="1012"/>
      <c r="N554" s="1012"/>
      <c r="O554" s="1012"/>
      <c r="P554" s="1012"/>
      <c r="Q554" s="1012"/>
      <c r="R554" s="1012"/>
      <c r="S554" s="1012"/>
      <c r="T554" s="1012"/>
      <c r="U554" s="1012"/>
      <c r="V554" s="1012"/>
      <c r="W554" s="1012"/>
      <c r="X554" s="1012"/>
      <c r="Y554" s="1012"/>
      <c r="Z554" s="1012"/>
    </row>
    <row r="555" ht="15.75" customHeight="1">
      <c r="A555" s="1012"/>
      <c r="B555" s="1012"/>
      <c r="C555" s="1012"/>
      <c r="D555" s="1012"/>
      <c r="E555" s="1012"/>
      <c r="F555" s="1012"/>
      <c r="G555" s="1012"/>
      <c r="H555" s="1012"/>
      <c r="I555" s="1012"/>
      <c r="J555" s="1012"/>
      <c r="K555" s="1012"/>
      <c r="L555" s="1012"/>
      <c r="M555" s="1012"/>
      <c r="N555" s="1012"/>
      <c r="O555" s="1012"/>
      <c r="P555" s="1012"/>
      <c r="Q555" s="1012"/>
      <c r="R555" s="1012"/>
      <c r="S555" s="1012"/>
      <c r="T555" s="1012"/>
      <c r="U555" s="1012"/>
      <c r="V555" s="1012"/>
      <c r="W555" s="1012"/>
      <c r="X555" s="1012"/>
      <c r="Y555" s="1012"/>
      <c r="Z555" s="1012"/>
    </row>
    <row r="556" ht="15.75" customHeight="1">
      <c r="A556" s="1012"/>
      <c r="B556" s="1012"/>
      <c r="C556" s="1012"/>
      <c r="D556" s="1012"/>
      <c r="E556" s="1012"/>
      <c r="F556" s="1012"/>
      <c r="G556" s="1012"/>
      <c r="H556" s="1012"/>
      <c r="I556" s="1012"/>
      <c r="J556" s="1012"/>
      <c r="K556" s="1012"/>
      <c r="L556" s="1012"/>
      <c r="M556" s="1012"/>
      <c r="N556" s="1012"/>
      <c r="O556" s="1012"/>
      <c r="P556" s="1012"/>
      <c r="Q556" s="1012"/>
      <c r="R556" s="1012"/>
      <c r="S556" s="1012"/>
      <c r="T556" s="1012"/>
      <c r="U556" s="1012"/>
      <c r="V556" s="1012"/>
      <c r="W556" s="1012"/>
      <c r="X556" s="1012"/>
      <c r="Y556" s="1012"/>
      <c r="Z556" s="1012"/>
    </row>
    <row r="557" ht="15.75" customHeight="1">
      <c r="A557" s="1012"/>
      <c r="B557" s="1012"/>
      <c r="C557" s="1012"/>
      <c r="D557" s="1012"/>
      <c r="E557" s="1012"/>
      <c r="F557" s="1012"/>
      <c r="G557" s="1012"/>
      <c r="H557" s="1012"/>
      <c r="I557" s="1012"/>
      <c r="J557" s="1012"/>
      <c r="K557" s="1012"/>
      <c r="L557" s="1012"/>
      <c r="M557" s="1012"/>
      <c r="N557" s="1012"/>
      <c r="O557" s="1012"/>
      <c r="P557" s="1012"/>
      <c r="Q557" s="1012"/>
      <c r="R557" s="1012"/>
      <c r="S557" s="1012"/>
      <c r="T557" s="1012"/>
      <c r="U557" s="1012"/>
      <c r="V557" s="1012"/>
      <c r="W557" s="1012"/>
      <c r="X557" s="1012"/>
      <c r="Y557" s="1012"/>
      <c r="Z557" s="1012"/>
    </row>
    <row r="558" ht="15.75" customHeight="1">
      <c r="A558" s="1012"/>
      <c r="B558" s="1012"/>
      <c r="C558" s="1012"/>
      <c r="D558" s="1012"/>
      <c r="E558" s="1012"/>
      <c r="F558" s="1012"/>
      <c r="G558" s="1012"/>
      <c r="H558" s="1012"/>
      <c r="I558" s="1012"/>
      <c r="J558" s="1012"/>
      <c r="K558" s="1012"/>
      <c r="L558" s="1012"/>
      <c r="M558" s="1012"/>
      <c r="N558" s="1012"/>
      <c r="O558" s="1012"/>
      <c r="P558" s="1012"/>
      <c r="Q558" s="1012"/>
      <c r="R558" s="1012"/>
      <c r="S558" s="1012"/>
      <c r="T558" s="1012"/>
      <c r="U558" s="1012"/>
      <c r="V558" s="1012"/>
      <c r="W558" s="1012"/>
      <c r="X558" s="1012"/>
      <c r="Y558" s="1012"/>
      <c r="Z558" s="1012"/>
    </row>
    <row r="559" ht="15.75" customHeight="1">
      <c r="A559" s="1012"/>
      <c r="B559" s="1012"/>
      <c r="C559" s="1012"/>
      <c r="D559" s="1012"/>
      <c r="E559" s="1012"/>
      <c r="F559" s="1012"/>
      <c r="G559" s="1012"/>
      <c r="H559" s="1012"/>
      <c r="I559" s="1012"/>
      <c r="J559" s="1012"/>
      <c r="K559" s="1012"/>
      <c r="L559" s="1012"/>
      <c r="M559" s="1012"/>
      <c r="N559" s="1012"/>
      <c r="O559" s="1012"/>
      <c r="P559" s="1012"/>
      <c r="Q559" s="1012"/>
      <c r="R559" s="1012"/>
      <c r="S559" s="1012"/>
      <c r="T559" s="1012"/>
      <c r="U559" s="1012"/>
      <c r="V559" s="1012"/>
      <c r="W559" s="1012"/>
      <c r="X559" s="1012"/>
      <c r="Y559" s="1012"/>
      <c r="Z559" s="1012"/>
    </row>
    <row r="560" ht="15.75" customHeight="1">
      <c r="A560" s="1012"/>
      <c r="B560" s="1012"/>
      <c r="C560" s="1012"/>
      <c r="D560" s="1012"/>
      <c r="E560" s="1012"/>
      <c r="F560" s="1012"/>
      <c r="G560" s="1012"/>
      <c r="H560" s="1012"/>
      <c r="I560" s="1012"/>
      <c r="J560" s="1012"/>
      <c r="K560" s="1012"/>
      <c r="L560" s="1012"/>
      <c r="M560" s="1012"/>
      <c r="N560" s="1012"/>
      <c r="O560" s="1012"/>
      <c r="P560" s="1012"/>
      <c r="Q560" s="1012"/>
      <c r="R560" s="1012"/>
      <c r="S560" s="1012"/>
      <c r="T560" s="1012"/>
      <c r="U560" s="1012"/>
      <c r="V560" s="1012"/>
      <c r="W560" s="1012"/>
      <c r="X560" s="1012"/>
      <c r="Y560" s="1012"/>
      <c r="Z560" s="1012"/>
    </row>
    <row r="561" ht="15.75" customHeight="1">
      <c r="A561" s="1012"/>
      <c r="B561" s="1012"/>
      <c r="C561" s="1012"/>
      <c r="D561" s="1012"/>
      <c r="E561" s="1012"/>
      <c r="F561" s="1012"/>
      <c r="G561" s="1012"/>
      <c r="H561" s="1012"/>
      <c r="I561" s="1012"/>
      <c r="J561" s="1012"/>
      <c r="K561" s="1012"/>
      <c r="L561" s="1012"/>
      <c r="M561" s="1012"/>
      <c r="N561" s="1012"/>
      <c r="O561" s="1012"/>
      <c r="P561" s="1012"/>
      <c r="Q561" s="1012"/>
      <c r="R561" s="1012"/>
      <c r="S561" s="1012"/>
      <c r="T561" s="1012"/>
      <c r="U561" s="1012"/>
      <c r="V561" s="1012"/>
      <c r="W561" s="1012"/>
      <c r="X561" s="1012"/>
      <c r="Y561" s="1012"/>
      <c r="Z561" s="1012"/>
    </row>
    <row r="562" ht="15.75" customHeight="1">
      <c r="A562" s="1012"/>
      <c r="B562" s="1012"/>
      <c r="C562" s="1012"/>
      <c r="D562" s="1012"/>
      <c r="E562" s="1012"/>
      <c r="F562" s="1012"/>
      <c r="G562" s="1012"/>
      <c r="H562" s="1012"/>
      <c r="I562" s="1012"/>
      <c r="J562" s="1012"/>
      <c r="K562" s="1012"/>
      <c r="L562" s="1012"/>
      <c r="M562" s="1012"/>
      <c r="N562" s="1012"/>
      <c r="O562" s="1012"/>
      <c r="P562" s="1012"/>
      <c r="Q562" s="1012"/>
      <c r="R562" s="1012"/>
      <c r="S562" s="1012"/>
      <c r="T562" s="1012"/>
      <c r="U562" s="1012"/>
      <c r="V562" s="1012"/>
      <c r="W562" s="1012"/>
      <c r="X562" s="1012"/>
      <c r="Y562" s="1012"/>
      <c r="Z562" s="1012"/>
    </row>
    <row r="563" ht="15.75" customHeight="1">
      <c r="A563" s="1012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012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</row>
    <row r="564" ht="15.75" customHeight="1">
      <c r="A564" s="1012"/>
      <c r="B564" s="1012"/>
      <c r="C564" s="1012"/>
      <c r="D564" s="1012"/>
      <c r="E564" s="1012"/>
      <c r="F564" s="1012"/>
      <c r="G564" s="1012"/>
      <c r="H564" s="1012"/>
      <c r="I564" s="1012"/>
      <c r="J564" s="1012"/>
      <c r="K564" s="1012"/>
      <c r="L564" s="1012"/>
      <c r="M564" s="1012"/>
      <c r="N564" s="1012"/>
      <c r="O564" s="1012"/>
      <c r="P564" s="1012"/>
      <c r="Q564" s="1012"/>
      <c r="R564" s="1012"/>
      <c r="S564" s="1012"/>
      <c r="T564" s="1012"/>
      <c r="U564" s="1012"/>
      <c r="V564" s="1012"/>
      <c r="W564" s="1012"/>
      <c r="X564" s="1012"/>
      <c r="Y564" s="1012"/>
      <c r="Z564" s="1012"/>
    </row>
    <row r="565" ht="15.75" customHeight="1">
      <c r="A565" s="1012"/>
      <c r="B565" s="1012"/>
      <c r="C565" s="1012"/>
      <c r="D565" s="1012"/>
      <c r="E565" s="1012"/>
      <c r="F565" s="1012"/>
      <c r="G565" s="1012"/>
      <c r="H565" s="1012"/>
      <c r="I565" s="1012"/>
      <c r="J565" s="1012"/>
      <c r="K565" s="1012"/>
      <c r="L565" s="1012"/>
      <c r="M565" s="1012"/>
      <c r="N565" s="1012"/>
      <c r="O565" s="1012"/>
      <c r="P565" s="1012"/>
      <c r="Q565" s="1012"/>
      <c r="R565" s="1012"/>
      <c r="S565" s="1012"/>
      <c r="T565" s="1012"/>
      <c r="U565" s="1012"/>
      <c r="V565" s="1012"/>
      <c r="W565" s="1012"/>
      <c r="X565" s="1012"/>
      <c r="Y565" s="1012"/>
      <c r="Z565" s="1012"/>
    </row>
    <row r="566" ht="15.75" customHeight="1">
      <c r="A566" s="1012"/>
      <c r="B566" s="1012"/>
      <c r="C566" s="1012"/>
      <c r="D566" s="1012"/>
      <c r="E566" s="1012"/>
      <c r="F566" s="1012"/>
      <c r="G566" s="1012"/>
      <c r="H566" s="1012"/>
      <c r="I566" s="1012"/>
      <c r="J566" s="1012"/>
      <c r="K566" s="1012"/>
      <c r="L566" s="1012"/>
      <c r="M566" s="1012"/>
      <c r="N566" s="1012"/>
      <c r="O566" s="1012"/>
      <c r="P566" s="1012"/>
      <c r="Q566" s="1012"/>
      <c r="R566" s="1012"/>
      <c r="S566" s="1012"/>
      <c r="T566" s="1012"/>
      <c r="U566" s="1012"/>
      <c r="V566" s="1012"/>
      <c r="W566" s="1012"/>
      <c r="X566" s="1012"/>
      <c r="Y566" s="1012"/>
      <c r="Z566" s="1012"/>
    </row>
    <row r="567" ht="15.75" customHeight="1">
      <c r="A567" s="1012"/>
      <c r="B567" s="1012"/>
      <c r="C567" s="1012"/>
      <c r="D567" s="1012"/>
      <c r="E567" s="1012"/>
      <c r="F567" s="1012"/>
      <c r="G567" s="1012"/>
      <c r="H567" s="1012"/>
      <c r="I567" s="1012"/>
      <c r="J567" s="1012"/>
      <c r="K567" s="1012"/>
      <c r="L567" s="1012"/>
      <c r="M567" s="1012"/>
      <c r="N567" s="1012"/>
      <c r="O567" s="1012"/>
      <c r="P567" s="1012"/>
      <c r="Q567" s="1012"/>
      <c r="R567" s="1012"/>
      <c r="S567" s="1012"/>
      <c r="T567" s="1012"/>
      <c r="U567" s="1012"/>
      <c r="V567" s="1012"/>
      <c r="W567" s="1012"/>
      <c r="X567" s="1012"/>
      <c r="Y567" s="1012"/>
      <c r="Z567" s="1012"/>
    </row>
    <row r="568" ht="15.75" customHeight="1">
      <c r="A568" s="1012"/>
      <c r="B568" s="1012"/>
      <c r="C568" s="1012"/>
      <c r="D568" s="1012"/>
      <c r="E568" s="1012"/>
      <c r="F568" s="1012"/>
      <c r="G568" s="1012"/>
      <c r="H568" s="1012"/>
      <c r="I568" s="1012"/>
      <c r="J568" s="1012"/>
      <c r="K568" s="1012"/>
      <c r="L568" s="1012"/>
      <c r="M568" s="1012"/>
      <c r="N568" s="1012"/>
      <c r="O568" s="1012"/>
      <c r="P568" s="1012"/>
      <c r="Q568" s="1012"/>
      <c r="R568" s="1012"/>
      <c r="S568" s="1012"/>
      <c r="T568" s="1012"/>
      <c r="U568" s="1012"/>
      <c r="V568" s="1012"/>
      <c r="W568" s="1012"/>
      <c r="X568" s="1012"/>
      <c r="Y568" s="1012"/>
      <c r="Z568" s="1012"/>
    </row>
    <row r="569" ht="15.75" customHeight="1">
      <c r="A569" s="1012"/>
      <c r="B569" s="1012"/>
      <c r="C569" s="1012"/>
      <c r="D569" s="1012"/>
      <c r="E569" s="1012"/>
      <c r="F569" s="1012"/>
      <c r="G569" s="1012"/>
      <c r="H569" s="1012"/>
      <c r="I569" s="1012"/>
      <c r="J569" s="1012"/>
      <c r="K569" s="1012"/>
      <c r="L569" s="1012"/>
      <c r="M569" s="1012"/>
      <c r="N569" s="1012"/>
      <c r="O569" s="1012"/>
      <c r="P569" s="1012"/>
      <c r="Q569" s="1012"/>
      <c r="R569" s="1012"/>
      <c r="S569" s="1012"/>
      <c r="T569" s="1012"/>
      <c r="U569" s="1012"/>
      <c r="V569" s="1012"/>
      <c r="W569" s="1012"/>
      <c r="X569" s="1012"/>
      <c r="Y569" s="1012"/>
      <c r="Z569" s="1012"/>
    </row>
    <row r="570" ht="15.75" customHeight="1">
      <c r="A570" s="1012"/>
      <c r="B570" s="1012"/>
      <c r="C570" s="1012"/>
      <c r="D570" s="1012"/>
      <c r="E570" s="1012"/>
      <c r="F570" s="1012"/>
      <c r="G570" s="1012"/>
      <c r="H570" s="1012"/>
      <c r="I570" s="1012"/>
      <c r="J570" s="1012"/>
      <c r="K570" s="1012"/>
      <c r="L570" s="1012"/>
      <c r="M570" s="1012"/>
      <c r="N570" s="1012"/>
      <c r="O570" s="1012"/>
      <c r="P570" s="1012"/>
      <c r="Q570" s="1012"/>
      <c r="R570" s="1012"/>
      <c r="S570" s="1012"/>
      <c r="T570" s="1012"/>
      <c r="U570" s="1012"/>
      <c r="V570" s="1012"/>
      <c r="W570" s="1012"/>
      <c r="X570" s="1012"/>
      <c r="Y570" s="1012"/>
      <c r="Z570" s="1012"/>
    </row>
    <row r="571" ht="15.75" customHeight="1">
      <c r="A571" s="1012"/>
      <c r="B571" s="1012"/>
      <c r="C571" s="1012"/>
      <c r="D571" s="1012"/>
      <c r="E571" s="1012"/>
      <c r="F571" s="1012"/>
      <c r="G571" s="1012"/>
      <c r="H571" s="1012"/>
      <c r="I571" s="1012"/>
      <c r="J571" s="1012"/>
      <c r="K571" s="1012"/>
      <c r="L571" s="1012"/>
      <c r="M571" s="1012"/>
      <c r="N571" s="1012"/>
      <c r="O571" s="1012"/>
      <c r="P571" s="1012"/>
      <c r="Q571" s="1012"/>
      <c r="R571" s="1012"/>
      <c r="S571" s="1012"/>
      <c r="T571" s="1012"/>
      <c r="U571" s="1012"/>
      <c r="V571" s="1012"/>
      <c r="W571" s="1012"/>
      <c r="X571" s="1012"/>
      <c r="Y571" s="1012"/>
      <c r="Z571" s="1012"/>
    </row>
    <row r="572" ht="15.75" customHeight="1">
      <c r="A572" s="1012"/>
      <c r="B572" s="1012"/>
      <c r="C572" s="1012"/>
      <c r="D572" s="1012"/>
      <c r="E572" s="1012"/>
      <c r="F572" s="1012"/>
      <c r="G572" s="1012"/>
      <c r="H572" s="1012"/>
      <c r="I572" s="1012"/>
      <c r="J572" s="1012"/>
      <c r="K572" s="1012"/>
      <c r="L572" s="1012"/>
      <c r="M572" s="1012"/>
      <c r="N572" s="1012"/>
      <c r="O572" s="1012"/>
      <c r="P572" s="1012"/>
      <c r="Q572" s="1012"/>
      <c r="R572" s="1012"/>
      <c r="S572" s="1012"/>
      <c r="T572" s="1012"/>
      <c r="U572" s="1012"/>
      <c r="V572" s="1012"/>
      <c r="W572" s="1012"/>
      <c r="X572" s="1012"/>
      <c r="Y572" s="1012"/>
      <c r="Z572" s="1012"/>
    </row>
    <row r="573" ht="15.75" customHeight="1">
      <c r="A573" s="1012"/>
      <c r="B573" s="1012"/>
      <c r="C573" s="1012"/>
      <c r="D573" s="1012"/>
      <c r="E573" s="1012"/>
      <c r="F573" s="1012"/>
      <c r="G573" s="1012"/>
      <c r="H573" s="1012"/>
      <c r="I573" s="1012"/>
      <c r="J573" s="1012"/>
      <c r="K573" s="1012"/>
      <c r="L573" s="1012"/>
      <c r="M573" s="1012"/>
      <c r="N573" s="1012"/>
      <c r="O573" s="1012"/>
      <c r="P573" s="1012"/>
      <c r="Q573" s="1012"/>
      <c r="R573" s="1012"/>
      <c r="S573" s="1012"/>
      <c r="T573" s="1012"/>
      <c r="U573" s="1012"/>
      <c r="V573" s="1012"/>
      <c r="W573" s="1012"/>
      <c r="X573" s="1012"/>
      <c r="Y573" s="1012"/>
      <c r="Z573" s="1012"/>
    </row>
    <row r="574" ht="15.75" customHeight="1">
      <c r="A574" s="1012"/>
      <c r="B574" s="1012"/>
      <c r="C574" s="1012"/>
      <c r="D574" s="1012"/>
      <c r="E574" s="1012"/>
      <c r="F574" s="1012"/>
      <c r="G574" s="1012"/>
      <c r="H574" s="1012"/>
      <c r="I574" s="1012"/>
      <c r="J574" s="1012"/>
      <c r="K574" s="1012"/>
      <c r="L574" s="1012"/>
      <c r="M574" s="1012"/>
      <c r="N574" s="1012"/>
      <c r="O574" s="1012"/>
      <c r="P574" s="1012"/>
      <c r="Q574" s="1012"/>
      <c r="R574" s="1012"/>
      <c r="S574" s="1012"/>
      <c r="T574" s="1012"/>
      <c r="U574" s="1012"/>
      <c r="V574" s="1012"/>
      <c r="W574" s="1012"/>
      <c r="X574" s="1012"/>
      <c r="Y574" s="1012"/>
      <c r="Z574" s="1012"/>
    </row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BD8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31.38"/>
    <col customWidth="1" min="3" max="3" width="16.88"/>
    <col customWidth="1" hidden="1" min="4" max="4" width="16.88"/>
    <col customWidth="1" min="5" max="8" width="11.38"/>
    <col customWidth="1" min="9" max="9" width="10.38"/>
    <col customWidth="1" min="10" max="12" width="11.38"/>
    <col customWidth="1" min="13" max="18" width="10.13"/>
    <col customWidth="1" min="19" max="19" width="6.38"/>
    <col customWidth="1" min="20" max="20" width="1.88"/>
    <col customWidth="1" min="21" max="21" width="11.38"/>
    <col customWidth="1" min="22" max="26" width="12.38"/>
  </cols>
  <sheetData>
    <row r="1" ht="9.0" customHeight="1">
      <c r="A1" s="1009"/>
      <c r="B1" s="1010"/>
      <c r="C1" s="1011"/>
      <c r="D1" s="1011"/>
      <c r="E1" s="1009"/>
      <c r="F1" s="1009"/>
      <c r="G1" s="1009"/>
      <c r="H1" s="1009"/>
      <c r="I1" s="1009"/>
      <c r="J1" s="1009"/>
      <c r="K1" s="1009"/>
      <c r="L1" s="1009"/>
      <c r="M1" s="1009"/>
      <c r="N1" s="1009"/>
      <c r="O1" s="1009"/>
      <c r="P1" s="1009"/>
      <c r="Q1" s="1009"/>
      <c r="R1" s="1009"/>
      <c r="S1" s="1009"/>
      <c r="T1" s="1009"/>
      <c r="U1" s="1009"/>
      <c r="V1" s="1012"/>
      <c r="W1" s="1012"/>
      <c r="X1" s="1012"/>
      <c r="Y1" s="1012"/>
      <c r="Z1" s="1012"/>
    </row>
    <row r="2" ht="24.75" customHeight="1">
      <c r="A2" s="1013"/>
      <c r="B2" s="36" t="s">
        <v>678</v>
      </c>
      <c r="C2" s="1014"/>
      <c r="D2" s="1014"/>
      <c r="E2" s="1014"/>
      <c r="F2" s="1014"/>
      <c r="G2" s="1014"/>
      <c r="H2" s="1014"/>
      <c r="I2" s="166"/>
      <c r="J2" s="166"/>
      <c r="K2" s="166"/>
      <c r="L2" s="166"/>
      <c r="M2" s="166"/>
      <c r="N2" s="166"/>
      <c r="O2" s="166"/>
      <c r="P2" s="1013"/>
      <c r="Q2" s="1013"/>
      <c r="R2" s="1013"/>
      <c r="S2" s="1013"/>
      <c r="T2" s="1013"/>
      <c r="U2" s="1013"/>
      <c r="V2" s="1013"/>
      <c r="W2" s="1013"/>
      <c r="X2" s="1013"/>
      <c r="Y2" s="1013"/>
      <c r="Z2" s="1013"/>
    </row>
    <row r="3" ht="15.75" customHeight="1">
      <c r="A3" s="308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897"/>
      <c r="W3" s="897"/>
      <c r="X3" s="897"/>
      <c r="Y3" s="897"/>
      <c r="Z3" s="897"/>
    </row>
    <row r="4" ht="15.75" customHeight="1">
      <c r="A4" s="308"/>
      <c r="B4" s="1015" t="s">
        <v>679</v>
      </c>
      <c r="C4" s="1015"/>
      <c r="D4" s="308"/>
      <c r="E4" s="308"/>
      <c r="F4" s="1016"/>
      <c r="G4" s="1017"/>
      <c r="H4" s="1017"/>
      <c r="I4" s="1017"/>
      <c r="J4" s="1017"/>
      <c r="K4" s="1017"/>
      <c r="L4" s="1017"/>
      <c r="M4" s="308"/>
      <c r="N4" s="308"/>
      <c r="O4" s="308"/>
      <c r="P4" s="308"/>
      <c r="Q4" s="308"/>
      <c r="R4" s="308"/>
      <c r="S4" s="308"/>
      <c r="T4" s="308"/>
      <c r="U4" s="308"/>
      <c r="V4" s="897"/>
      <c r="W4" s="897"/>
      <c r="X4" s="897"/>
      <c r="Y4" s="897"/>
      <c r="Z4" s="897"/>
    </row>
    <row r="5" ht="15.75" customHeight="1">
      <c r="A5" s="308"/>
      <c r="B5" s="1018" t="s">
        <v>680</v>
      </c>
      <c r="C5" s="1053"/>
      <c r="D5" s="1020"/>
      <c r="E5" s="308"/>
      <c r="F5" s="1021" t="s">
        <v>706</v>
      </c>
      <c r="G5" s="459"/>
      <c r="H5" s="459"/>
      <c r="I5" s="459"/>
      <c r="J5" s="459"/>
      <c r="K5" s="1022"/>
      <c r="L5" s="1022"/>
      <c r="M5" s="308"/>
      <c r="N5" s="308"/>
      <c r="O5" s="308"/>
      <c r="P5" s="308"/>
      <c r="Q5" s="308"/>
      <c r="R5" s="308"/>
      <c r="S5" s="308"/>
      <c r="T5" s="308"/>
      <c r="U5" s="308"/>
      <c r="V5" s="897"/>
      <c r="W5" s="897"/>
      <c r="X5" s="897"/>
      <c r="Y5" s="897"/>
      <c r="Z5" s="897"/>
    </row>
    <row r="6" ht="15.75" customHeight="1">
      <c r="A6" s="308"/>
      <c r="B6" s="1018" t="s">
        <v>682</v>
      </c>
      <c r="C6" s="1054">
        <v>45658.0</v>
      </c>
      <c r="D6" s="1024"/>
      <c r="E6" s="308"/>
      <c r="F6" s="459" t="s">
        <v>683</v>
      </c>
      <c r="G6" s="459"/>
      <c r="H6" s="459"/>
      <c r="I6" s="459"/>
      <c r="J6" s="459"/>
      <c r="K6" s="459"/>
      <c r="L6" s="459"/>
      <c r="M6" s="308"/>
      <c r="N6" s="308"/>
      <c r="O6" s="308"/>
      <c r="P6" s="308"/>
      <c r="Q6" s="308"/>
      <c r="R6" s="308"/>
      <c r="S6" s="308"/>
      <c r="T6" s="308"/>
      <c r="U6" s="308"/>
      <c r="V6" s="897"/>
      <c r="W6" s="897"/>
      <c r="X6" s="897"/>
      <c r="Y6" s="897"/>
      <c r="Z6" s="897"/>
    </row>
    <row r="7" ht="15.75" customHeight="1">
      <c r="A7" s="308"/>
      <c r="B7" s="1018" t="s">
        <v>684</v>
      </c>
      <c r="C7" s="1032">
        <v>0.0</v>
      </c>
      <c r="D7" s="1026"/>
      <c r="E7" s="308"/>
      <c r="F7" s="459" t="s">
        <v>685</v>
      </c>
      <c r="G7" s="459"/>
      <c r="H7" s="459"/>
      <c r="I7" s="459"/>
      <c r="J7" s="459"/>
      <c r="K7" s="1022"/>
      <c r="L7" s="1022"/>
      <c r="M7" s="308"/>
      <c r="N7" s="308"/>
      <c r="O7" s="308"/>
      <c r="P7" s="308"/>
      <c r="Q7" s="308"/>
      <c r="R7" s="308"/>
      <c r="S7" s="308"/>
      <c r="T7" s="308"/>
      <c r="U7" s="308"/>
      <c r="V7" s="897"/>
      <c r="W7" s="897"/>
      <c r="X7" s="897"/>
      <c r="Y7" s="897"/>
      <c r="Z7" s="897"/>
    </row>
    <row r="8" ht="15.75" customHeight="1">
      <c r="A8" s="308"/>
      <c r="B8" s="1018" t="s">
        <v>686</v>
      </c>
      <c r="C8" s="1027">
        <v>0.0</v>
      </c>
      <c r="D8" s="1028"/>
      <c r="E8" s="308"/>
      <c r="F8" s="459"/>
      <c r="G8" s="459"/>
      <c r="H8" s="459"/>
      <c r="I8" s="459"/>
      <c r="J8" s="1029"/>
      <c r="K8" s="1022"/>
      <c r="L8" s="1022"/>
      <c r="M8" s="308"/>
      <c r="N8" s="308"/>
      <c r="O8" s="308"/>
      <c r="P8" s="308"/>
      <c r="Q8" s="308"/>
      <c r="R8" s="308"/>
      <c r="S8" s="308"/>
      <c r="T8" s="308"/>
      <c r="U8" s="308"/>
      <c r="V8" s="897"/>
      <c r="W8" s="897"/>
      <c r="X8" s="897"/>
      <c r="Y8" s="897"/>
      <c r="Z8" s="897"/>
    </row>
    <row r="9" ht="15.75" customHeight="1">
      <c r="A9" s="308"/>
      <c r="B9" s="1018" t="s">
        <v>687</v>
      </c>
      <c r="C9" s="1055"/>
      <c r="D9" s="1031"/>
      <c r="E9" s="308"/>
      <c r="F9" s="1022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897"/>
      <c r="W9" s="897"/>
      <c r="X9" s="897"/>
      <c r="Y9" s="897"/>
      <c r="Z9" s="897"/>
    </row>
    <row r="10" ht="15.75" customHeight="1">
      <c r="A10" s="308"/>
      <c r="B10" s="1018" t="s">
        <v>688</v>
      </c>
      <c r="C10" s="1032">
        <v>5.0</v>
      </c>
      <c r="D10" s="1026"/>
      <c r="E10" s="308"/>
      <c r="F10" s="1022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897"/>
      <c r="W10" s="897"/>
      <c r="X10" s="897"/>
      <c r="Y10" s="897"/>
      <c r="Z10" s="897"/>
    </row>
    <row r="11" ht="15.75" customHeight="1">
      <c r="A11" s="308"/>
      <c r="B11" s="1018" t="s">
        <v>689</v>
      </c>
      <c r="C11" s="1034">
        <f>C10*12</f>
        <v>60</v>
      </c>
      <c r="D11" s="1034"/>
      <c r="E11" s="308"/>
      <c r="F11" s="459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897"/>
      <c r="W11" s="897"/>
      <c r="X11" s="897"/>
      <c r="Y11" s="897"/>
      <c r="Z11" s="897"/>
    </row>
    <row r="12" ht="15.75" customHeight="1">
      <c r="A12" s="308"/>
      <c r="B12" s="1018" t="s">
        <v>690</v>
      </c>
      <c r="C12" s="1035">
        <f>PMT(C8/12,C11,-C5)+C9</f>
        <v>0</v>
      </c>
      <c r="D12" s="1035"/>
      <c r="E12" s="308"/>
      <c r="F12" s="459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897"/>
      <c r="W12" s="897"/>
      <c r="X12" s="897"/>
      <c r="Y12" s="897"/>
      <c r="Z12" s="897"/>
    </row>
    <row r="13" ht="15.75" customHeight="1">
      <c r="A13" s="308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897"/>
      <c r="W13" s="897"/>
      <c r="X13" s="897"/>
      <c r="Y13" s="897"/>
      <c r="Z13" s="897"/>
    </row>
    <row r="14" ht="15.75" customHeight="1">
      <c r="A14" s="308"/>
      <c r="B14" s="800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897"/>
      <c r="W14" s="897"/>
      <c r="X14" s="897"/>
      <c r="Y14" s="897"/>
      <c r="Z14" s="897"/>
    </row>
    <row r="15" ht="24.75" customHeight="1">
      <c r="A15" s="308"/>
      <c r="B15" s="181" t="s">
        <v>691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308"/>
      <c r="Q15" s="308"/>
      <c r="R15" s="308"/>
      <c r="S15" s="308"/>
      <c r="T15" s="308"/>
      <c r="U15" s="308"/>
      <c r="V15" s="897"/>
      <c r="W15" s="897"/>
      <c r="X15" s="897"/>
      <c r="Y15" s="897"/>
      <c r="Z15" s="897"/>
    </row>
    <row r="16" ht="24.75" customHeight="1">
      <c r="A16" s="308"/>
      <c r="B16" s="1036"/>
      <c r="C16" s="1037" t="s">
        <v>692</v>
      </c>
      <c r="D16" s="1038"/>
      <c r="E16" s="1038">
        <f>YEAR(C6)</f>
        <v>2025</v>
      </c>
      <c r="F16" s="1038">
        <f t="shared" ref="F16:O16" si="1">E16+1</f>
        <v>2026</v>
      </c>
      <c r="G16" s="1038">
        <f t="shared" si="1"/>
        <v>2027</v>
      </c>
      <c r="H16" s="1038">
        <f t="shared" si="1"/>
        <v>2028</v>
      </c>
      <c r="I16" s="1038">
        <f t="shared" si="1"/>
        <v>2029</v>
      </c>
      <c r="J16" s="1038">
        <f t="shared" si="1"/>
        <v>2030</v>
      </c>
      <c r="K16" s="1038">
        <f t="shared" si="1"/>
        <v>2031</v>
      </c>
      <c r="L16" s="1038">
        <f t="shared" si="1"/>
        <v>2032</v>
      </c>
      <c r="M16" s="1038">
        <f t="shared" si="1"/>
        <v>2033</v>
      </c>
      <c r="N16" s="1038">
        <f t="shared" si="1"/>
        <v>2034</v>
      </c>
      <c r="O16" s="1038">
        <f t="shared" si="1"/>
        <v>2035</v>
      </c>
      <c r="P16" s="308"/>
      <c r="Q16" s="308"/>
      <c r="R16" s="308"/>
      <c r="S16" s="897"/>
      <c r="T16" s="897"/>
      <c r="U16" s="897"/>
      <c r="V16" s="897"/>
      <c r="W16" s="897"/>
      <c r="X16" s="897"/>
      <c r="Y16" s="897"/>
      <c r="Z16" s="897"/>
    </row>
    <row r="17" ht="15.75" customHeight="1">
      <c r="A17" s="308"/>
      <c r="B17" s="1039" t="s">
        <v>693</v>
      </c>
      <c r="C17" s="1040">
        <f t="shared" ref="C17:C19" si="3">SUM(E17:O17)</f>
        <v>0</v>
      </c>
      <c r="D17" s="1041"/>
      <c r="E17" s="1042">
        <f t="shared" ref="E17:O17" si="2">SUMIF($E$25:$E$539,E16,$H$25:$H$539)</f>
        <v>0</v>
      </c>
      <c r="F17" s="1042">
        <f t="shared" si="2"/>
        <v>0</v>
      </c>
      <c r="G17" s="1042">
        <f t="shared" si="2"/>
        <v>0</v>
      </c>
      <c r="H17" s="1042">
        <f t="shared" si="2"/>
        <v>0</v>
      </c>
      <c r="I17" s="1042">
        <f t="shared" si="2"/>
        <v>0</v>
      </c>
      <c r="J17" s="1042">
        <f t="shared" si="2"/>
        <v>0</v>
      </c>
      <c r="K17" s="1042">
        <f t="shared" si="2"/>
        <v>0</v>
      </c>
      <c r="L17" s="1042">
        <f t="shared" si="2"/>
        <v>0</v>
      </c>
      <c r="M17" s="1042">
        <f t="shared" si="2"/>
        <v>0</v>
      </c>
      <c r="N17" s="1042">
        <f t="shared" si="2"/>
        <v>0</v>
      </c>
      <c r="O17" s="1042">
        <f t="shared" si="2"/>
        <v>0</v>
      </c>
      <c r="P17" s="308"/>
      <c r="Q17" s="308"/>
      <c r="R17" s="308"/>
      <c r="S17" s="897"/>
      <c r="T17" s="897"/>
      <c r="U17" s="897"/>
      <c r="V17" s="897"/>
      <c r="W17" s="897"/>
      <c r="X17" s="897"/>
      <c r="Y17" s="897"/>
      <c r="Z17" s="897"/>
    </row>
    <row r="18" ht="15.75" customHeight="1">
      <c r="A18" s="308"/>
      <c r="B18" s="1039" t="s">
        <v>694</v>
      </c>
      <c r="C18" s="1040">
        <f t="shared" si="3"/>
        <v>0</v>
      </c>
      <c r="D18" s="1041"/>
      <c r="E18" s="1042">
        <f t="shared" ref="E18:O18" si="4">SUMIF($E$25:$E$539,E16,$I$25:$I$539)</f>
        <v>0</v>
      </c>
      <c r="F18" s="1042">
        <f t="shared" si="4"/>
        <v>0</v>
      </c>
      <c r="G18" s="1042">
        <f t="shared" si="4"/>
        <v>0</v>
      </c>
      <c r="H18" s="1042">
        <f t="shared" si="4"/>
        <v>0</v>
      </c>
      <c r="I18" s="1042">
        <f t="shared" si="4"/>
        <v>0</v>
      </c>
      <c r="J18" s="1042">
        <f t="shared" si="4"/>
        <v>0</v>
      </c>
      <c r="K18" s="1042">
        <f t="shared" si="4"/>
        <v>0</v>
      </c>
      <c r="L18" s="1042">
        <f t="shared" si="4"/>
        <v>0</v>
      </c>
      <c r="M18" s="1042">
        <f t="shared" si="4"/>
        <v>0</v>
      </c>
      <c r="N18" s="1042">
        <f t="shared" si="4"/>
        <v>0</v>
      </c>
      <c r="O18" s="1042">
        <f t="shared" si="4"/>
        <v>0</v>
      </c>
      <c r="P18" s="308"/>
      <c r="Q18" s="308"/>
      <c r="R18" s="308"/>
      <c r="S18" s="897"/>
      <c r="T18" s="897"/>
      <c r="U18" s="897"/>
      <c r="V18" s="897"/>
      <c r="W18" s="897"/>
      <c r="X18" s="897"/>
      <c r="Y18" s="897"/>
      <c r="Z18" s="897"/>
    </row>
    <row r="19" ht="15.75" customHeight="1">
      <c r="A19" s="308"/>
      <c r="B19" s="1039" t="s">
        <v>695</v>
      </c>
      <c r="C19" s="1040">
        <f t="shared" si="3"/>
        <v>0</v>
      </c>
      <c r="D19" s="1041"/>
      <c r="E19" s="1042">
        <f t="shared" ref="E19:O19" si="5">SUMIF($E$25:$E$539,E16,$G$25:$G$539)</f>
        <v>0</v>
      </c>
      <c r="F19" s="1042">
        <f t="shared" si="5"/>
        <v>0</v>
      </c>
      <c r="G19" s="1042">
        <f t="shared" si="5"/>
        <v>0</v>
      </c>
      <c r="H19" s="1042">
        <f t="shared" si="5"/>
        <v>0</v>
      </c>
      <c r="I19" s="1042">
        <f t="shared" si="5"/>
        <v>0</v>
      </c>
      <c r="J19" s="1042">
        <f t="shared" si="5"/>
        <v>0</v>
      </c>
      <c r="K19" s="1042">
        <f t="shared" si="5"/>
        <v>0</v>
      </c>
      <c r="L19" s="1042">
        <f t="shared" si="5"/>
        <v>0</v>
      </c>
      <c r="M19" s="1042">
        <f t="shared" si="5"/>
        <v>0</v>
      </c>
      <c r="N19" s="1042">
        <f t="shared" si="5"/>
        <v>0</v>
      </c>
      <c r="O19" s="1042">
        <f t="shared" si="5"/>
        <v>0</v>
      </c>
      <c r="P19" s="308"/>
      <c r="Q19" s="308"/>
      <c r="R19" s="308"/>
      <c r="S19" s="897"/>
      <c r="T19" s="897"/>
      <c r="U19" s="897"/>
      <c r="V19" s="897"/>
      <c r="W19" s="897"/>
      <c r="X19" s="897"/>
      <c r="Y19" s="897"/>
      <c r="Z19" s="897"/>
    </row>
    <row r="20" ht="15.75" customHeight="1">
      <c r="A20" s="308"/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897"/>
      <c r="T20" s="897"/>
      <c r="U20" s="897"/>
      <c r="V20" s="897"/>
      <c r="W20" s="897"/>
      <c r="X20" s="897"/>
      <c r="Y20" s="897"/>
      <c r="Z20" s="897"/>
    </row>
    <row r="21" ht="15.75" customHeight="1">
      <c r="A21" s="308"/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897"/>
      <c r="W21" s="897"/>
      <c r="X21" s="897"/>
      <c r="Y21" s="897"/>
      <c r="Z21" s="897"/>
    </row>
    <row r="22" ht="15.75" customHeight="1">
      <c r="A22" s="308"/>
      <c r="B22" s="308"/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897"/>
      <c r="W22" s="897"/>
      <c r="X22" s="897"/>
      <c r="Y22" s="897"/>
      <c r="Z22" s="897"/>
    </row>
    <row r="23" ht="24.75" customHeight="1">
      <c r="A23" s="308"/>
      <c r="B23" s="181" t="s">
        <v>696</v>
      </c>
      <c r="C23" s="181"/>
      <c r="D23" s="181"/>
      <c r="E23" s="181"/>
      <c r="F23" s="181"/>
      <c r="G23" s="181"/>
      <c r="H23" s="181"/>
      <c r="I23" s="181"/>
      <c r="J23" s="181"/>
      <c r="K23" s="1043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897"/>
      <c r="W23" s="897"/>
      <c r="X23" s="897"/>
      <c r="Y23" s="897"/>
      <c r="Z23" s="897"/>
    </row>
    <row r="24" ht="54.75" customHeight="1">
      <c r="A24" s="308"/>
      <c r="B24" s="1044" t="s">
        <v>697</v>
      </c>
      <c r="C24" s="1045" t="s">
        <v>698</v>
      </c>
      <c r="D24" s="1045" t="s">
        <v>159</v>
      </c>
      <c r="E24" s="1046" t="s">
        <v>699</v>
      </c>
      <c r="F24" s="1046" t="s">
        <v>700</v>
      </c>
      <c r="G24" s="1046" t="s">
        <v>701</v>
      </c>
      <c r="H24" s="1046" t="s">
        <v>702</v>
      </c>
      <c r="I24" s="1046" t="s">
        <v>703</v>
      </c>
      <c r="J24" s="1047" t="s">
        <v>704</v>
      </c>
      <c r="K24" s="1043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897"/>
      <c r="W24" s="897"/>
      <c r="X24" s="897"/>
      <c r="Y24" s="897"/>
      <c r="Z24" s="897"/>
    </row>
    <row r="25" ht="15.75" customHeight="1">
      <c r="A25" s="308"/>
      <c r="B25" s="1026">
        <v>1.0</v>
      </c>
      <c r="C25" s="1048">
        <f>EDATE(C6,1)</f>
        <v>45689</v>
      </c>
      <c r="D25" s="1049">
        <f t="shared" ref="D25:D374" si="6">MONTH(C25)</f>
        <v>2</v>
      </c>
      <c r="E25" s="1050">
        <f t="shared" ref="E25:E374" si="7">YEAR(C25)</f>
        <v>2025</v>
      </c>
      <c r="F25" s="1050" t="str">
        <f>C5</f>
        <v/>
      </c>
      <c r="G25" s="1050">
        <f t="shared" ref="G25:G374" si="8">J25-H25-I25</f>
        <v>0</v>
      </c>
      <c r="H25" s="1050">
        <f t="shared" ref="H25:H374" si="9">F25*($C$8/12)</f>
        <v>0</v>
      </c>
      <c r="I25" s="1050">
        <f t="shared" ref="I25:I374" si="10">IF(F25&lt;1,0,$C$9)</f>
        <v>0</v>
      </c>
      <c r="J25" s="1051">
        <f t="shared" ref="J25:J374" si="11">IF(F25&lt;1,0,IF(B25&lt;=$C$7,(H25+I25),$C$12))</f>
        <v>0</v>
      </c>
      <c r="K25" s="1043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897"/>
      <c r="W25" s="897"/>
      <c r="X25" s="897"/>
      <c r="Y25" s="897"/>
      <c r="Z25" s="897"/>
    </row>
    <row r="26" ht="15.75" customHeight="1">
      <c r="A26" s="308"/>
      <c r="B26" s="1026">
        <v>2.0</v>
      </c>
      <c r="C26" s="1048">
        <f t="shared" ref="C26:C374" si="12">EDATE(C25,1)</f>
        <v>45717</v>
      </c>
      <c r="D26" s="1049">
        <f t="shared" si="6"/>
        <v>3</v>
      </c>
      <c r="E26" s="1050">
        <f t="shared" si="7"/>
        <v>2025</v>
      </c>
      <c r="F26" s="1050">
        <f t="shared" ref="F26:F374" si="13">IF(F25-G25&lt;=0,0,F25-G25)</f>
        <v>0</v>
      </c>
      <c r="G26" s="1050">
        <f t="shared" si="8"/>
        <v>0</v>
      </c>
      <c r="H26" s="1050">
        <f t="shared" si="9"/>
        <v>0</v>
      </c>
      <c r="I26" s="1050">
        <f t="shared" si="10"/>
        <v>0</v>
      </c>
      <c r="J26" s="1051">
        <f t="shared" si="11"/>
        <v>0</v>
      </c>
      <c r="K26" s="1043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897"/>
      <c r="W26" s="897"/>
      <c r="X26" s="897"/>
      <c r="Y26" s="897"/>
      <c r="Z26" s="897"/>
    </row>
    <row r="27" ht="15.75" customHeight="1">
      <c r="A27" s="308"/>
      <c r="B27" s="1026">
        <v>3.0</v>
      </c>
      <c r="C27" s="1048">
        <f t="shared" si="12"/>
        <v>45748</v>
      </c>
      <c r="D27" s="1049">
        <f t="shared" si="6"/>
        <v>4</v>
      </c>
      <c r="E27" s="1050">
        <f t="shared" si="7"/>
        <v>2025</v>
      </c>
      <c r="F27" s="1050">
        <f t="shared" si="13"/>
        <v>0</v>
      </c>
      <c r="G27" s="1050">
        <f t="shared" si="8"/>
        <v>0</v>
      </c>
      <c r="H27" s="1050">
        <f t="shared" si="9"/>
        <v>0</v>
      </c>
      <c r="I27" s="1050">
        <f t="shared" si="10"/>
        <v>0</v>
      </c>
      <c r="J27" s="1051">
        <f t="shared" si="11"/>
        <v>0</v>
      </c>
      <c r="K27" s="1043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897"/>
      <c r="W27" s="897"/>
      <c r="X27" s="897"/>
      <c r="Y27" s="897"/>
      <c r="Z27" s="897"/>
    </row>
    <row r="28" ht="15.75" customHeight="1">
      <c r="A28" s="308"/>
      <c r="B28" s="1026">
        <v>4.0</v>
      </c>
      <c r="C28" s="1048">
        <f t="shared" si="12"/>
        <v>45778</v>
      </c>
      <c r="D28" s="1049">
        <f t="shared" si="6"/>
        <v>5</v>
      </c>
      <c r="E28" s="1050">
        <f t="shared" si="7"/>
        <v>2025</v>
      </c>
      <c r="F28" s="1050">
        <f t="shared" si="13"/>
        <v>0</v>
      </c>
      <c r="G28" s="1050">
        <f t="shared" si="8"/>
        <v>0</v>
      </c>
      <c r="H28" s="1050">
        <f t="shared" si="9"/>
        <v>0</v>
      </c>
      <c r="I28" s="1050">
        <f t="shared" si="10"/>
        <v>0</v>
      </c>
      <c r="J28" s="1051">
        <f t="shared" si="11"/>
        <v>0</v>
      </c>
      <c r="K28" s="1043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897"/>
      <c r="W28" s="897"/>
      <c r="X28" s="897"/>
      <c r="Y28" s="897"/>
      <c r="Z28" s="897"/>
    </row>
    <row r="29" ht="15.75" customHeight="1">
      <c r="A29" s="308"/>
      <c r="B29" s="1026">
        <v>5.0</v>
      </c>
      <c r="C29" s="1048">
        <f t="shared" si="12"/>
        <v>45809</v>
      </c>
      <c r="D29" s="1049">
        <f t="shared" si="6"/>
        <v>6</v>
      </c>
      <c r="E29" s="1050">
        <f t="shared" si="7"/>
        <v>2025</v>
      </c>
      <c r="F29" s="1050">
        <f t="shared" si="13"/>
        <v>0</v>
      </c>
      <c r="G29" s="1050">
        <f t="shared" si="8"/>
        <v>0</v>
      </c>
      <c r="H29" s="1050">
        <f t="shared" si="9"/>
        <v>0</v>
      </c>
      <c r="I29" s="1050">
        <f t="shared" si="10"/>
        <v>0</v>
      </c>
      <c r="J29" s="1051">
        <f t="shared" si="11"/>
        <v>0</v>
      </c>
      <c r="K29" s="1043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897"/>
      <c r="W29" s="897"/>
      <c r="X29" s="897"/>
      <c r="Y29" s="897"/>
      <c r="Z29" s="897"/>
    </row>
    <row r="30" ht="15.75" customHeight="1">
      <c r="A30" s="308"/>
      <c r="B30" s="1026">
        <v>6.0</v>
      </c>
      <c r="C30" s="1048">
        <f t="shared" si="12"/>
        <v>45839</v>
      </c>
      <c r="D30" s="1049">
        <f t="shared" si="6"/>
        <v>7</v>
      </c>
      <c r="E30" s="1050">
        <f t="shared" si="7"/>
        <v>2025</v>
      </c>
      <c r="F30" s="1050">
        <f t="shared" si="13"/>
        <v>0</v>
      </c>
      <c r="G30" s="1050">
        <f t="shared" si="8"/>
        <v>0</v>
      </c>
      <c r="H30" s="1050">
        <f t="shared" si="9"/>
        <v>0</v>
      </c>
      <c r="I30" s="1050">
        <f t="shared" si="10"/>
        <v>0</v>
      </c>
      <c r="J30" s="1051">
        <f t="shared" si="11"/>
        <v>0</v>
      </c>
      <c r="K30" s="1043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897"/>
      <c r="W30" s="897"/>
      <c r="X30" s="897"/>
      <c r="Y30" s="897"/>
      <c r="Z30" s="897"/>
    </row>
    <row r="31" ht="15.75" customHeight="1">
      <c r="A31" s="308"/>
      <c r="B31" s="1026">
        <v>7.0</v>
      </c>
      <c r="C31" s="1048">
        <f t="shared" si="12"/>
        <v>45870</v>
      </c>
      <c r="D31" s="1049">
        <f t="shared" si="6"/>
        <v>8</v>
      </c>
      <c r="E31" s="1050">
        <f t="shared" si="7"/>
        <v>2025</v>
      </c>
      <c r="F31" s="1050">
        <f t="shared" si="13"/>
        <v>0</v>
      </c>
      <c r="G31" s="1050">
        <f t="shared" si="8"/>
        <v>0</v>
      </c>
      <c r="H31" s="1050">
        <f t="shared" si="9"/>
        <v>0</v>
      </c>
      <c r="I31" s="1050">
        <f t="shared" si="10"/>
        <v>0</v>
      </c>
      <c r="J31" s="1051">
        <f t="shared" si="11"/>
        <v>0</v>
      </c>
      <c r="K31" s="1043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897"/>
      <c r="W31" s="897"/>
      <c r="X31" s="897"/>
      <c r="Y31" s="897"/>
      <c r="Z31" s="897"/>
    </row>
    <row r="32" ht="15.75" customHeight="1">
      <c r="A32" s="308"/>
      <c r="B32" s="1026">
        <v>8.0</v>
      </c>
      <c r="C32" s="1048">
        <f t="shared" si="12"/>
        <v>45901</v>
      </c>
      <c r="D32" s="1049">
        <f t="shared" si="6"/>
        <v>9</v>
      </c>
      <c r="E32" s="1050">
        <f t="shared" si="7"/>
        <v>2025</v>
      </c>
      <c r="F32" s="1050">
        <f t="shared" si="13"/>
        <v>0</v>
      </c>
      <c r="G32" s="1050">
        <f t="shared" si="8"/>
        <v>0</v>
      </c>
      <c r="H32" s="1050">
        <f t="shared" si="9"/>
        <v>0</v>
      </c>
      <c r="I32" s="1050">
        <f t="shared" si="10"/>
        <v>0</v>
      </c>
      <c r="J32" s="1051">
        <f t="shared" si="11"/>
        <v>0</v>
      </c>
      <c r="K32" s="1043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897"/>
      <c r="W32" s="897"/>
      <c r="X32" s="897"/>
      <c r="Y32" s="897"/>
      <c r="Z32" s="897"/>
    </row>
    <row r="33" ht="15.75" customHeight="1">
      <c r="A33" s="308"/>
      <c r="B33" s="1026">
        <v>9.0</v>
      </c>
      <c r="C33" s="1048">
        <f t="shared" si="12"/>
        <v>45931</v>
      </c>
      <c r="D33" s="1049">
        <f t="shared" si="6"/>
        <v>10</v>
      </c>
      <c r="E33" s="1050">
        <f t="shared" si="7"/>
        <v>2025</v>
      </c>
      <c r="F33" s="1050">
        <f t="shared" si="13"/>
        <v>0</v>
      </c>
      <c r="G33" s="1050">
        <f t="shared" si="8"/>
        <v>0</v>
      </c>
      <c r="H33" s="1050">
        <f t="shared" si="9"/>
        <v>0</v>
      </c>
      <c r="I33" s="1050">
        <f t="shared" si="10"/>
        <v>0</v>
      </c>
      <c r="J33" s="1051">
        <f t="shared" si="11"/>
        <v>0</v>
      </c>
      <c r="K33" s="1043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897"/>
      <c r="W33" s="897"/>
      <c r="X33" s="897"/>
      <c r="Y33" s="897"/>
      <c r="Z33" s="897"/>
    </row>
    <row r="34" ht="15.75" customHeight="1">
      <c r="A34" s="308"/>
      <c r="B34" s="1026">
        <v>10.0</v>
      </c>
      <c r="C34" s="1048">
        <f t="shared" si="12"/>
        <v>45962</v>
      </c>
      <c r="D34" s="1049">
        <f t="shared" si="6"/>
        <v>11</v>
      </c>
      <c r="E34" s="1050">
        <f t="shared" si="7"/>
        <v>2025</v>
      </c>
      <c r="F34" s="1050">
        <f t="shared" si="13"/>
        <v>0</v>
      </c>
      <c r="G34" s="1050">
        <f t="shared" si="8"/>
        <v>0</v>
      </c>
      <c r="H34" s="1050">
        <f t="shared" si="9"/>
        <v>0</v>
      </c>
      <c r="I34" s="1050">
        <f t="shared" si="10"/>
        <v>0</v>
      </c>
      <c r="J34" s="1051">
        <f t="shared" si="11"/>
        <v>0</v>
      </c>
      <c r="K34" s="1043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897"/>
      <c r="W34" s="897"/>
      <c r="X34" s="897"/>
      <c r="Y34" s="897"/>
      <c r="Z34" s="897"/>
    </row>
    <row r="35" ht="15.75" customHeight="1">
      <c r="A35" s="308"/>
      <c r="B35" s="1026">
        <v>11.0</v>
      </c>
      <c r="C35" s="1048">
        <f t="shared" si="12"/>
        <v>45992</v>
      </c>
      <c r="D35" s="1049">
        <f t="shared" si="6"/>
        <v>12</v>
      </c>
      <c r="E35" s="1050">
        <f t="shared" si="7"/>
        <v>2025</v>
      </c>
      <c r="F35" s="1050">
        <f t="shared" si="13"/>
        <v>0</v>
      </c>
      <c r="G35" s="1050">
        <f t="shared" si="8"/>
        <v>0</v>
      </c>
      <c r="H35" s="1050">
        <f t="shared" si="9"/>
        <v>0</v>
      </c>
      <c r="I35" s="1050">
        <f t="shared" si="10"/>
        <v>0</v>
      </c>
      <c r="J35" s="1051">
        <f t="shared" si="11"/>
        <v>0</v>
      </c>
      <c r="K35" s="1043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897"/>
      <c r="W35" s="897"/>
      <c r="X35" s="897"/>
      <c r="Y35" s="897"/>
      <c r="Z35" s="897"/>
    </row>
    <row r="36" ht="15.75" customHeight="1">
      <c r="A36" s="308"/>
      <c r="B36" s="1026">
        <v>12.0</v>
      </c>
      <c r="C36" s="1048">
        <f t="shared" si="12"/>
        <v>46023</v>
      </c>
      <c r="D36" s="1049">
        <f t="shared" si="6"/>
        <v>1</v>
      </c>
      <c r="E36" s="1050">
        <f t="shared" si="7"/>
        <v>2026</v>
      </c>
      <c r="F36" s="1050">
        <f t="shared" si="13"/>
        <v>0</v>
      </c>
      <c r="G36" s="1050">
        <f t="shared" si="8"/>
        <v>0</v>
      </c>
      <c r="H36" s="1050">
        <f t="shared" si="9"/>
        <v>0</v>
      </c>
      <c r="I36" s="1050">
        <f t="shared" si="10"/>
        <v>0</v>
      </c>
      <c r="J36" s="1051">
        <f t="shared" si="11"/>
        <v>0</v>
      </c>
      <c r="K36" s="1043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897"/>
      <c r="W36" s="897"/>
      <c r="X36" s="897"/>
      <c r="Y36" s="897"/>
      <c r="Z36" s="897"/>
    </row>
    <row r="37" ht="15.75" customHeight="1">
      <c r="A37" s="308"/>
      <c r="B37" s="1026">
        <v>13.0</v>
      </c>
      <c r="C37" s="1048">
        <f t="shared" si="12"/>
        <v>46054</v>
      </c>
      <c r="D37" s="1049">
        <f t="shared" si="6"/>
        <v>2</v>
      </c>
      <c r="E37" s="1050">
        <f t="shared" si="7"/>
        <v>2026</v>
      </c>
      <c r="F37" s="1050">
        <f t="shared" si="13"/>
        <v>0</v>
      </c>
      <c r="G37" s="1050">
        <f t="shared" si="8"/>
        <v>0</v>
      </c>
      <c r="H37" s="1050">
        <f t="shared" si="9"/>
        <v>0</v>
      </c>
      <c r="I37" s="1050">
        <f t="shared" si="10"/>
        <v>0</v>
      </c>
      <c r="J37" s="1051">
        <f t="shared" si="11"/>
        <v>0</v>
      </c>
      <c r="K37" s="1043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897"/>
      <c r="W37" s="897"/>
      <c r="X37" s="897"/>
      <c r="Y37" s="897"/>
      <c r="Z37" s="897"/>
    </row>
    <row r="38" ht="15.75" customHeight="1">
      <c r="A38" s="308"/>
      <c r="B38" s="1026">
        <v>14.0</v>
      </c>
      <c r="C38" s="1048">
        <f t="shared" si="12"/>
        <v>46082</v>
      </c>
      <c r="D38" s="1049">
        <f t="shared" si="6"/>
        <v>3</v>
      </c>
      <c r="E38" s="1050">
        <f t="shared" si="7"/>
        <v>2026</v>
      </c>
      <c r="F38" s="1050">
        <f t="shared" si="13"/>
        <v>0</v>
      </c>
      <c r="G38" s="1050">
        <f t="shared" si="8"/>
        <v>0</v>
      </c>
      <c r="H38" s="1050">
        <f t="shared" si="9"/>
        <v>0</v>
      </c>
      <c r="I38" s="1050">
        <f t="shared" si="10"/>
        <v>0</v>
      </c>
      <c r="J38" s="1051">
        <f t="shared" si="11"/>
        <v>0</v>
      </c>
      <c r="K38" s="1043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897"/>
      <c r="W38" s="897"/>
      <c r="X38" s="897"/>
      <c r="Y38" s="897"/>
      <c r="Z38" s="897"/>
    </row>
    <row r="39" ht="15.75" customHeight="1">
      <c r="A39" s="308"/>
      <c r="B39" s="1026">
        <v>15.0</v>
      </c>
      <c r="C39" s="1048">
        <f t="shared" si="12"/>
        <v>46113</v>
      </c>
      <c r="D39" s="1049">
        <f t="shared" si="6"/>
        <v>4</v>
      </c>
      <c r="E39" s="1050">
        <f t="shared" si="7"/>
        <v>2026</v>
      </c>
      <c r="F39" s="1050">
        <f t="shared" si="13"/>
        <v>0</v>
      </c>
      <c r="G39" s="1050">
        <f t="shared" si="8"/>
        <v>0</v>
      </c>
      <c r="H39" s="1050">
        <f t="shared" si="9"/>
        <v>0</v>
      </c>
      <c r="I39" s="1050">
        <f t="shared" si="10"/>
        <v>0</v>
      </c>
      <c r="J39" s="1051">
        <f t="shared" si="11"/>
        <v>0</v>
      </c>
      <c r="K39" s="1043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897"/>
      <c r="W39" s="897"/>
      <c r="X39" s="897"/>
      <c r="Y39" s="897"/>
      <c r="Z39" s="897"/>
    </row>
    <row r="40" ht="15.75" customHeight="1">
      <c r="A40" s="308"/>
      <c r="B40" s="1026">
        <v>16.0</v>
      </c>
      <c r="C40" s="1048">
        <f t="shared" si="12"/>
        <v>46143</v>
      </c>
      <c r="D40" s="1049">
        <f t="shared" si="6"/>
        <v>5</v>
      </c>
      <c r="E40" s="1050">
        <f t="shared" si="7"/>
        <v>2026</v>
      </c>
      <c r="F40" s="1050">
        <f t="shared" si="13"/>
        <v>0</v>
      </c>
      <c r="G40" s="1050">
        <f t="shared" si="8"/>
        <v>0</v>
      </c>
      <c r="H40" s="1050">
        <f t="shared" si="9"/>
        <v>0</v>
      </c>
      <c r="I40" s="1050">
        <f t="shared" si="10"/>
        <v>0</v>
      </c>
      <c r="J40" s="1051">
        <f t="shared" si="11"/>
        <v>0</v>
      </c>
      <c r="K40" s="1043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897"/>
      <c r="W40" s="897"/>
      <c r="X40" s="897"/>
      <c r="Y40" s="897"/>
      <c r="Z40" s="897"/>
    </row>
    <row r="41" ht="15.75" customHeight="1">
      <c r="A41" s="308"/>
      <c r="B41" s="1026">
        <v>17.0</v>
      </c>
      <c r="C41" s="1048">
        <f t="shared" si="12"/>
        <v>46174</v>
      </c>
      <c r="D41" s="1049">
        <f t="shared" si="6"/>
        <v>6</v>
      </c>
      <c r="E41" s="1050">
        <f t="shared" si="7"/>
        <v>2026</v>
      </c>
      <c r="F41" s="1050">
        <f t="shared" si="13"/>
        <v>0</v>
      </c>
      <c r="G41" s="1050">
        <f t="shared" si="8"/>
        <v>0</v>
      </c>
      <c r="H41" s="1050">
        <f t="shared" si="9"/>
        <v>0</v>
      </c>
      <c r="I41" s="1050">
        <f t="shared" si="10"/>
        <v>0</v>
      </c>
      <c r="J41" s="1051">
        <f t="shared" si="11"/>
        <v>0</v>
      </c>
      <c r="K41" s="1043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897"/>
      <c r="W41" s="897"/>
      <c r="X41" s="897"/>
      <c r="Y41" s="897"/>
      <c r="Z41" s="897"/>
    </row>
    <row r="42" ht="15.75" customHeight="1">
      <c r="A42" s="308"/>
      <c r="B42" s="1026">
        <v>18.0</v>
      </c>
      <c r="C42" s="1048">
        <f t="shared" si="12"/>
        <v>46204</v>
      </c>
      <c r="D42" s="1049">
        <f t="shared" si="6"/>
        <v>7</v>
      </c>
      <c r="E42" s="1050">
        <f t="shared" si="7"/>
        <v>2026</v>
      </c>
      <c r="F42" s="1050">
        <f t="shared" si="13"/>
        <v>0</v>
      </c>
      <c r="G42" s="1050">
        <f t="shared" si="8"/>
        <v>0</v>
      </c>
      <c r="H42" s="1050">
        <f t="shared" si="9"/>
        <v>0</v>
      </c>
      <c r="I42" s="1050">
        <f t="shared" si="10"/>
        <v>0</v>
      </c>
      <c r="J42" s="1051">
        <f t="shared" si="11"/>
        <v>0</v>
      </c>
      <c r="K42" s="1043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897"/>
      <c r="W42" s="897"/>
      <c r="X42" s="897"/>
      <c r="Y42" s="897"/>
      <c r="Z42" s="897"/>
    </row>
    <row r="43" ht="15.75" customHeight="1">
      <c r="A43" s="308"/>
      <c r="B43" s="1026">
        <v>19.0</v>
      </c>
      <c r="C43" s="1048">
        <f t="shared" si="12"/>
        <v>46235</v>
      </c>
      <c r="D43" s="1049">
        <f t="shared" si="6"/>
        <v>8</v>
      </c>
      <c r="E43" s="1050">
        <f t="shared" si="7"/>
        <v>2026</v>
      </c>
      <c r="F43" s="1050">
        <f t="shared" si="13"/>
        <v>0</v>
      </c>
      <c r="G43" s="1050">
        <f t="shared" si="8"/>
        <v>0</v>
      </c>
      <c r="H43" s="1050">
        <f t="shared" si="9"/>
        <v>0</v>
      </c>
      <c r="I43" s="1050">
        <f t="shared" si="10"/>
        <v>0</v>
      </c>
      <c r="J43" s="1051">
        <f t="shared" si="11"/>
        <v>0</v>
      </c>
      <c r="K43" s="1043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897"/>
      <c r="W43" s="897"/>
      <c r="X43" s="897"/>
      <c r="Y43" s="897"/>
      <c r="Z43" s="897"/>
    </row>
    <row r="44" ht="15.75" customHeight="1">
      <c r="A44" s="308"/>
      <c r="B44" s="1026">
        <v>20.0</v>
      </c>
      <c r="C44" s="1048">
        <f t="shared" si="12"/>
        <v>46266</v>
      </c>
      <c r="D44" s="1049">
        <f t="shared" si="6"/>
        <v>9</v>
      </c>
      <c r="E44" s="1050">
        <f t="shared" si="7"/>
        <v>2026</v>
      </c>
      <c r="F44" s="1050">
        <f t="shared" si="13"/>
        <v>0</v>
      </c>
      <c r="G44" s="1050">
        <f t="shared" si="8"/>
        <v>0</v>
      </c>
      <c r="H44" s="1050">
        <f t="shared" si="9"/>
        <v>0</v>
      </c>
      <c r="I44" s="1050">
        <f t="shared" si="10"/>
        <v>0</v>
      </c>
      <c r="J44" s="1051">
        <f t="shared" si="11"/>
        <v>0</v>
      </c>
      <c r="K44" s="1043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897"/>
      <c r="W44" s="897"/>
      <c r="X44" s="897"/>
      <c r="Y44" s="897"/>
      <c r="Z44" s="897"/>
    </row>
    <row r="45" ht="15.75" customHeight="1">
      <c r="A45" s="308"/>
      <c r="B45" s="1026">
        <v>21.0</v>
      </c>
      <c r="C45" s="1048">
        <f t="shared" si="12"/>
        <v>46296</v>
      </c>
      <c r="D45" s="1049">
        <f t="shared" si="6"/>
        <v>10</v>
      </c>
      <c r="E45" s="1050">
        <f t="shared" si="7"/>
        <v>2026</v>
      </c>
      <c r="F45" s="1050">
        <f t="shared" si="13"/>
        <v>0</v>
      </c>
      <c r="G45" s="1050">
        <f t="shared" si="8"/>
        <v>0</v>
      </c>
      <c r="H45" s="1050">
        <f t="shared" si="9"/>
        <v>0</v>
      </c>
      <c r="I45" s="1050">
        <f t="shared" si="10"/>
        <v>0</v>
      </c>
      <c r="J45" s="1051">
        <f t="shared" si="11"/>
        <v>0</v>
      </c>
      <c r="K45" s="1043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897"/>
      <c r="W45" s="897"/>
      <c r="X45" s="897"/>
      <c r="Y45" s="897"/>
      <c r="Z45" s="897"/>
    </row>
    <row r="46" ht="15.75" customHeight="1">
      <c r="A46" s="308"/>
      <c r="B46" s="1026">
        <v>22.0</v>
      </c>
      <c r="C46" s="1048">
        <f t="shared" si="12"/>
        <v>46327</v>
      </c>
      <c r="D46" s="1049">
        <f t="shared" si="6"/>
        <v>11</v>
      </c>
      <c r="E46" s="1050">
        <f t="shared" si="7"/>
        <v>2026</v>
      </c>
      <c r="F46" s="1050">
        <f t="shared" si="13"/>
        <v>0</v>
      </c>
      <c r="G46" s="1050">
        <f t="shared" si="8"/>
        <v>0</v>
      </c>
      <c r="H46" s="1050">
        <f t="shared" si="9"/>
        <v>0</v>
      </c>
      <c r="I46" s="1050">
        <f t="shared" si="10"/>
        <v>0</v>
      </c>
      <c r="J46" s="1051">
        <f t="shared" si="11"/>
        <v>0</v>
      </c>
      <c r="K46" s="1043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897"/>
      <c r="W46" s="897"/>
      <c r="X46" s="897"/>
      <c r="Y46" s="897"/>
      <c r="Z46" s="897"/>
    </row>
    <row r="47" ht="15.75" customHeight="1">
      <c r="A47" s="308"/>
      <c r="B47" s="1026">
        <v>23.0</v>
      </c>
      <c r="C47" s="1048">
        <f t="shared" si="12"/>
        <v>46357</v>
      </c>
      <c r="D47" s="1049">
        <f t="shared" si="6"/>
        <v>12</v>
      </c>
      <c r="E47" s="1050">
        <f t="shared" si="7"/>
        <v>2026</v>
      </c>
      <c r="F47" s="1050">
        <f t="shared" si="13"/>
        <v>0</v>
      </c>
      <c r="G47" s="1050">
        <f t="shared" si="8"/>
        <v>0</v>
      </c>
      <c r="H47" s="1050">
        <f t="shared" si="9"/>
        <v>0</v>
      </c>
      <c r="I47" s="1050">
        <f t="shared" si="10"/>
        <v>0</v>
      </c>
      <c r="J47" s="1051">
        <f t="shared" si="11"/>
        <v>0</v>
      </c>
      <c r="K47" s="1043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897"/>
      <c r="W47" s="897"/>
      <c r="X47" s="897"/>
      <c r="Y47" s="897"/>
      <c r="Z47" s="897"/>
    </row>
    <row r="48" ht="15.75" customHeight="1">
      <c r="A48" s="308"/>
      <c r="B48" s="1026">
        <v>24.0</v>
      </c>
      <c r="C48" s="1048">
        <f t="shared" si="12"/>
        <v>46388</v>
      </c>
      <c r="D48" s="1049">
        <f t="shared" si="6"/>
        <v>1</v>
      </c>
      <c r="E48" s="1050">
        <f t="shared" si="7"/>
        <v>2027</v>
      </c>
      <c r="F48" s="1050">
        <f t="shared" si="13"/>
        <v>0</v>
      </c>
      <c r="G48" s="1050">
        <f t="shared" si="8"/>
        <v>0</v>
      </c>
      <c r="H48" s="1050">
        <f t="shared" si="9"/>
        <v>0</v>
      </c>
      <c r="I48" s="1050">
        <f t="shared" si="10"/>
        <v>0</v>
      </c>
      <c r="J48" s="1051">
        <f t="shared" si="11"/>
        <v>0</v>
      </c>
      <c r="K48" s="1043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897"/>
      <c r="W48" s="897"/>
      <c r="X48" s="897"/>
      <c r="Y48" s="897"/>
      <c r="Z48" s="897"/>
    </row>
    <row r="49" ht="15.75" customHeight="1">
      <c r="A49" s="308"/>
      <c r="B49" s="1026">
        <v>25.0</v>
      </c>
      <c r="C49" s="1048">
        <f t="shared" si="12"/>
        <v>46419</v>
      </c>
      <c r="D49" s="1049">
        <f t="shared" si="6"/>
        <v>2</v>
      </c>
      <c r="E49" s="1050">
        <f t="shared" si="7"/>
        <v>2027</v>
      </c>
      <c r="F49" s="1050">
        <f t="shared" si="13"/>
        <v>0</v>
      </c>
      <c r="G49" s="1050">
        <f t="shared" si="8"/>
        <v>0</v>
      </c>
      <c r="H49" s="1050">
        <f t="shared" si="9"/>
        <v>0</v>
      </c>
      <c r="I49" s="1050">
        <f t="shared" si="10"/>
        <v>0</v>
      </c>
      <c r="J49" s="1051">
        <f t="shared" si="11"/>
        <v>0</v>
      </c>
      <c r="K49" s="1043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897"/>
      <c r="W49" s="897"/>
      <c r="X49" s="897"/>
      <c r="Y49" s="897"/>
      <c r="Z49" s="897"/>
    </row>
    <row r="50" ht="15.75" customHeight="1">
      <c r="A50" s="308"/>
      <c r="B50" s="1026">
        <v>26.0</v>
      </c>
      <c r="C50" s="1048">
        <f t="shared" si="12"/>
        <v>46447</v>
      </c>
      <c r="D50" s="1049">
        <f t="shared" si="6"/>
        <v>3</v>
      </c>
      <c r="E50" s="1050">
        <f t="shared" si="7"/>
        <v>2027</v>
      </c>
      <c r="F50" s="1050">
        <f t="shared" si="13"/>
        <v>0</v>
      </c>
      <c r="G50" s="1050">
        <f t="shared" si="8"/>
        <v>0</v>
      </c>
      <c r="H50" s="1050">
        <f t="shared" si="9"/>
        <v>0</v>
      </c>
      <c r="I50" s="1050">
        <f t="shared" si="10"/>
        <v>0</v>
      </c>
      <c r="J50" s="1051">
        <f t="shared" si="11"/>
        <v>0</v>
      </c>
      <c r="K50" s="1043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897"/>
      <c r="W50" s="897"/>
      <c r="X50" s="897"/>
      <c r="Y50" s="897"/>
      <c r="Z50" s="897"/>
    </row>
    <row r="51" ht="15.75" customHeight="1">
      <c r="A51" s="308"/>
      <c r="B51" s="1026">
        <v>27.0</v>
      </c>
      <c r="C51" s="1048">
        <f t="shared" si="12"/>
        <v>46478</v>
      </c>
      <c r="D51" s="1049">
        <f t="shared" si="6"/>
        <v>4</v>
      </c>
      <c r="E51" s="1050">
        <f t="shared" si="7"/>
        <v>2027</v>
      </c>
      <c r="F51" s="1050">
        <f t="shared" si="13"/>
        <v>0</v>
      </c>
      <c r="G51" s="1050">
        <f t="shared" si="8"/>
        <v>0</v>
      </c>
      <c r="H51" s="1050">
        <f t="shared" si="9"/>
        <v>0</v>
      </c>
      <c r="I51" s="1050">
        <f t="shared" si="10"/>
        <v>0</v>
      </c>
      <c r="J51" s="1051">
        <f t="shared" si="11"/>
        <v>0</v>
      </c>
      <c r="K51" s="1043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897"/>
      <c r="W51" s="897"/>
      <c r="X51" s="897"/>
      <c r="Y51" s="897"/>
      <c r="Z51" s="897"/>
    </row>
    <row r="52" ht="15.75" customHeight="1">
      <c r="A52" s="308"/>
      <c r="B52" s="1026">
        <v>28.0</v>
      </c>
      <c r="C52" s="1048">
        <f t="shared" si="12"/>
        <v>46508</v>
      </c>
      <c r="D52" s="1049">
        <f t="shared" si="6"/>
        <v>5</v>
      </c>
      <c r="E52" s="1050">
        <f t="shared" si="7"/>
        <v>2027</v>
      </c>
      <c r="F52" s="1050">
        <f t="shared" si="13"/>
        <v>0</v>
      </c>
      <c r="G52" s="1050">
        <f t="shared" si="8"/>
        <v>0</v>
      </c>
      <c r="H52" s="1050">
        <f t="shared" si="9"/>
        <v>0</v>
      </c>
      <c r="I52" s="1050">
        <f t="shared" si="10"/>
        <v>0</v>
      </c>
      <c r="J52" s="1051">
        <f t="shared" si="11"/>
        <v>0</v>
      </c>
      <c r="K52" s="1043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897"/>
      <c r="W52" s="897"/>
      <c r="X52" s="897"/>
      <c r="Y52" s="897"/>
      <c r="Z52" s="897"/>
    </row>
    <row r="53" ht="15.75" customHeight="1">
      <c r="A53" s="308"/>
      <c r="B53" s="1026">
        <v>29.0</v>
      </c>
      <c r="C53" s="1048">
        <f t="shared" si="12"/>
        <v>46539</v>
      </c>
      <c r="D53" s="1049">
        <f t="shared" si="6"/>
        <v>6</v>
      </c>
      <c r="E53" s="1050">
        <f t="shared" si="7"/>
        <v>2027</v>
      </c>
      <c r="F53" s="1050">
        <f t="shared" si="13"/>
        <v>0</v>
      </c>
      <c r="G53" s="1050">
        <f t="shared" si="8"/>
        <v>0</v>
      </c>
      <c r="H53" s="1050">
        <f t="shared" si="9"/>
        <v>0</v>
      </c>
      <c r="I53" s="1050">
        <f t="shared" si="10"/>
        <v>0</v>
      </c>
      <c r="J53" s="1051">
        <f t="shared" si="11"/>
        <v>0</v>
      </c>
      <c r="K53" s="1043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897"/>
      <c r="W53" s="897"/>
      <c r="X53" s="897"/>
      <c r="Y53" s="897"/>
      <c r="Z53" s="897"/>
    </row>
    <row r="54" ht="15.75" customHeight="1">
      <c r="A54" s="308"/>
      <c r="B54" s="1026">
        <v>30.0</v>
      </c>
      <c r="C54" s="1048">
        <f t="shared" si="12"/>
        <v>46569</v>
      </c>
      <c r="D54" s="1049">
        <f t="shared" si="6"/>
        <v>7</v>
      </c>
      <c r="E54" s="1050">
        <f t="shared" si="7"/>
        <v>2027</v>
      </c>
      <c r="F54" s="1050">
        <f t="shared" si="13"/>
        <v>0</v>
      </c>
      <c r="G54" s="1050">
        <f t="shared" si="8"/>
        <v>0</v>
      </c>
      <c r="H54" s="1050">
        <f t="shared" si="9"/>
        <v>0</v>
      </c>
      <c r="I54" s="1050">
        <f t="shared" si="10"/>
        <v>0</v>
      </c>
      <c r="J54" s="1051">
        <f t="shared" si="11"/>
        <v>0</v>
      </c>
      <c r="K54" s="1043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897"/>
      <c r="W54" s="897"/>
      <c r="X54" s="897"/>
      <c r="Y54" s="897"/>
      <c r="Z54" s="897"/>
    </row>
    <row r="55" ht="15.75" customHeight="1">
      <c r="A55" s="308"/>
      <c r="B55" s="1026">
        <v>31.0</v>
      </c>
      <c r="C55" s="1048">
        <f t="shared" si="12"/>
        <v>46600</v>
      </c>
      <c r="D55" s="1049">
        <f t="shared" si="6"/>
        <v>8</v>
      </c>
      <c r="E55" s="1050">
        <f t="shared" si="7"/>
        <v>2027</v>
      </c>
      <c r="F55" s="1050">
        <f t="shared" si="13"/>
        <v>0</v>
      </c>
      <c r="G55" s="1050">
        <f t="shared" si="8"/>
        <v>0</v>
      </c>
      <c r="H55" s="1050">
        <f t="shared" si="9"/>
        <v>0</v>
      </c>
      <c r="I55" s="1050">
        <f t="shared" si="10"/>
        <v>0</v>
      </c>
      <c r="J55" s="1051">
        <f t="shared" si="11"/>
        <v>0</v>
      </c>
      <c r="K55" s="1043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897"/>
      <c r="W55" s="897"/>
      <c r="X55" s="897"/>
      <c r="Y55" s="897"/>
      <c r="Z55" s="897"/>
    </row>
    <row r="56" ht="15.75" customHeight="1">
      <c r="A56" s="308"/>
      <c r="B56" s="1026">
        <v>32.0</v>
      </c>
      <c r="C56" s="1048">
        <f t="shared" si="12"/>
        <v>46631</v>
      </c>
      <c r="D56" s="1049">
        <f t="shared" si="6"/>
        <v>9</v>
      </c>
      <c r="E56" s="1050">
        <f t="shared" si="7"/>
        <v>2027</v>
      </c>
      <c r="F56" s="1050">
        <f t="shared" si="13"/>
        <v>0</v>
      </c>
      <c r="G56" s="1050">
        <f t="shared" si="8"/>
        <v>0</v>
      </c>
      <c r="H56" s="1050">
        <f t="shared" si="9"/>
        <v>0</v>
      </c>
      <c r="I56" s="1050">
        <f t="shared" si="10"/>
        <v>0</v>
      </c>
      <c r="J56" s="1051">
        <f t="shared" si="11"/>
        <v>0</v>
      </c>
      <c r="K56" s="1043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897"/>
      <c r="W56" s="897"/>
      <c r="X56" s="897"/>
      <c r="Y56" s="897"/>
      <c r="Z56" s="897"/>
    </row>
    <row r="57" ht="15.75" customHeight="1">
      <c r="A57" s="308"/>
      <c r="B57" s="1026">
        <v>33.0</v>
      </c>
      <c r="C57" s="1048">
        <f t="shared" si="12"/>
        <v>46661</v>
      </c>
      <c r="D57" s="1049">
        <f t="shared" si="6"/>
        <v>10</v>
      </c>
      <c r="E57" s="1050">
        <f t="shared" si="7"/>
        <v>2027</v>
      </c>
      <c r="F57" s="1050">
        <f t="shared" si="13"/>
        <v>0</v>
      </c>
      <c r="G57" s="1050">
        <f t="shared" si="8"/>
        <v>0</v>
      </c>
      <c r="H57" s="1050">
        <f t="shared" si="9"/>
        <v>0</v>
      </c>
      <c r="I57" s="1050">
        <f t="shared" si="10"/>
        <v>0</v>
      </c>
      <c r="J57" s="1051">
        <f t="shared" si="11"/>
        <v>0</v>
      </c>
      <c r="K57" s="1043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897"/>
      <c r="W57" s="897"/>
      <c r="X57" s="897"/>
      <c r="Y57" s="897"/>
      <c r="Z57" s="897"/>
    </row>
    <row r="58" ht="15.75" customHeight="1">
      <c r="A58" s="308"/>
      <c r="B58" s="1026">
        <v>34.0</v>
      </c>
      <c r="C58" s="1048">
        <f t="shared" si="12"/>
        <v>46692</v>
      </c>
      <c r="D58" s="1049">
        <f t="shared" si="6"/>
        <v>11</v>
      </c>
      <c r="E58" s="1050">
        <f t="shared" si="7"/>
        <v>2027</v>
      </c>
      <c r="F58" s="1050">
        <f t="shared" si="13"/>
        <v>0</v>
      </c>
      <c r="G58" s="1050">
        <f t="shared" si="8"/>
        <v>0</v>
      </c>
      <c r="H58" s="1050">
        <f t="shared" si="9"/>
        <v>0</v>
      </c>
      <c r="I58" s="1050">
        <f t="shared" si="10"/>
        <v>0</v>
      </c>
      <c r="J58" s="1051">
        <f t="shared" si="11"/>
        <v>0</v>
      </c>
      <c r="K58" s="1043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897"/>
      <c r="W58" s="897"/>
      <c r="X58" s="897"/>
      <c r="Y58" s="897"/>
      <c r="Z58" s="897"/>
    </row>
    <row r="59" ht="15.75" customHeight="1">
      <c r="A59" s="308"/>
      <c r="B59" s="1026">
        <v>35.0</v>
      </c>
      <c r="C59" s="1048">
        <f t="shared" si="12"/>
        <v>46722</v>
      </c>
      <c r="D59" s="1049">
        <f t="shared" si="6"/>
        <v>12</v>
      </c>
      <c r="E59" s="1050">
        <f t="shared" si="7"/>
        <v>2027</v>
      </c>
      <c r="F59" s="1050">
        <f t="shared" si="13"/>
        <v>0</v>
      </c>
      <c r="G59" s="1050">
        <f t="shared" si="8"/>
        <v>0</v>
      </c>
      <c r="H59" s="1050">
        <f t="shared" si="9"/>
        <v>0</v>
      </c>
      <c r="I59" s="1050">
        <f t="shared" si="10"/>
        <v>0</v>
      </c>
      <c r="J59" s="1051">
        <f t="shared" si="11"/>
        <v>0</v>
      </c>
      <c r="K59" s="1043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897"/>
      <c r="W59" s="897"/>
      <c r="X59" s="897"/>
      <c r="Y59" s="897"/>
      <c r="Z59" s="897"/>
    </row>
    <row r="60" ht="15.75" customHeight="1">
      <c r="A60" s="308"/>
      <c r="B60" s="1026">
        <v>36.0</v>
      </c>
      <c r="C60" s="1048">
        <f t="shared" si="12"/>
        <v>46753</v>
      </c>
      <c r="D60" s="1049">
        <f t="shared" si="6"/>
        <v>1</v>
      </c>
      <c r="E60" s="1050">
        <f t="shared" si="7"/>
        <v>2028</v>
      </c>
      <c r="F60" s="1050">
        <f t="shared" si="13"/>
        <v>0</v>
      </c>
      <c r="G60" s="1050">
        <f t="shared" si="8"/>
        <v>0</v>
      </c>
      <c r="H60" s="1050">
        <f t="shared" si="9"/>
        <v>0</v>
      </c>
      <c r="I60" s="1050">
        <f t="shared" si="10"/>
        <v>0</v>
      </c>
      <c r="J60" s="1051">
        <f t="shared" si="11"/>
        <v>0</v>
      </c>
      <c r="K60" s="1043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897"/>
      <c r="W60" s="897"/>
      <c r="X60" s="897"/>
      <c r="Y60" s="897"/>
      <c r="Z60" s="897"/>
    </row>
    <row r="61" ht="15.75" customHeight="1">
      <c r="A61" s="308"/>
      <c r="B61" s="1026">
        <v>37.0</v>
      </c>
      <c r="C61" s="1048">
        <f t="shared" si="12"/>
        <v>46784</v>
      </c>
      <c r="D61" s="1049">
        <f t="shared" si="6"/>
        <v>2</v>
      </c>
      <c r="E61" s="1050">
        <f t="shared" si="7"/>
        <v>2028</v>
      </c>
      <c r="F61" s="1050">
        <f t="shared" si="13"/>
        <v>0</v>
      </c>
      <c r="G61" s="1050">
        <f t="shared" si="8"/>
        <v>0</v>
      </c>
      <c r="H61" s="1050">
        <f t="shared" si="9"/>
        <v>0</v>
      </c>
      <c r="I61" s="1050">
        <f t="shared" si="10"/>
        <v>0</v>
      </c>
      <c r="J61" s="1051">
        <f t="shared" si="11"/>
        <v>0</v>
      </c>
      <c r="K61" s="1043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897"/>
      <c r="W61" s="897"/>
      <c r="X61" s="897"/>
      <c r="Y61" s="897"/>
      <c r="Z61" s="897"/>
    </row>
    <row r="62" ht="15.75" customHeight="1">
      <c r="A62" s="308"/>
      <c r="B62" s="1026">
        <v>38.0</v>
      </c>
      <c r="C62" s="1048">
        <f t="shared" si="12"/>
        <v>46813</v>
      </c>
      <c r="D62" s="1049">
        <f t="shared" si="6"/>
        <v>3</v>
      </c>
      <c r="E62" s="1050">
        <f t="shared" si="7"/>
        <v>2028</v>
      </c>
      <c r="F62" s="1050">
        <f t="shared" si="13"/>
        <v>0</v>
      </c>
      <c r="G62" s="1050">
        <f t="shared" si="8"/>
        <v>0</v>
      </c>
      <c r="H62" s="1050">
        <f t="shared" si="9"/>
        <v>0</v>
      </c>
      <c r="I62" s="1050">
        <f t="shared" si="10"/>
        <v>0</v>
      </c>
      <c r="J62" s="1051">
        <f t="shared" si="11"/>
        <v>0</v>
      </c>
      <c r="K62" s="1043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897"/>
      <c r="W62" s="897"/>
      <c r="X62" s="897"/>
      <c r="Y62" s="897"/>
      <c r="Z62" s="897"/>
    </row>
    <row r="63" ht="15.75" customHeight="1">
      <c r="A63" s="308"/>
      <c r="B63" s="1026">
        <v>39.0</v>
      </c>
      <c r="C63" s="1048">
        <f t="shared" si="12"/>
        <v>46844</v>
      </c>
      <c r="D63" s="1049">
        <f t="shared" si="6"/>
        <v>4</v>
      </c>
      <c r="E63" s="1050">
        <f t="shared" si="7"/>
        <v>2028</v>
      </c>
      <c r="F63" s="1050">
        <f t="shared" si="13"/>
        <v>0</v>
      </c>
      <c r="G63" s="1050">
        <f t="shared" si="8"/>
        <v>0</v>
      </c>
      <c r="H63" s="1050">
        <f t="shared" si="9"/>
        <v>0</v>
      </c>
      <c r="I63" s="1050">
        <f t="shared" si="10"/>
        <v>0</v>
      </c>
      <c r="J63" s="1051">
        <f t="shared" si="11"/>
        <v>0</v>
      </c>
      <c r="K63" s="1043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897"/>
      <c r="W63" s="897"/>
      <c r="X63" s="897"/>
      <c r="Y63" s="897"/>
      <c r="Z63" s="897"/>
    </row>
    <row r="64" ht="15.75" customHeight="1">
      <c r="A64" s="308"/>
      <c r="B64" s="1026">
        <v>40.0</v>
      </c>
      <c r="C64" s="1048">
        <f t="shared" si="12"/>
        <v>46874</v>
      </c>
      <c r="D64" s="1049">
        <f t="shared" si="6"/>
        <v>5</v>
      </c>
      <c r="E64" s="1050">
        <f t="shared" si="7"/>
        <v>2028</v>
      </c>
      <c r="F64" s="1050">
        <f t="shared" si="13"/>
        <v>0</v>
      </c>
      <c r="G64" s="1050">
        <f t="shared" si="8"/>
        <v>0</v>
      </c>
      <c r="H64" s="1050">
        <f t="shared" si="9"/>
        <v>0</v>
      </c>
      <c r="I64" s="1050">
        <f t="shared" si="10"/>
        <v>0</v>
      </c>
      <c r="J64" s="1051">
        <f t="shared" si="11"/>
        <v>0</v>
      </c>
      <c r="K64" s="1043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897"/>
      <c r="W64" s="897"/>
      <c r="X64" s="897"/>
      <c r="Y64" s="897"/>
      <c r="Z64" s="897"/>
    </row>
    <row r="65" ht="15.75" customHeight="1">
      <c r="A65" s="308"/>
      <c r="B65" s="1026">
        <v>41.0</v>
      </c>
      <c r="C65" s="1048">
        <f t="shared" si="12"/>
        <v>46905</v>
      </c>
      <c r="D65" s="1049">
        <f t="shared" si="6"/>
        <v>6</v>
      </c>
      <c r="E65" s="1050">
        <f t="shared" si="7"/>
        <v>2028</v>
      </c>
      <c r="F65" s="1050">
        <f t="shared" si="13"/>
        <v>0</v>
      </c>
      <c r="G65" s="1050">
        <f t="shared" si="8"/>
        <v>0</v>
      </c>
      <c r="H65" s="1050">
        <f t="shared" si="9"/>
        <v>0</v>
      </c>
      <c r="I65" s="1050">
        <f t="shared" si="10"/>
        <v>0</v>
      </c>
      <c r="J65" s="1051">
        <f t="shared" si="11"/>
        <v>0</v>
      </c>
      <c r="K65" s="1043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897"/>
      <c r="W65" s="897"/>
      <c r="X65" s="897"/>
      <c r="Y65" s="897"/>
      <c r="Z65" s="897"/>
    </row>
    <row r="66" ht="15.75" customHeight="1">
      <c r="A66" s="308"/>
      <c r="B66" s="1026">
        <v>42.0</v>
      </c>
      <c r="C66" s="1048">
        <f t="shared" si="12"/>
        <v>46935</v>
      </c>
      <c r="D66" s="1049">
        <f t="shared" si="6"/>
        <v>7</v>
      </c>
      <c r="E66" s="1050">
        <f t="shared" si="7"/>
        <v>2028</v>
      </c>
      <c r="F66" s="1050">
        <f t="shared" si="13"/>
        <v>0</v>
      </c>
      <c r="G66" s="1050">
        <f t="shared" si="8"/>
        <v>0</v>
      </c>
      <c r="H66" s="1050">
        <f t="shared" si="9"/>
        <v>0</v>
      </c>
      <c r="I66" s="1050">
        <f t="shared" si="10"/>
        <v>0</v>
      </c>
      <c r="J66" s="1051">
        <f t="shared" si="11"/>
        <v>0</v>
      </c>
      <c r="K66" s="1043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897"/>
      <c r="W66" s="897"/>
      <c r="X66" s="897"/>
      <c r="Y66" s="897"/>
      <c r="Z66" s="897"/>
    </row>
    <row r="67" ht="15.75" customHeight="1">
      <c r="A67" s="308"/>
      <c r="B67" s="1026">
        <v>43.0</v>
      </c>
      <c r="C67" s="1048">
        <f t="shared" si="12"/>
        <v>46966</v>
      </c>
      <c r="D67" s="1049">
        <f t="shared" si="6"/>
        <v>8</v>
      </c>
      <c r="E67" s="1050">
        <f t="shared" si="7"/>
        <v>2028</v>
      </c>
      <c r="F67" s="1050">
        <f t="shared" si="13"/>
        <v>0</v>
      </c>
      <c r="G67" s="1050">
        <f t="shared" si="8"/>
        <v>0</v>
      </c>
      <c r="H67" s="1050">
        <f t="shared" si="9"/>
        <v>0</v>
      </c>
      <c r="I67" s="1050">
        <f t="shared" si="10"/>
        <v>0</v>
      </c>
      <c r="J67" s="1051">
        <f t="shared" si="11"/>
        <v>0</v>
      </c>
      <c r="K67" s="1043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897"/>
      <c r="W67" s="897"/>
      <c r="X67" s="897"/>
      <c r="Y67" s="897"/>
      <c r="Z67" s="897"/>
    </row>
    <row r="68" ht="15.75" customHeight="1">
      <c r="A68" s="308"/>
      <c r="B68" s="1026">
        <v>44.0</v>
      </c>
      <c r="C68" s="1048">
        <f t="shared" si="12"/>
        <v>46997</v>
      </c>
      <c r="D68" s="1049">
        <f t="shared" si="6"/>
        <v>9</v>
      </c>
      <c r="E68" s="1050">
        <f t="shared" si="7"/>
        <v>2028</v>
      </c>
      <c r="F68" s="1050">
        <f t="shared" si="13"/>
        <v>0</v>
      </c>
      <c r="G68" s="1050">
        <f t="shared" si="8"/>
        <v>0</v>
      </c>
      <c r="H68" s="1050">
        <f t="shared" si="9"/>
        <v>0</v>
      </c>
      <c r="I68" s="1050">
        <f t="shared" si="10"/>
        <v>0</v>
      </c>
      <c r="J68" s="1051">
        <f t="shared" si="11"/>
        <v>0</v>
      </c>
      <c r="K68" s="1043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897"/>
      <c r="W68" s="897"/>
      <c r="X68" s="897"/>
      <c r="Y68" s="897"/>
      <c r="Z68" s="897"/>
    </row>
    <row r="69" ht="15.75" customHeight="1">
      <c r="A69" s="308"/>
      <c r="B69" s="1026">
        <v>45.0</v>
      </c>
      <c r="C69" s="1048">
        <f t="shared" si="12"/>
        <v>47027</v>
      </c>
      <c r="D69" s="1049">
        <f t="shared" si="6"/>
        <v>10</v>
      </c>
      <c r="E69" s="1050">
        <f t="shared" si="7"/>
        <v>2028</v>
      </c>
      <c r="F69" s="1050">
        <f t="shared" si="13"/>
        <v>0</v>
      </c>
      <c r="G69" s="1050">
        <f t="shared" si="8"/>
        <v>0</v>
      </c>
      <c r="H69" s="1050">
        <f t="shared" si="9"/>
        <v>0</v>
      </c>
      <c r="I69" s="1050">
        <f t="shared" si="10"/>
        <v>0</v>
      </c>
      <c r="J69" s="1051">
        <f t="shared" si="11"/>
        <v>0</v>
      </c>
      <c r="K69" s="1043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897"/>
      <c r="W69" s="897"/>
      <c r="X69" s="897"/>
      <c r="Y69" s="897"/>
      <c r="Z69" s="897"/>
    </row>
    <row r="70" ht="15.75" customHeight="1">
      <c r="A70" s="308"/>
      <c r="B70" s="1026">
        <v>46.0</v>
      </c>
      <c r="C70" s="1048">
        <f t="shared" si="12"/>
        <v>47058</v>
      </c>
      <c r="D70" s="1049">
        <f t="shared" si="6"/>
        <v>11</v>
      </c>
      <c r="E70" s="1050">
        <f t="shared" si="7"/>
        <v>2028</v>
      </c>
      <c r="F70" s="1050">
        <f t="shared" si="13"/>
        <v>0</v>
      </c>
      <c r="G70" s="1050">
        <f t="shared" si="8"/>
        <v>0</v>
      </c>
      <c r="H70" s="1050">
        <f t="shared" si="9"/>
        <v>0</v>
      </c>
      <c r="I70" s="1050">
        <f t="shared" si="10"/>
        <v>0</v>
      </c>
      <c r="J70" s="1051">
        <f t="shared" si="11"/>
        <v>0</v>
      </c>
      <c r="K70" s="1043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897"/>
      <c r="W70" s="897"/>
      <c r="X70" s="897"/>
      <c r="Y70" s="897"/>
      <c r="Z70" s="897"/>
    </row>
    <row r="71" ht="15.75" customHeight="1">
      <c r="A71" s="308"/>
      <c r="B71" s="1026">
        <v>47.0</v>
      </c>
      <c r="C71" s="1048">
        <f t="shared" si="12"/>
        <v>47088</v>
      </c>
      <c r="D71" s="1049">
        <f t="shared" si="6"/>
        <v>12</v>
      </c>
      <c r="E71" s="1050">
        <f t="shared" si="7"/>
        <v>2028</v>
      </c>
      <c r="F71" s="1050">
        <f t="shared" si="13"/>
        <v>0</v>
      </c>
      <c r="G71" s="1050">
        <f t="shared" si="8"/>
        <v>0</v>
      </c>
      <c r="H71" s="1050">
        <f t="shared" si="9"/>
        <v>0</v>
      </c>
      <c r="I71" s="1050">
        <f t="shared" si="10"/>
        <v>0</v>
      </c>
      <c r="J71" s="1051">
        <f t="shared" si="11"/>
        <v>0</v>
      </c>
      <c r="K71" s="1043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897"/>
      <c r="W71" s="897"/>
      <c r="X71" s="897"/>
      <c r="Y71" s="897"/>
      <c r="Z71" s="897"/>
    </row>
    <row r="72" ht="15.75" customHeight="1">
      <c r="A72" s="308"/>
      <c r="B72" s="1026">
        <v>48.0</v>
      </c>
      <c r="C72" s="1048">
        <f t="shared" si="12"/>
        <v>47119</v>
      </c>
      <c r="D72" s="1049">
        <f t="shared" si="6"/>
        <v>1</v>
      </c>
      <c r="E72" s="1050">
        <f t="shared" si="7"/>
        <v>2029</v>
      </c>
      <c r="F72" s="1050">
        <f t="shared" si="13"/>
        <v>0</v>
      </c>
      <c r="G72" s="1050">
        <f t="shared" si="8"/>
        <v>0</v>
      </c>
      <c r="H72" s="1050">
        <f t="shared" si="9"/>
        <v>0</v>
      </c>
      <c r="I72" s="1050">
        <f t="shared" si="10"/>
        <v>0</v>
      </c>
      <c r="J72" s="1051">
        <f t="shared" si="11"/>
        <v>0</v>
      </c>
      <c r="K72" s="1043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897"/>
      <c r="W72" s="897"/>
      <c r="X72" s="897"/>
      <c r="Y72" s="897"/>
      <c r="Z72" s="897"/>
    </row>
    <row r="73" ht="15.75" customHeight="1">
      <c r="A73" s="308"/>
      <c r="B73" s="1026">
        <v>49.0</v>
      </c>
      <c r="C73" s="1048">
        <f t="shared" si="12"/>
        <v>47150</v>
      </c>
      <c r="D73" s="1049">
        <f t="shared" si="6"/>
        <v>2</v>
      </c>
      <c r="E73" s="1050">
        <f t="shared" si="7"/>
        <v>2029</v>
      </c>
      <c r="F73" s="1050">
        <f t="shared" si="13"/>
        <v>0</v>
      </c>
      <c r="G73" s="1050">
        <f t="shared" si="8"/>
        <v>0</v>
      </c>
      <c r="H73" s="1050">
        <f t="shared" si="9"/>
        <v>0</v>
      </c>
      <c r="I73" s="1050">
        <f t="shared" si="10"/>
        <v>0</v>
      </c>
      <c r="J73" s="1051">
        <f t="shared" si="11"/>
        <v>0</v>
      </c>
      <c r="K73" s="1043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897"/>
      <c r="W73" s="897"/>
      <c r="X73" s="897"/>
      <c r="Y73" s="897"/>
      <c r="Z73" s="897"/>
    </row>
    <row r="74" ht="15.75" customHeight="1">
      <c r="A74" s="308"/>
      <c r="B74" s="1026">
        <v>50.0</v>
      </c>
      <c r="C74" s="1048">
        <f t="shared" si="12"/>
        <v>47178</v>
      </c>
      <c r="D74" s="1049">
        <f t="shared" si="6"/>
        <v>3</v>
      </c>
      <c r="E74" s="1050">
        <f t="shared" si="7"/>
        <v>2029</v>
      </c>
      <c r="F74" s="1050">
        <f t="shared" si="13"/>
        <v>0</v>
      </c>
      <c r="G74" s="1050">
        <f t="shared" si="8"/>
        <v>0</v>
      </c>
      <c r="H74" s="1050">
        <f t="shared" si="9"/>
        <v>0</v>
      </c>
      <c r="I74" s="1050">
        <f t="shared" si="10"/>
        <v>0</v>
      </c>
      <c r="J74" s="1051">
        <f t="shared" si="11"/>
        <v>0</v>
      </c>
      <c r="K74" s="1043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897"/>
      <c r="W74" s="897"/>
      <c r="X74" s="897"/>
      <c r="Y74" s="897"/>
      <c r="Z74" s="897"/>
    </row>
    <row r="75" ht="15.75" customHeight="1">
      <c r="A75" s="308"/>
      <c r="B75" s="1026">
        <v>51.0</v>
      </c>
      <c r="C75" s="1048">
        <f t="shared" si="12"/>
        <v>47209</v>
      </c>
      <c r="D75" s="1049">
        <f t="shared" si="6"/>
        <v>4</v>
      </c>
      <c r="E75" s="1050">
        <f t="shared" si="7"/>
        <v>2029</v>
      </c>
      <c r="F75" s="1050">
        <f t="shared" si="13"/>
        <v>0</v>
      </c>
      <c r="G75" s="1050">
        <f t="shared" si="8"/>
        <v>0</v>
      </c>
      <c r="H75" s="1050">
        <f t="shared" si="9"/>
        <v>0</v>
      </c>
      <c r="I75" s="1050">
        <f t="shared" si="10"/>
        <v>0</v>
      </c>
      <c r="J75" s="1051">
        <f t="shared" si="11"/>
        <v>0</v>
      </c>
      <c r="K75" s="1043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897"/>
      <c r="W75" s="897"/>
      <c r="X75" s="897"/>
      <c r="Y75" s="897"/>
      <c r="Z75" s="897"/>
    </row>
    <row r="76" ht="15.75" customHeight="1">
      <c r="A76" s="308"/>
      <c r="B76" s="1026">
        <v>52.0</v>
      </c>
      <c r="C76" s="1048">
        <f t="shared" si="12"/>
        <v>47239</v>
      </c>
      <c r="D76" s="1049">
        <f t="shared" si="6"/>
        <v>5</v>
      </c>
      <c r="E76" s="1050">
        <f t="shared" si="7"/>
        <v>2029</v>
      </c>
      <c r="F76" s="1050">
        <f t="shared" si="13"/>
        <v>0</v>
      </c>
      <c r="G76" s="1050">
        <f t="shared" si="8"/>
        <v>0</v>
      </c>
      <c r="H76" s="1050">
        <f t="shared" si="9"/>
        <v>0</v>
      </c>
      <c r="I76" s="1050">
        <f t="shared" si="10"/>
        <v>0</v>
      </c>
      <c r="J76" s="1051">
        <f t="shared" si="11"/>
        <v>0</v>
      </c>
      <c r="K76" s="1043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897"/>
      <c r="W76" s="897"/>
      <c r="X76" s="897"/>
      <c r="Y76" s="897"/>
      <c r="Z76" s="897"/>
    </row>
    <row r="77" ht="15.75" customHeight="1">
      <c r="A77" s="308"/>
      <c r="B77" s="1026">
        <v>53.0</v>
      </c>
      <c r="C77" s="1048">
        <f t="shared" si="12"/>
        <v>47270</v>
      </c>
      <c r="D77" s="1049">
        <f t="shared" si="6"/>
        <v>6</v>
      </c>
      <c r="E77" s="1050">
        <f t="shared" si="7"/>
        <v>2029</v>
      </c>
      <c r="F77" s="1050">
        <f t="shared" si="13"/>
        <v>0</v>
      </c>
      <c r="G77" s="1050">
        <f t="shared" si="8"/>
        <v>0</v>
      </c>
      <c r="H77" s="1050">
        <f t="shared" si="9"/>
        <v>0</v>
      </c>
      <c r="I77" s="1050">
        <f t="shared" si="10"/>
        <v>0</v>
      </c>
      <c r="J77" s="1051">
        <f t="shared" si="11"/>
        <v>0</v>
      </c>
      <c r="K77" s="1043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897"/>
      <c r="W77" s="897"/>
      <c r="X77" s="897"/>
      <c r="Y77" s="897"/>
      <c r="Z77" s="897"/>
    </row>
    <row r="78" ht="15.75" customHeight="1">
      <c r="A78" s="308"/>
      <c r="B78" s="1026">
        <v>54.0</v>
      </c>
      <c r="C78" s="1048">
        <f t="shared" si="12"/>
        <v>47300</v>
      </c>
      <c r="D78" s="1049">
        <f t="shared" si="6"/>
        <v>7</v>
      </c>
      <c r="E78" s="1050">
        <f t="shared" si="7"/>
        <v>2029</v>
      </c>
      <c r="F78" s="1050">
        <f t="shared" si="13"/>
        <v>0</v>
      </c>
      <c r="G78" s="1050">
        <f t="shared" si="8"/>
        <v>0</v>
      </c>
      <c r="H78" s="1050">
        <f t="shared" si="9"/>
        <v>0</v>
      </c>
      <c r="I78" s="1050">
        <f t="shared" si="10"/>
        <v>0</v>
      </c>
      <c r="J78" s="1051">
        <f t="shared" si="11"/>
        <v>0</v>
      </c>
      <c r="K78" s="1043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897"/>
      <c r="W78" s="897"/>
      <c r="X78" s="897"/>
      <c r="Y78" s="897"/>
      <c r="Z78" s="897"/>
    </row>
    <row r="79" ht="15.75" customHeight="1">
      <c r="A79" s="308"/>
      <c r="B79" s="1026">
        <v>55.0</v>
      </c>
      <c r="C79" s="1048">
        <f t="shared" si="12"/>
        <v>47331</v>
      </c>
      <c r="D79" s="1049">
        <f t="shared" si="6"/>
        <v>8</v>
      </c>
      <c r="E79" s="1050">
        <f t="shared" si="7"/>
        <v>2029</v>
      </c>
      <c r="F79" s="1050">
        <f t="shared" si="13"/>
        <v>0</v>
      </c>
      <c r="G79" s="1050">
        <f t="shared" si="8"/>
        <v>0</v>
      </c>
      <c r="H79" s="1050">
        <f t="shared" si="9"/>
        <v>0</v>
      </c>
      <c r="I79" s="1050">
        <f t="shared" si="10"/>
        <v>0</v>
      </c>
      <c r="J79" s="1051">
        <f t="shared" si="11"/>
        <v>0</v>
      </c>
      <c r="K79" s="1043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897"/>
      <c r="W79" s="897"/>
      <c r="X79" s="897"/>
      <c r="Y79" s="897"/>
      <c r="Z79" s="897"/>
    </row>
    <row r="80" ht="15.75" customHeight="1">
      <c r="A80" s="308"/>
      <c r="B80" s="1026">
        <v>56.0</v>
      </c>
      <c r="C80" s="1048">
        <f t="shared" si="12"/>
        <v>47362</v>
      </c>
      <c r="D80" s="1049">
        <f t="shared" si="6"/>
        <v>9</v>
      </c>
      <c r="E80" s="1050">
        <f t="shared" si="7"/>
        <v>2029</v>
      </c>
      <c r="F80" s="1050">
        <f t="shared" si="13"/>
        <v>0</v>
      </c>
      <c r="G80" s="1050">
        <f t="shared" si="8"/>
        <v>0</v>
      </c>
      <c r="H80" s="1050">
        <f t="shared" si="9"/>
        <v>0</v>
      </c>
      <c r="I80" s="1050">
        <f t="shared" si="10"/>
        <v>0</v>
      </c>
      <c r="J80" s="1051">
        <f t="shared" si="11"/>
        <v>0</v>
      </c>
      <c r="K80" s="1043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897"/>
      <c r="W80" s="897"/>
      <c r="X80" s="897"/>
      <c r="Y80" s="897"/>
      <c r="Z80" s="897"/>
    </row>
    <row r="81" ht="15.75" customHeight="1">
      <c r="A81" s="308"/>
      <c r="B81" s="1026">
        <v>57.0</v>
      </c>
      <c r="C81" s="1048">
        <f t="shared" si="12"/>
        <v>47392</v>
      </c>
      <c r="D81" s="1049">
        <f t="shared" si="6"/>
        <v>10</v>
      </c>
      <c r="E81" s="1050">
        <f t="shared" si="7"/>
        <v>2029</v>
      </c>
      <c r="F81" s="1050">
        <f t="shared" si="13"/>
        <v>0</v>
      </c>
      <c r="G81" s="1050">
        <f t="shared" si="8"/>
        <v>0</v>
      </c>
      <c r="H81" s="1050">
        <f t="shared" si="9"/>
        <v>0</v>
      </c>
      <c r="I81" s="1050">
        <f t="shared" si="10"/>
        <v>0</v>
      </c>
      <c r="J81" s="1051">
        <f t="shared" si="11"/>
        <v>0</v>
      </c>
      <c r="K81" s="1043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897"/>
      <c r="W81" s="897"/>
      <c r="X81" s="897"/>
      <c r="Y81" s="897"/>
      <c r="Z81" s="897"/>
    </row>
    <row r="82" ht="15.75" customHeight="1">
      <c r="A82" s="308"/>
      <c r="B82" s="1026">
        <v>58.0</v>
      </c>
      <c r="C82" s="1048">
        <f t="shared" si="12"/>
        <v>47423</v>
      </c>
      <c r="D82" s="1049">
        <f t="shared" si="6"/>
        <v>11</v>
      </c>
      <c r="E82" s="1050">
        <f t="shared" si="7"/>
        <v>2029</v>
      </c>
      <c r="F82" s="1050">
        <f t="shared" si="13"/>
        <v>0</v>
      </c>
      <c r="G82" s="1050">
        <f t="shared" si="8"/>
        <v>0</v>
      </c>
      <c r="H82" s="1050">
        <f t="shared" si="9"/>
        <v>0</v>
      </c>
      <c r="I82" s="1050">
        <f t="shared" si="10"/>
        <v>0</v>
      </c>
      <c r="J82" s="1051">
        <f t="shared" si="11"/>
        <v>0</v>
      </c>
      <c r="K82" s="1043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897"/>
      <c r="W82" s="897"/>
      <c r="X82" s="897"/>
      <c r="Y82" s="897"/>
      <c r="Z82" s="897"/>
    </row>
    <row r="83" ht="15.75" customHeight="1">
      <c r="A83" s="308"/>
      <c r="B83" s="1026">
        <v>59.0</v>
      </c>
      <c r="C83" s="1048">
        <f t="shared" si="12"/>
        <v>47453</v>
      </c>
      <c r="D83" s="1049">
        <f t="shared" si="6"/>
        <v>12</v>
      </c>
      <c r="E83" s="1050">
        <f t="shared" si="7"/>
        <v>2029</v>
      </c>
      <c r="F83" s="1050">
        <f t="shared" si="13"/>
        <v>0</v>
      </c>
      <c r="G83" s="1050">
        <f t="shared" si="8"/>
        <v>0</v>
      </c>
      <c r="H83" s="1050">
        <f t="shared" si="9"/>
        <v>0</v>
      </c>
      <c r="I83" s="1050">
        <f t="shared" si="10"/>
        <v>0</v>
      </c>
      <c r="J83" s="1051">
        <f t="shared" si="11"/>
        <v>0</v>
      </c>
      <c r="K83" s="1043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897"/>
      <c r="W83" s="897"/>
      <c r="X83" s="897"/>
      <c r="Y83" s="897"/>
      <c r="Z83" s="897"/>
    </row>
    <row r="84" ht="15.75" customHeight="1">
      <c r="A84" s="308"/>
      <c r="B84" s="1026">
        <v>60.0</v>
      </c>
      <c r="C84" s="1048">
        <f t="shared" si="12"/>
        <v>47484</v>
      </c>
      <c r="D84" s="1049">
        <f t="shared" si="6"/>
        <v>1</v>
      </c>
      <c r="E84" s="1050">
        <f t="shared" si="7"/>
        <v>2030</v>
      </c>
      <c r="F84" s="1050">
        <f t="shared" si="13"/>
        <v>0</v>
      </c>
      <c r="G84" s="1050">
        <f t="shared" si="8"/>
        <v>0</v>
      </c>
      <c r="H84" s="1050">
        <f t="shared" si="9"/>
        <v>0</v>
      </c>
      <c r="I84" s="1050">
        <f t="shared" si="10"/>
        <v>0</v>
      </c>
      <c r="J84" s="1051">
        <f t="shared" si="11"/>
        <v>0</v>
      </c>
      <c r="K84" s="1043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897"/>
      <c r="W84" s="897"/>
      <c r="X84" s="897"/>
      <c r="Y84" s="897"/>
      <c r="Z84" s="897"/>
    </row>
    <row r="85" ht="15.75" customHeight="1">
      <c r="A85" s="308"/>
      <c r="B85" s="1026">
        <v>61.0</v>
      </c>
      <c r="C85" s="1048">
        <f t="shared" si="12"/>
        <v>47515</v>
      </c>
      <c r="D85" s="1049">
        <f t="shared" si="6"/>
        <v>2</v>
      </c>
      <c r="E85" s="1050">
        <f t="shared" si="7"/>
        <v>2030</v>
      </c>
      <c r="F85" s="1050">
        <f t="shared" si="13"/>
        <v>0</v>
      </c>
      <c r="G85" s="1050">
        <f t="shared" si="8"/>
        <v>0</v>
      </c>
      <c r="H85" s="1050">
        <f t="shared" si="9"/>
        <v>0</v>
      </c>
      <c r="I85" s="1050">
        <f t="shared" si="10"/>
        <v>0</v>
      </c>
      <c r="J85" s="1051">
        <f t="shared" si="11"/>
        <v>0</v>
      </c>
      <c r="K85" s="1043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897"/>
      <c r="W85" s="897"/>
      <c r="X85" s="897"/>
      <c r="Y85" s="897"/>
      <c r="Z85" s="897"/>
    </row>
    <row r="86" ht="15.75" customHeight="1">
      <c r="A86" s="308"/>
      <c r="B86" s="1026">
        <v>62.0</v>
      </c>
      <c r="C86" s="1048">
        <f t="shared" si="12"/>
        <v>47543</v>
      </c>
      <c r="D86" s="1049">
        <f t="shared" si="6"/>
        <v>3</v>
      </c>
      <c r="E86" s="1050">
        <f t="shared" si="7"/>
        <v>2030</v>
      </c>
      <c r="F86" s="1050">
        <f t="shared" si="13"/>
        <v>0</v>
      </c>
      <c r="G86" s="1050">
        <f t="shared" si="8"/>
        <v>0</v>
      </c>
      <c r="H86" s="1050">
        <f t="shared" si="9"/>
        <v>0</v>
      </c>
      <c r="I86" s="1050">
        <f t="shared" si="10"/>
        <v>0</v>
      </c>
      <c r="J86" s="1051">
        <f t="shared" si="11"/>
        <v>0</v>
      </c>
      <c r="K86" s="1043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897"/>
      <c r="W86" s="897"/>
      <c r="X86" s="897"/>
      <c r="Y86" s="897"/>
      <c r="Z86" s="897"/>
    </row>
    <row r="87" ht="15.75" customHeight="1">
      <c r="A87" s="308"/>
      <c r="B87" s="1026">
        <v>63.0</v>
      </c>
      <c r="C87" s="1048">
        <f t="shared" si="12"/>
        <v>47574</v>
      </c>
      <c r="D87" s="1049">
        <f t="shared" si="6"/>
        <v>4</v>
      </c>
      <c r="E87" s="1050">
        <f t="shared" si="7"/>
        <v>2030</v>
      </c>
      <c r="F87" s="1050">
        <f t="shared" si="13"/>
        <v>0</v>
      </c>
      <c r="G87" s="1050">
        <f t="shared" si="8"/>
        <v>0</v>
      </c>
      <c r="H87" s="1050">
        <f t="shared" si="9"/>
        <v>0</v>
      </c>
      <c r="I87" s="1050">
        <f t="shared" si="10"/>
        <v>0</v>
      </c>
      <c r="J87" s="1051">
        <f t="shared" si="11"/>
        <v>0</v>
      </c>
      <c r="K87" s="1043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897"/>
      <c r="W87" s="897"/>
      <c r="X87" s="897"/>
      <c r="Y87" s="897"/>
      <c r="Z87" s="897"/>
    </row>
    <row r="88" ht="15.75" customHeight="1">
      <c r="A88" s="308"/>
      <c r="B88" s="1026">
        <v>64.0</v>
      </c>
      <c r="C88" s="1048">
        <f t="shared" si="12"/>
        <v>47604</v>
      </c>
      <c r="D88" s="1049">
        <f t="shared" si="6"/>
        <v>5</v>
      </c>
      <c r="E88" s="1050">
        <f t="shared" si="7"/>
        <v>2030</v>
      </c>
      <c r="F88" s="1050">
        <f t="shared" si="13"/>
        <v>0</v>
      </c>
      <c r="G88" s="1050">
        <f t="shared" si="8"/>
        <v>0</v>
      </c>
      <c r="H88" s="1050">
        <f t="shared" si="9"/>
        <v>0</v>
      </c>
      <c r="I88" s="1050">
        <f t="shared" si="10"/>
        <v>0</v>
      </c>
      <c r="J88" s="1051">
        <f t="shared" si="11"/>
        <v>0</v>
      </c>
      <c r="K88" s="1043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897"/>
      <c r="W88" s="897"/>
      <c r="X88" s="897"/>
      <c r="Y88" s="897"/>
      <c r="Z88" s="897"/>
    </row>
    <row r="89" ht="15.75" customHeight="1">
      <c r="A89" s="308"/>
      <c r="B89" s="1026">
        <v>65.0</v>
      </c>
      <c r="C89" s="1048">
        <f t="shared" si="12"/>
        <v>47635</v>
      </c>
      <c r="D89" s="1049">
        <f t="shared" si="6"/>
        <v>6</v>
      </c>
      <c r="E89" s="1050">
        <f t="shared" si="7"/>
        <v>2030</v>
      </c>
      <c r="F89" s="1050">
        <f t="shared" si="13"/>
        <v>0</v>
      </c>
      <c r="G89" s="1050">
        <f t="shared" si="8"/>
        <v>0</v>
      </c>
      <c r="H89" s="1050">
        <f t="shared" si="9"/>
        <v>0</v>
      </c>
      <c r="I89" s="1050">
        <f t="shared" si="10"/>
        <v>0</v>
      </c>
      <c r="J89" s="1051">
        <f t="shared" si="11"/>
        <v>0</v>
      </c>
      <c r="K89" s="1043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897"/>
      <c r="W89" s="897"/>
      <c r="X89" s="897"/>
      <c r="Y89" s="897"/>
      <c r="Z89" s="897"/>
    </row>
    <row r="90" ht="15.75" customHeight="1">
      <c r="A90" s="308"/>
      <c r="B90" s="1026">
        <v>66.0</v>
      </c>
      <c r="C90" s="1048">
        <f t="shared" si="12"/>
        <v>47665</v>
      </c>
      <c r="D90" s="1049">
        <f t="shared" si="6"/>
        <v>7</v>
      </c>
      <c r="E90" s="1050">
        <f t="shared" si="7"/>
        <v>2030</v>
      </c>
      <c r="F90" s="1050">
        <f t="shared" si="13"/>
        <v>0</v>
      </c>
      <c r="G90" s="1050">
        <f t="shared" si="8"/>
        <v>0</v>
      </c>
      <c r="H90" s="1050">
        <f t="shared" si="9"/>
        <v>0</v>
      </c>
      <c r="I90" s="1050">
        <f t="shared" si="10"/>
        <v>0</v>
      </c>
      <c r="J90" s="1051">
        <f t="shared" si="11"/>
        <v>0</v>
      </c>
      <c r="K90" s="1043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897"/>
      <c r="W90" s="897"/>
      <c r="X90" s="897"/>
      <c r="Y90" s="897"/>
      <c r="Z90" s="897"/>
    </row>
    <row r="91" ht="15.75" customHeight="1">
      <c r="A91" s="308"/>
      <c r="B91" s="1026">
        <v>67.0</v>
      </c>
      <c r="C91" s="1048">
        <f t="shared" si="12"/>
        <v>47696</v>
      </c>
      <c r="D91" s="1049">
        <f t="shared" si="6"/>
        <v>8</v>
      </c>
      <c r="E91" s="1050">
        <f t="shared" si="7"/>
        <v>2030</v>
      </c>
      <c r="F91" s="1050">
        <f t="shared" si="13"/>
        <v>0</v>
      </c>
      <c r="G91" s="1050">
        <f t="shared" si="8"/>
        <v>0</v>
      </c>
      <c r="H91" s="1050">
        <f t="shared" si="9"/>
        <v>0</v>
      </c>
      <c r="I91" s="1050">
        <f t="shared" si="10"/>
        <v>0</v>
      </c>
      <c r="J91" s="1051">
        <f t="shared" si="11"/>
        <v>0</v>
      </c>
      <c r="K91" s="1043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897"/>
      <c r="W91" s="897"/>
      <c r="X91" s="897"/>
      <c r="Y91" s="897"/>
      <c r="Z91" s="897"/>
    </row>
    <row r="92" ht="15.75" customHeight="1">
      <c r="A92" s="308"/>
      <c r="B92" s="1026">
        <v>68.0</v>
      </c>
      <c r="C92" s="1048">
        <f t="shared" si="12"/>
        <v>47727</v>
      </c>
      <c r="D92" s="1049">
        <f t="shared" si="6"/>
        <v>9</v>
      </c>
      <c r="E92" s="1050">
        <f t="shared" si="7"/>
        <v>2030</v>
      </c>
      <c r="F92" s="1050">
        <f t="shared" si="13"/>
        <v>0</v>
      </c>
      <c r="G92" s="1050">
        <f t="shared" si="8"/>
        <v>0</v>
      </c>
      <c r="H92" s="1050">
        <f t="shared" si="9"/>
        <v>0</v>
      </c>
      <c r="I92" s="1050">
        <f t="shared" si="10"/>
        <v>0</v>
      </c>
      <c r="J92" s="1051">
        <f t="shared" si="11"/>
        <v>0</v>
      </c>
      <c r="K92" s="1043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897"/>
      <c r="W92" s="897"/>
      <c r="X92" s="897"/>
      <c r="Y92" s="897"/>
      <c r="Z92" s="897"/>
    </row>
    <row r="93" ht="15.75" customHeight="1">
      <c r="A93" s="308"/>
      <c r="B93" s="1026">
        <v>69.0</v>
      </c>
      <c r="C93" s="1048">
        <f t="shared" si="12"/>
        <v>47757</v>
      </c>
      <c r="D93" s="1049">
        <f t="shared" si="6"/>
        <v>10</v>
      </c>
      <c r="E93" s="1050">
        <f t="shared" si="7"/>
        <v>2030</v>
      </c>
      <c r="F93" s="1050">
        <f t="shared" si="13"/>
        <v>0</v>
      </c>
      <c r="G93" s="1050">
        <f t="shared" si="8"/>
        <v>0</v>
      </c>
      <c r="H93" s="1050">
        <f t="shared" si="9"/>
        <v>0</v>
      </c>
      <c r="I93" s="1050">
        <f t="shared" si="10"/>
        <v>0</v>
      </c>
      <c r="J93" s="1051">
        <f t="shared" si="11"/>
        <v>0</v>
      </c>
      <c r="K93" s="1043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897"/>
      <c r="W93" s="897"/>
      <c r="X93" s="897"/>
      <c r="Y93" s="897"/>
      <c r="Z93" s="897"/>
    </row>
    <row r="94" ht="15.75" customHeight="1">
      <c r="A94" s="308"/>
      <c r="B94" s="1026">
        <v>70.0</v>
      </c>
      <c r="C94" s="1048">
        <f t="shared" si="12"/>
        <v>47788</v>
      </c>
      <c r="D94" s="1049">
        <f t="shared" si="6"/>
        <v>11</v>
      </c>
      <c r="E94" s="1050">
        <f t="shared" si="7"/>
        <v>2030</v>
      </c>
      <c r="F94" s="1050">
        <f t="shared" si="13"/>
        <v>0</v>
      </c>
      <c r="G94" s="1050">
        <f t="shared" si="8"/>
        <v>0</v>
      </c>
      <c r="H94" s="1050">
        <f t="shared" si="9"/>
        <v>0</v>
      </c>
      <c r="I94" s="1050">
        <f t="shared" si="10"/>
        <v>0</v>
      </c>
      <c r="J94" s="1051">
        <f t="shared" si="11"/>
        <v>0</v>
      </c>
      <c r="K94" s="1043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897"/>
      <c r="W94" s="897"/>
      <c r="X94" s="897"/>
      <c r="Y94" s="897"/>
      <c r="Z94" s="897"/>
    </row>
    <row r="95" ht="15.75" customHeight="1">
      <c r="A95" s="308"/>
      <c r="B95" s="1026">
        <v>71.0</v>
      </c>
      <c r="C95" s="1048">
        <f t="shared" si="12"/>
        <v>47818</v>
      </c>
      <c r="D95" s="1049">
        <f t="shared" si="6"/>
        <v>12</v>
      </c>
      <c r="E95" s="1050">
        <f t="shared" si="7"/>
        <v>2030</v>
      </c>
      <c r="F95" s="1050">
        <f t="shared" si="13"/>
        <v>0</v>
      </c>
      <c r="G95" s="1050">
        <f t="shared" si="8"/>
        <v>0</v>
      </c>
      <c r="H95" s="1050">
        <f t="shared" si="9"/>
        <v>0</v>
      </c>
      <c r="I95" s="1050">
        <f t="shared" si="10"/>
        <v>0</v>
      </c>
      <c r="J95" s="1051">
        <f t="shared" si="11"/>
        <v>0</v>
      </c>
      <c r="K95" s="1043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897"/>
      <c r="W95" s="897"/>
      <c r="X95" s="897"/>
      <c r="Y95" s="897"/>
      <c r="Z95" s="897"/>
    </row>
    <row r="96" ht="15.75" customHeight="1">
      <c r="A96" s="308"/>
      <c r="B96" s="1026">
        <v>72.0</v>
      </c>
      <c r="C96" s="1048">
        <f t="shared" si="12"/>
        <v>47849</v>
      </c>
      <c r="D96" s="1049">
        <f t="shared" si="6"/>
        <v>1</v>
      </c>
      <c r="E96" s="1050">
        <f t="shared" si="7"/>
        <v>2031</v>
      </c>
      <c r="F96" s="1050">
        <f t="shared" si="13"/>
        <v>0</v>
      </c>
      <c r="G96" s="1050">
        <f t="shared" si="8"/>
        <v>0</v>
      </c>
      <c r="H96" s="1050">
        <f t="shared" si="9"/>
        <v>0</v>
      </c>
      <c r="I96" s="1050">
        <f t="shared" si="10"/>
        <v>0</v>
      </c>
      <c r="J96" s="1051">
        <f t="shared" si="11"/>
        <v>0</v>
      </c>
      <c r="K96" s="1043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897"/>
      <c r="W96" s="897"/>
      <c r="X96" s="897"/>
      <c r="Y96" s="897"/>
      <c r="Z96" s="897"/>
    </row>
    <row r="97" ht="15.75" customHeight="1">
      <c r="A97" s="308"/>
      <c r="B97" s="1026">
        <v>73.0</v>
      </c>
      <c r="C97" s="1048">
        <f t="shared" si="12"/>
        <v>47880</v>
      </c>
      <c r="D97" s="1049">
        <f t="shared" si="6"/>
        <v>2</v>
      </c>
      <c r="E97" s="1050">
        <f t="shared" si="7"/>
        <v>2031</v>
      </c>
      <c r="F97" s="1050">
        <f t="shared" si="13"/>
        <v>0</v>
      </c>
      <c r="G97" s="1050">
        <f t="shared" si="8"/>
        <v>0</v>
      </c>
      <c r="H97" s="1050">
        <f t="shared" si="9"/>
        <v>0</v>
      </c>
      <c r="I97" s="1050">
        <f t="shared" si="10"/>
        <v>0</v>
      </c>
      <c r="J97" s="1051">
        <f t="shared" si="11"/>
        <v>0</v>
      </c>
      <c r="K97" s="1043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897"/>
      <c r="W97" s="897"/>
      <c r="X97" s="897"/>
      <c r="Y97" s="897"/>
      <c r="Z97" s="897"/>
    </row>
    <row r="98" ht="15.75" customHeight="1">
      <c r="A98" s="308"/>
      <c r="B98" s="1026">
        <v>74.0</v>
      </c>
      <c r="C98" s="1048">
        <f t="shared" si="12"/>
        <v>47908</v>
      </c>
      <c r="D98" s="1049">
        <f t="shared" si="6"/>
        <v>3</v>
      </c>
      <c r="E98" s="1050">
        <f t="shared" si="7"/>
        <v>2031</v>
      </c>
      <c r="F98" s="1050">
        <f t="shared" si="13"/>
        <v>0</v>
      </c>
      <c r="G98" s="1050">
        <f t="shared" si="8"/>
        <v>0</v>
      </c>
      <c r="H98" s="1050">
        <f t="shared" si="9"/>
        <v>0</v>
      </c>
      <c r="I98" s="1050">
        <f t="shared" si="10"/>
        <v>0</v>
      </c>
      <c r="J98" s="1051">
        <f t="shared" si="11"/>
        <v>0</v>
      </c>
      <c r="K98" s="1043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897"/>
      <c r="W98" s="897"/>
      <c r="X98" s="897"/>
      <c r="Y98" s="897"/>
      <c r="Z98" s="897"/>
    </row>
    <row r="99" ht="15.75" customHeight="1">
      <c r="A99" s="308"/>
      <c r="B99" s="1026">
        <v>75.0</v>
      </c>
      <c r="C99" s="1048">
        <f t="shared" si="12"/>
        <v>47939</v>
      </c>
      <c r="D99" s="1049">
        <f t="shared" si="6"/>
        <v>4</v>
      </c>
      <c r="E99" s="1050">
        <f t="shared" si="7"/>
        <v>2031</v>
      </c>
      <c r="F99" s="1050">
        <f t="shared" si="13"/>
        <v>0</v>
      </c>
      <c r="G99" s="1050">
        <f t="shared" si="8"/>
        <v>0</v>
      </c>
      <c r="H99" s="1050">
        <f t="shared" si="9"/>
        <v>0</v>
      </c>
      <c r="I99" s="1050">
        <f t="shared" si="10"/>
        <v>0</v>
      </c>
      <c r="J99" s="1051">
        <f t="shared" si="11"/>
        <v>0</v>
      </c>
      <c r="K99" s="1043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897"/>
      <c r="W99" s="897"/>
      <c r="X99" s="897"/>
      <c r="Y99" s="897"/>
      <c r="Z99" s="897"/>
    </row>
    <row r="100" ht="15.75" customHeight="1">
      <c r="A100" s="308"/>
      <c r="B100" s="1026">
        <v>76.0</v>
      </c>
      <c r="C100" s="1048">
        <f t="shared" si="12"/>
        <v>47969</v>
      </c>
      <c r="D100" s="1049">
        <f t="shared" si="6"/>
        <v>5</v>
      </c>
      <c r="E100" s="1050">
        <f t="shared" si="7"/>
        <v>2031</v>
      </c>
      <c r="F100" s="1050">
        <f t="shared" si="13"/>
        <v>0</v>
      </c>
      <c r="G100" s="1050">
        <f t="shared" si="8"/>
        <v>0</v>
      </c>
      <c r="H100" s="1050">
        <f t="shared" si="9"/>
        <v>0</v>
      </c>
      <c r="I100" s="1050">
        <f t="shared" si="10"/>
        <v>0</v>
      </c>
      <c r="J100" s="1051">
        <f t="shared" si="11"/>
        <v>0</v>
      </c>
      <c r="K100" s="1043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897"/>
      <c r="W100" s="897"/>
      <c r="X100" s="897"/>
      <c r="Y100" s="897"/>
      <c r="Z100" s="897"/>
    </row>
    <row r="101" ht="15.75" customHeight="1">
      <c r="A101" s="308"/>
      <c r="B101" s="1026">
        <v>77.0</v>
      </c>
      <c r="C101" s="1048">
        <f t="shared" si="12"/>
        <v>48000</v>
      </c>
      <c r="D101" s="1049">
        <f t="shared" si="6"/>
        <v>6</v>
      </c>
      <c r="E101" s="1050">
        <f t="shared" si="7"/>
        <v>2031</v>
      </c>
      <c r="F101" s="1050">
        <f t="shared" si="13"/>
        <v>0</v>
      </c>
      <c r="G101" s="1050">
        <f t="shared" si="8"/>
        <v>0</v>
      </c>
      <c r="H101" s="1050">
        <f t="shared" si="9"/>
        <v>0</v>
      </c>
      <c r="I101" s="1050">
        <f t="shared" si="10"/>
        <v>0</v>
      </c>
      <c r="J101" s="1051">
        <f t="shared" si="11"/>
        <v>0</v>
      </c>
      <c r="K101" s="1043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897"/>
      <c r="W101" s="897"/>
      <c r="X101" s="897"/>
      <c r="Y101" s="897"/>
      <c r="Z101" s="897"/>
    </row>
    <row r="102" ht="15.75" customHeight="1">
      <c r="A102" s="308"/>
      <c r="B102" s="1026">
        <v>78.0</v>
      </c>
      <c r="C102" s="1048">
        <f t="shared" si="12"/>
        <v>48030</v>
      </c>
      <c r="D102" s="1049">
        <f t="shared" si="6"/>
        <v>7</v>
      </c>
      <c r="E102" s="1050">
        <f t="shared" si="7"/>
        <v>2031</v>
      </c>
      <c r="F102" s="1050">
        <f t="shared" si="13"/>
        <v>0</v>
      </c>
      <c r="G102" s="1050">
        <f t="shared" si="8"/>
        <v>0</v>
      </c>
      <c r="H102" s="1050">
        <f t="shared" si="9"/>
        <v>0</v>
      </c>
      <c r="I102" s="1050">
        <f t="shared" si="10"/>
        <v>0</v>
      </c>
      <c r="J102" s="1051">
        <f t="shared" si="11"/>
        <v>0</v>
      </c>
      <c r="K102" s="1043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897"/>
      <c r="W102" s="897"/>
      <c r="X102" s="897"/>
      <c r="Y102" s="897"/>
      <c r="Z102" s="897"/>
    </row>
    <row r="103" ht="15.75" customHeight="1">
      <c r="A103" s="308"/>
      <c r="B103" s="1026">
        <v>79.0</v>
      </c>
      <c r="C103" s="1048">
        <f t="shared" si="12"/>
        <v>48061</v>
      </c>
      <c r="D103" s="1049">
        <f t="shared" si="6"/>
        <v>8</v>
      </c>
      <c r="E103" s="1050">
        <f t="shared" si="7"/>
        <v>2031</v>
      </c>
      <c r="F103" s="1050">
        <f t="shared" si="13"/>
        <v>0</v>
      </c>
      <c r="G103" s="1050">
        <f t="shared" si="8"/>
        <v>0</v>
      </c>
      <c r="H103" s="1050">
        <f t="shared" si="9"/>
        <v>0</v>
      </c>
      <c r="I103" s="1050">
        <f t="shared" si="10"/>
        <v>0</v>
      </c>
      <c r="J103" s="1051">
        <f t="shared" si="11"/>
        <v>0</v>
      </c>
      <c r="K103" s="1043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897"/>
      <c r="W103" s="897"/>
      <c r="X103" s="897"/>
      <c r="Y103" s="897"/>
      <c r="Z103" s="897"/>
    </row>
    <row r="104" ht="15.75" customHeight="1">
      <c r="A104" s="308"/>
      <c r="B104" s="1026">
        <v>80.0</v>
      </c>
      <c r="C104" s="1048">
        <f t="shared" si="12"/>
        <v>48092</v>
      </c>
      <c r="D104" s="1049">
        <f t="shared" si="6"/>
        <v>9</v>
      </c>
      <c r="E104" s="1050">
        <f t="shared" si="7"/>
        <v>2031</v>
      </c>
      <c r="F104" s="1050">
        <f t="shared" si="13"/>
        <v>0</v>
      </c>
      <c r="G104" s="1050">
        <f t="shared" si="8"/>
        <v>0</v>
      </c>
      <c r="H104" s="1050">
        <f t="shared" si="9"/>
        <v>0</v>
      </c>
      <c r="I104" s="1050">
        <f t="shared" si="10"/>
        <v>0</v>
      </c>
      <c r="J104" s="1051">
        <f t="shared" si="11"/>
        <v>0</v>
      </c>
      <c r="K104" s="1043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897"/>
      <c r="W104" s="897"/>
      <c r="X104" s="897"/>
      <c r="Y104" s="897"/>
      <c r="Z104" s="897"/>
    </row>
    <row r="105" ht="15.75" customHeight="1">
      <c r="A105" s="308"/>
      <c r="B105" s="1026">
        <v>81.0</v>
      </c>
      <c r="C105" s="1048">
        <f t="shared" si="12"/>
        <v>48122</v>
      </c>
      <c r="D105" s="1049">
        <f t="shared" si="6"/>
        <v>10</v>
      </c>
      <c r="E105" s="1050">
        <f t="shared" si="7"/>
        <v>2031</v>
      </c>
      <c r="F105" s="1050">
        <f t="shared" si="13"/>
        <v>0</v>
      </c>
      <c r="G105" s="1050">
        <f t="shared" si="8"/>
        <v>0</v>
      </c>
      <c r="H105" s="1050">
        <f t="shared" si="9"/>
        <v>0</v>
      </c>
      <c r="I105" s="1050">
        <f t="shared" si="10"/>
        <v>0</v>
      </c>
      <c r="J105" s="1051">
        <f t="shared" si="11"/>
        <v>0</v>
      </c>
      <c r="K105" s="1043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897"/>
      <c r="W105" s="897"/>
      <c r="X105" s="897"/>
      <c r="Y105" s="897"/>
      <c r="Z105" s="897"/>
    </row>
    <row r="106" ht="15.75" customHeight="1">
      <c r="A106" s="308"/>
      <c r="B106" s="1026">
        <v>82.0</v>
      </c>
      <c r="C106" s="1048">
        <f t="shared" si="12"/>
        <v>48153</v>
      </c>
      <c r="D106" s="1049">
        <f t="shared" si="6"/>
        <v>11</v>
      </c>
      <c r="E106" s="1050">
        <f t="shared" si="7"/>
        <v>2031</v>
      </c>
      <c r="F106" s="1050">
        <f t="shared" si="13"/>
        <v>0</v>
      </c>
      <c r="G106" s="1050">
        <f t="shared" si="8"/>
        <v>0</v>
      </c>
      <c r="H106" s="1050">
        <f t="shared" si="9"/>
        <v>0</v>
      </c>
      <c r="I106" s="1050">
        <f t="shared" si="10"/>
        <v>0</v>
      </c>
      <c r="J106" s="1051">
        <f t="shared" si="11"/>
        <v>0</v>
      </c>
      <c r="K106" s="1043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897"/>
      <c r="W106" s="897"/>
      <c r="X106" s="897"/>
      <c r="Y106" s="897"/>
      <c r="Z106" s="897"/>
    </row>
    <row r="107" ht="15.75" customHeight="1">
      <c r="A107" s="308"/>
      <c r="B107" s="1026">
        <v>83.0</v>
      </c>
      <c r="C107" s="1048">
        <f t="shared" si="12"/>
        <v>48183</v>
      </c>
      <c r="D107" s="1049">
        <f t="shared" si="6"/>
        <v>12</v>
      </c>
      <c r="E107" s="1050">
        <f t="shared" si="7"/>
        <v>2031</v>
      </c>
      <c r="F107" s="1050">
        <f t="shared" si="13"/>
        <v>0</v>
      </c>
      <c r="G107" s="1050">
        <f t="shared" si="8"/>
        <v>0</v>
      </c>
      <c r="H107" s="1050">
        <f t="shared" si="9"/>
        <v>0</v>
      </c>
      <c r="I107" s="1050">
        <f t="shared" si="10"/>
        <v>0</v>
      </c>
      <c r="J107" s="1051">
        <f t="shared" si="11"/>
        <v>0</v>
      </c>
      <c r="K107" s="1043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897"/>
      <c r="W107" s="897"/>
      <c r="X107" s="897"/>
      <c r="Y107" s="897"/>
      <c r="Z107" s="897"/>
    </row>
    <row r="108" ht="15.75" customHeight="1">
      <c r="A108" s="308"/>
      <c r="B108" s="1026">
        <v>84.0</v>
      </c>
      <c r="C108" s="1048">
        <f t="shared" si="12"/>
        <v>48214</v>
      </c>
      <c r="D108" s="1049">
        <f t="shared" si="6"/>
        <v>1</v>
      </c>
      <c r="E108" s="1050">
        <f t="shared" si="7"/>
        <v>2032</v>
      </c>
      <c r="F108" s="1050">
        <f t="shared" si="13"/>
        <v>0</v>
      </c>
      <c r="G108" s="1050">
        <f t="shared" si="8"/>
        <v>0</v>
      </c>
      <c r="H108" s="1050">
        <f t="shared" si="9"/>
        <v>0</v>
      </c>
      <c r="I108" s="1050">
        <f t="shared" si="10"/>
        <v>0</v>
      </c>
      <c r="J108" s="1051">
        <f t="shared" si="11"/>
        <v>0</v>
      </c>
      <c r="K108" s="1043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897"/>
      <c r="W108" s="897"/>
      <c r="X108" s="897"/>
      <c r="Y108" s="897"/>
      <c r="Z108" s="897"/>
    </row>
    <row r="109" ht="15.75" customHeight="1">
      <c r="A109" s="308"/>
      <c r="B109" s="1026">
        <v>85.0</v>
      </c>
      <c r="C109" s="1048">
        <f t="shared" si="12"/>
        <v>48245</v>
      </c>
      <c r="D109" s="1049">
        <f t="shared" si="6"/>
        <v>2</v>
      </c>
      <c r="E109" s="1050">
        <f t="shared" si="7"/>
        <v>2032</v>
      </c>
      <c r="F109" s="1050">
        <f t="shared" si="13"/>
        <v>0</v>
      </c>
      <c r="G109" s="1050">
        <f t="shared" si="8"/>
        <v>0</v>
      </c>
      <c r="H109" s="1050">
        <f t="shared" si="9"/>
        <v>0</v>
      </c>
      <c r="I109" s="1050">
        <f t="shared" si="10"/>
        <v>0</v>
      </c>
      <c r="J109" s="1051">
        <f t="shared" si="11"/>
        <v>0</v>
      </c>
      <c r="K109" s="1043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897"/>
      <c r="W109" s="897"/>
      <c r="X109" s="897"/>
      <c r="Y109" s="897"/>
      <c r="Z109" s="897"/>
    </row>
    <row r="110" ht="15.75" customHeight="1">
      <c r="A110" s="308"/>
      <c r="B110" s="1026">
        <v>86.0</v>
      </c>
      <c r="C110" s="1048">
        <f t="shared" si="12"/>
        <v>48274</v>
      </c>
      <c r="D110" s="1049">
        <f t="shared" si="6"/>
        <v>3</v>
      </c>
      <c r="E110" s="1050">
        <f t="shared" si="7"/>
        <v>2032</v>
      </c>
      <c r="F110" s="1050">
        <f t="shared" si="13"/>
        <v>0</v>
      </c>
      <c r="G110" s="1050">
        <f t="shared" si="8"/>
        <v>0</v>
      </c>
      <c r="H110" s="1050">
        <f t="shared" si="9"/>
        <v>0</v>
      </c>
      <c r="I110" s="1050">
        <f t="shared" si="10"/>
        <v>0</v>
      </c>
      <c r="J110" s="1051">
        <f t="shared" si="11"/>
        <v>0</v>
      </c>
      <c r="K110" s="1043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897"/>
      <c r="W110" s="897"/>
      <c r="X110" s="897"/>
      <c r="Y110" s="897"/>
      <c r="Z110" s="897"/>
    </row>
    <row r="111" ht="15.75" customHeight="1">
      <c r="A111" s="308"/>
      <c r="B111" s="1026">
        <v>87.0</v>
      </c>
      <c r="C111" s="1048">
        <f t="shared" si="12"/>
        <v>48305</v>
      </c>
      <c r="D111" s="1049">
        <f t="shared" si="6"/>
        <v>4</v>
      </c>
      <c r="E111" s="1050">
        <f t="shared" si="7"/>
        <v>2032</v>
      </c>
      <c r="F111" s="1050">
        <f t="shared" si="13"/>
        <v>0</v>
      </c>
      <c r="G111" s="1050">
        <f t="shared" si="8"/>
        <v>0</v>
      </c>
      <c r="H111" s="1050">
        <f t="shared" si="9"/>
        <v>0</v>
      </c>
      <c r="I111" s="1050">
        <f t="shared" si="10"/>
        <v>0</v>
      </c>
      <c r="J111" s="1051">
        <f t="shared" si="11"/>
        <v>0</v>
      </c>
      <c r="K111" s="1043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897"/>
      <c r="W111" s="897"/>
      <c r="X111" s="897"/>
      <c r="Y111" s="897"/>
      <c r="Z111" s="897"/>
    </row>
    <row r="112" ht="15.75" customHeight="1">
      <c r="A112" s="308"/>
      <c r="B112" s="1026">
        <v>88.0</v>
      </c>
      <c r="C112" s="1048">
        <f t="shared" si="12"/>
        <v>48335</v>
      </c>
      <c r="D112" s="1049">
        <f t="shared" si="6"/>
        <v>5</v>
      </c>
      <c r="E112" s="1050">
        <f t="shared" si="7"/>
        <v>2032</v>
      </c>
      <c r="F112" s="1050">
        <f t="shared" si="13"/>
        <v>0</v>
      </c>
      <c r="G112" s="1050">
        <f t="shared" si="8"/>
        <v>0</v>
      </c>
      <c r="H112" s="1050">
        <f t="shared" si="9"/>
        <v>0</v>
      </c>
      <c r="I112" s="1050">
        <f t="shared" si="10"/>
        <v>0</v>
      </c>
      <c r="J112" s="1051">
        <f t="shared" si="11"/>
        <v>0</v>
      </c>
      <c r="K112" s="1043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897"/>
      <c r="W112" s="897"/>
      <c r="X112" s="897"/>
      <c r="Y112" s="897"/>
      <c r="Z112" s="897"/>
    </row>
    <row r="113" ht="15.75" customHeight="1">
      <c r="A113" s="308"/>
      <c r="B113" s="1026">
        <v>89.0</v>
      </c>
      <c r="C113" s="1048">
        <f t="shared" si="12"/>
        <v>48366</v>
      </c>
      <c r="D113" s="1049">
        <f t="shared" si="6"/>
        <v>6</v>
      </c>
      <c r="E113" s="1050">
        <f t="shared" si="7"/>
        <v>2032</v>
      </c>
      <c r="F113" s="1050">
        <f t="shared" si="13"/>
        <v>0</v>
      </c>
      <c r="G113" s="1050">
        <f t="shared" si="8"/>
        <v>0</v>
      </c>
      <c r="H113" s="1050">
        <f t="shared" si="9"/>
        <v>0</v>
      </c>
      <c r="I113" s="1050">
        <f t="shared" si="10"/>
        <v>0</v>
      </c>
      <c r="J113" s="1051">
        <f t="shared" si="11"/>
        <v>0</v>
      </c>
      <c r="K113" s="1043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897"/>
      <c r="W113" s="897"/>
      <c r="X113" s="897"/>
      <c r="Y113" s="897"/>
      <c r="Z113" s="897"/>
    </row>
    <row r="114" ht="15.75" customHeight="1">
      <c r="A114" s="308"/>
      <c r="B114" s="1026">
        <v>90.0</v>
      </c>
      <c r="C114" s="1048">
        <f t="shared" si="12"/>
        <v>48396</v>
      </c>
      <c r="D114" s="1049">
        <f t="shared" si="6"/>
        <v>7</v>
      </c>
      <c r="E114" s="1050">
        <f t="shared" si="7"/>
        <v>2032</v>
      </c>
      <c r="F114" s="1050">
        <f t="shared" si="13"/>
        <v>0</v>
      </c>
      <c r="G114" s="1050">
        <f t="shared" si="8"/>
        <v>0</v>
      </c>
      <c r="H114" s="1050">
        <f t="shared" si="9"/>
        <v>0</v>
      </c>
      <c r="I114" s="1050">
        <f t="shared" si="10"/>
        <v>0</v>
      </c>
      <c r="J114" s="1051">
        <f t="shared" si="11"/>
        <v>0</v>
      </c>
      <c r="K114" s="1043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897"/>
      <c r="W114" s="897"/>
      <c r="X114" s="897"/>
      <c r="Y114" s="897"/>
      <c r="Z114" s="897"/>
    </row>
    <row r="115" ht="15.75" customHeight="1">
      <c r="A115" s="308"/>
      <c r="B115" s="1026">
        <v>91.0</v>
      </c>
      <c r="C115" s="1048">
        <f t="shared" si="12"/>
        <v>48427</v>
      </c>
      <c r="D115" s="1049">
        <f t="shared" si="6"/>
        <v>8</v>
      </c>
      <c r="E115" s="1050">
        <f t="shared" si="7"/>
        <v>2032</v>
      </c>
      <c r="F115" s="1050">
        <f t="shared" si="13"/>
        <v>0</v>
      </c>
      <c r="G115" s="1050">
        <f t="shared" si="8"/>
        <v>0</v>
      </c>
      <c r="H115" s="1050">
        <f t="shared" si="9"/>
        <v>0</v>
      </c>
      <c r="I115" s="1050">
        <f t="shared" si="10"/>
        <v>0</v>
      </c>
      <c r="J115" s="1051">
        <f t="shared" si="11"/>
        <v>0</v>
      </c>
      <c r="K115" s="1043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897"/>
      <c r="W115" s="897"/>
      <c r="X115" s="897"/>
      <c r="Y115" s="897"/>
      <c r="Z115" s="897"/>
    </row>
    <row r="116" ht="15.75" customHeight="1">
      <c r="A116" s="308"/>
      <c r="B116" s="1026">
        <v>92.0</v>
      </c>
      <c r="C116" s="1048">
        <f t="shared" si="12"/>
        <v>48458</v>
      </c>
      <c r="D116" s="1049">
        <f t="shared" si="6"/>
        <v>9</v>
      </c>
      <c r="E116" s="1050">
        <f t="shared" si="7"/>
        <v>2032</v>
      </c>
      <c r="F116" s="1050">
        <f t="shared" si="13"/>
        <v>0</v>
      </c>
      <c r="G116" s="1050">
        <f t="shared" si="8"/>
        <v>0</v>
      </c>
      <c r="H116" s="1050">
        <f t="shared" si="9"/>
        <v>0</v>
      </c>
      <c r="I116" s="1050">
        <f t="shared" si="10"/>
        <v>0</v>
      </c>
      <c r="J116" s="1051">
        <f t="shared" si="11"/>
        <v>0</v>
      </c>
      <c r="K116" s="1043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897"/>
      <c r="W116" s="897"/>
      <c r="X116" s="897"/>
      <c r="Y116" s="897"/>
      <c r="Z116" s="897"/>
    </row>
    <row r="117" ht="15.75" customHeight="1">
      <c r="A117" s="308"/>
      <c r="B117" s="1026">
        <v>93.0</v>
      </c>
      <c r="C117" s="1048">
        <f t="shared" si="12"/>
        <v>48488</v>
      </c>
      <c r="D117" s="1049">
        <f t="shared" si="6"/>
        <v>10</v>
      </c>
      <c r="E117" s="1050">
        <f t="shared" si="7"/>
        <v>2032</v>
      </c>
      <c r="F117" s="1050">
        <f t="shared" si="13"/>
        <v>0</v>
      </c>
      <c r="G117" s="1050">
        <f t="shared" si="8"/>
        <v>0</v>
      </c>
      <c r="H117" s="1050">
        <f t="shared" si="9"/>
        <v>0</v>
      </c>
      <c r="I117" s="1050">
        <f t="shared" si="10"/>
        <v>0</v>
      </c>
      <c r="J117" s="1051">
        <f t="shared" si="11"/>
        <v>0</v>
      </c>
      <c r="K117" s="1043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897"/>
      <c r="W117" s="897"/>
      <c r="X117" s="897"/>
      <c r="Y117" s="897"/>
      <c r="Z117" s="897"/>
    </row>
    <row r="118" ht="15.75" customHeight="1">
      <c r="A118" s="308"/>
      <c r="B118" s="1026">
        <v>94.0</v>
      </c>
      <c r="C118" s="1048">
        <f t="shared" si="12"/>
        <v>48519</v>
      </c>
      <c r="D118" s="1049">
        <f t="shared" si="6"/>
        <v>11</v>
      </c>
      <c r="E118" s="1050">
        <f t="shared" si="7"/>
        <v>2032</v>
      </c>
      <c r="F118" s="1050">
        <f t="shared" si="13"/>
        <v>0</v>
      </c>
      <c r="G118" s="1050">
        <f t="shared" si="8"/>
        <v>0</v>
      </c>
      <c r="H118" s="1050">
        <f t="shared" si="9"/>
        <v>0</v>
      </c>
      <c r="I118" s="1050">
        <f t="shared" si="10"/>
        <v>0</v>
      </c>
      <c r="J118" s="1051">
        <f t="shared" si="11"/>
        <v>0</v>
      </c>
      <c r="K118" s="1043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897"/>
      <c r="W118" s="897"/>
      <c r="X118" s="897"/>
      <c r="Y118" s="897"/>
      <c r="Z118" s="897"/>
    </row>
    <row r="119" ht="15.75" customHeight="1">
      <c r="A119" s="308"/>
      <c r="B119" s="1026">
        <v>95.0</v>
      </c>
      <c r="C119" s="1048">
        <f t="shared" si="12"/>
        <v>48549</v>
      </c>
      <c r="D119" s="1049">
        <f t="shared" si="6"/>
        <v>12</v>
      </c>
      <c r="E119" s="1050">
        <f t="shared" si="7"/>
        <v>2032</v>
      </c>
      <c r="F119" s="1050">
        <f t="shared" si="13"/>
        <v>0</v>
      </c>
      <c r="G119" s="1050">
        <f t="shared" si="8"/>
        <v>0</v>
      </c>
      <c r="H119" s="1050">
        <f t="shared" si="9"/>
        <v>0</v>
      </c>
      <c r="I119" s="1050">
        <f t="shared" si="10"/>
        <v>0</v>
      </c>
      <c r="J119" s="1051">
        <f t="shared" si="11"/>
        <v>0</v>
      </c>
      <c r="K119" s="1043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897"/>
      <c r="W119" s="897"/>
      <c r="X119" s="897"/>
      <c r="Y119" s="897"/>
      <c r="Z119" s="897"/>
    </row>
    <row r="120" ht="15.75" customHeight="1">
      <c r="A120" s="308"/>
      <c r="B120" s="1026">
        <v>96.0</v>
      </c>
      <c r="C120" s="1048">
        <f t="shared" si="12"/>
        <v>48580</v>
      </c>
      <c r="D120" s="1049">
        <f t="shared" si="6"/>
        <v>1</v>
      </c>
      <c r="E120" s="1050">
        <f t="shared" si="7"/>
        <v>2033</v>
      </c>
      <c r="F120" s="1050">
        <f t="shared" si="13"/>
        <v>0</v>
      </c>
      <c r="G120" s="1050">
        <f t="shared" si="8"/>
        <v>0</v>
      </c>
      <c r="H120" s="1050">
        <f t="shared" si="9"/>
        <v>0</v>
      </c>
      <c r="I120" s="1050">
        <f t="shared" si="10"/>
        <v>0</v>
      </c>
      <c r="J120" s="1051">
        <f t="shared" si="11"/>
        <v>0</v>
      </c>
      <c r="K120" s="1043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897"/>
      <c r="W120" s="897"/>
      <c r="X120" s="897"/>
      <c r="Y120" s="897"/>
      <c r="Z120" s="897"/>
    </row>
    <row r="121" ht="15.75" customHeight="1">
      <c r="A121" s="308"/>
      <c r="B121" s="1026">
        <v>97.0</v>
      </c>
      <c r="C121" s="1048">
        <f t="shared" si="12"/>
        <v>48611</v>
      </c>
      <c r="D121" s="1049">
        <f t="shared" si="6"/>
        <v>2</v>
      </c>
      <c r="E121" s="1050">
        <f t="shared" si="7"/>
        <v>2033</v>
      </c>
      <c r="F121" s="1050">
        <f t="shared" si="13"/>
        <v>0</v>
      </c>
      <c r="G121" s="1050">
        <f t="shared" si="8"/>
        <v>0</v>
      </c>
      <c r="H121" s="1050">
        <f t="shared" si="9"/>
        <v>0</v>
      </c>
      <c r="I121" s="1050">
        <f t="shared" si="10"/>
        <v>0</v>
      </c>
      <c r="J121" s="1051">
        <f t="shared" si="11"/>
        <v>0</v>
      </c>
      <c r="K121" s="1043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897"/>
      <c r="W121" s="897"/>
      <c r="X121" s="897"/>
      <c r="Y121" s="897"/>
      <c r="Z121" s="897"/>
    </row>
    <row r="122" ht="15.75" customHeight="1">
      <c r="A122" s="308"/>
      <c r="B122" s="1026">
        <v>98.0</v>
      </c>
      <c r="C122" s="1048">
        <f t="shared" si="12"/>
        <v>48639</v>
      </c>
      <c r="D122" s="1049">
        <f t="shared" si="6"/>
        <v>3</v>
      </c>
      <c r="E122" s="1050">
        <f t="shared" si="7"/>
        <v>2033</v>
      </c>
      <c r="F122" s="1050">
        <f t="shared" si="13"/>
        <v>0</v>
      </c>
      <c r="G122" s="1050">
        <f t="shared" si="8"/>
        <v>0</v>
      </c>
      <c r="H122" s="1050">
        <f t="shared" si="9"/>
        <v>0</v>
      </c>
      <c r="I122" s="1050">
        <f t="shared" si="10"/>
        <v>0</v>
      </c>
      <c r="J122" s="1051">
        <f t="shared" si="11"/>
        <v>0</v>
      </c>
      <c r="K122" s="1043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897"/>
      <c r="W122" s="897"/>
      <c r="X122" s="897"/>
      <c r="Y122" s="897"/>
      <c r="Z122" s="897"/>
    </row>
    <row r="123" ht="15.75" customHeight="1">
      <c r="A123" s="308"/>
      <c r="B123" s="1026">
        <v>99.0</v>
      </c>
      <c r="C123" s="1048">
        <f t="shared" si="12"/>
        <v>48670</v>
      </c>
      <c r="D123" s="1049">
        <f t="shared" si="6"/>
        <v>4</v>
      </c>
      <c r="E123" s="1050">
        <f t="shared" si="7"/>
        <v>2033</v>
      </c>
      <c r="F123" s="1050">
        <f t="shared" si="13"/>
        <v>0</v>
      </c>
      <c r="G123" s="1050">
        <f t="shared" si="8"/>
        <v>0</v>
      </c>
      <c r="H123" s="1050">
        <f t="shared" si="9"/>
        <v>0</v>
      </c>
      <c r="I123" s="1050">
        <f t="shared" si="10"/>
        <v>0</v>
      </c>
      <c r="J123" s="1051">
        <f t="shared" si="11"/>
        <v>0</v>
      </c>
      <c r="K123" s="1043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897"/>
      <c r="W123" s="897"/>
      <c r="X123" s="897"/>
      <c r="Y123" s="897"/>
      <c r="Z123" s="897"/>
    </row>
    <row r="124" ht="15.75" customHeight="1">
      <c r="A124" s="308"/>
      <c r="B124" s="1026">
        <v>100.0</v>
      </c>
      <c r="C124" s="1048">
        <f t="shared" si="12"/>
        <v>48700</v>
      </c>
      <c r="D124" s="1049">
        <f t="shared" si="6"/>
        <v>5</v>
      </c>
      <c r="E124" s="1050">
        <f t="shared" si="7"/>
        <v>2033</v>
      </c>
      <c r="F124" s="1050">
        <f t="shared" si="13"/>
        <v>0</v>
      </c>
      <c r="G124" s="1050">
        <f t="shared" si="8"/>
        <v>0</v>
      </c>
      <c r="H124" s="1050">
        <f t="shared" si="9"/>
        <v>0</v>
      </c>
      <c r="I124" s="1050">
        <f t="shared" si="10"/>
        <v>0</v>
      </c>
      <c r="J124" s="1051">
        <f t="shared" si="11"/>
        <v>0</v>
      </c>
      <c r="K124" s="1043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897"/>
      <c r="W124" s="897"/>
      <c r="X124" s="897"/>
      <c r="Y124" s="897"/>
      <c r="Z124" s="897"/>
    </row>
    <row r="125" ht="15.75" customHeight="1">
      <c r="A125" s="308"/>
      <c r="B125" s="1026">
        <v>101.0</v>
      </c>
      <c r="C125" s="1048">
        <f t="shared" si="12"/>
        <v>48731</v>
      </c>
      <c r="D125" s="1049">
        <f t="shared" si="6"/>
        <v>6</v>
      </c>
      <c r="E125" s="1050">
        <f t="shared" si="7"/>
        <v>2033</v>
      </c>
      <c r="F125" s="1050">
        <f t="shared" si="13"/>
        <v>0</v>
      </c>
      <c r="G125" s="1050">
        <f t="shared" si="8"/>
        <v>0</v>
      </c>
      <c r="H125" s="1050">
        <f t="shared" si="9"/>
        <v>0</v>
      </c>
      <c r="I125" s="1050">
        <f t="shared" si="10"/>
        <v>0</v>
      </c>
      <c r="J125" s="1051">
        <f t="shared" si="11"/>
        <v>0</v>
      </c>
      <c r="K125" s="1043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897"/>
      <c r="W125" s="897"/>
      <c r="X125" s="897"/>
      <c r="Y125" s="897"/>
      <c r="Z125" s="897"/>
    </row>
    <row r="126" ht="15.75" customHeight="1">
      <c r="A126" s="308"/>
      <c r="B126" s="1026">
        <v>102.0</v>
      </c>
      <c r="C126" s="1048">
        <f t="shared" si="12"/>
        <v>48761</v>
      </c>
      <c r="D126" s="1049">
        <f t="shared" si="6"/>
        <v>7</v>
      </c>
      <c r="E126" s="1050">
        <f t="shared" si="7"/>
        <v>2033</v>
      </c>
      <c r="F126" s="1050">
        <f t="shared" si="13"/>
        <v>0</v>
      </c>
      <c r="G126" s="1050">
        <f t="shared" si="8"/>
        <v>0</v>
      </c>
      <c r="H126" s="1050">
        <f t="shared" si="9"/>
        <v>0</v>
      </c>
      <c r="I126" s="1050">
        <f t="shared" si="10"/>
        <v>0</v>
      </c>
      <c r="J126" s="1051">
        <f t="shared" si="11"/>
        <v>0</v>
      </c>
      <c r="K126" s="1043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897"/>
      <c r="W126" s="897"/>
      <c r="X126" s="897"/>
      <c r="Y126" s="897"/>
      <c r="Z126" s="897"/>
    </row>
    <row r="127" ht="15.75" customHeight="1">
      <c r="A127" s="308"/>
      <c r="B127" s="1026">
        <v>103.0</v>
      </c>
      <c r="C127" s="1048">
        <f t="shared" si="12"/>
        <v>48792</v>
      </c>
      <c r="D127" s="1049">
        <f t="shared" si="6"/>
        <v>8</v>
      </c>
      <c r="E127" s="1050">
        <f t="shared" si="7"/>
        <v>2033</v>
      </c>
      <c r="F127" s="1050">
        <f t="shared" si="13"/>
        <v>0</v>
      </c>
      <c r="G127" s="1050">
        <f t="shared" si="8"/>
        <v>0</v>
      </c>
      <c r="H127" s="1050">
        <f t="shared" si="9"/>
        <v>0</v>
      </c>
      <c r="I127" s="1050">
        <f t="shared" si="10"/>
        <v>0</v>
      </c>
      <c r="J127" s="1051">
        <f t="shared" si="11"/>
        <v>0</v>
      </c>
      <c r="K127" s="1043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897"/>
      <c r="W127" s="897"/>
      <c r="X127" s="897"/>
      <c r="Y127" s="897"/>
      <c r="Z127" s="897"/>
    </row>
    <row r="128" ht="15.75" customHeight="1">
      <c r="A128" s="308"/>
      <c r="B128" s="1026">
        <v>104.0</v>
      </c>
      <c r="C128" s="1048">
        <f t="shared" si="12"/>
        <v>48823</v>
      </c>
      <c r="D128" s="1049">
        <f t="shared" si="6"/>
        <v>9</v>
      </c>
      <c r="E128" s="1050">
        <f t="shared" si="7"/>
        <v>2033</v>
      </c>
      <c r="F128" s="1050">
        <f t="shared" si="13"/>
        <v>0</v>
      </c>
      <c r="G128" s="1050">
        <f t="shared" si="8"/>
        <v>0</v>
      </c>
      <c r="H128" s="1050">
        <f t="shared" si="9"/>
        <v>0</v>
      </c>
      <c r="I128" s="1050">
        <f t="shared" si="10"/>
        <v>0</v>
      </c>
      <c r="J128" s="1051">
        <f t="shared" si="11"/>
        <v>0</v>
      </c>
      <c r="K128" s="1043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897"/>
      <c r="W128" s="897"/>
      <c r="X128" s="897"/>
      <c r="Y128" s="897"/>
      <c r="Z128" s="897"/>
    </row>
    <row r="129" ht="15.75" customHeight="1">
      <c r="A129" s="308"/>
      <c r="B129" s="1026">
        <v>105.0</v>
      </c>
      <c r="C129" s="1048">
        <f t="shared" si="12"/>
        <v>48853</v>
      </c>
      <c r="D129" s="1049">
        <f t="shared" si="6"/>
        <v>10</v>
      </c>
      <c r="E129" s="1050">
        <f t="shared" si="7"/>
        <v>2033</v>
      </c>
      <c r="F129" s="1050">
        <f t="shared" si="13"/>
        <v>0</v>
      </c>
      <c r="G129" s="1050">
        <f t="shared" si="8"/>
        <v>0</v>
      </c>
      <c r="H129" s="1050">
        <f t="shared" si="9"/>
        <v>0</v>
      </c>
      <c r="I129" s="1050">
        <f t="shared" si="10"/>
        <v>0</v>
      </c>
      <c r="J129" s="1051">
        <f t="shared" si="11"/>
        <v>0</v>
      </c>
      <c r="K129" s="1043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897"/>
      <c r="W129" s="897"/>
      <c r="X129" s="897"/>
      <c r="Y129" s="897"/>
      <c r="Z129" s="897"/>
    </row>
    <row r="130" ht="15.75" customHeight="1">
      <c r="A130" s="308"/>
      <c r="B130" s="1026">
        <v>106.0</v>
      </c>
      <c r="C130" s="1048">
        <f t="shared" si="12"/>
        <v>48884</v>
      </c>
      <c r="D130" s="1049">
        <f t="shared" si="6"/>
        <v>11</v>
      </c>
      <c r="E130" s="1050">
        <f t="shared" si="7"/>
        <v>2033</v>
      </c>
      <c r="F130" s="1050">
        <f t="shared" si="13"/>
        <v>0</v>
      </c>
      <c r="G130" s="1050">
        <f t="shared" si="8"/>
        <v>0</v>
      </c>
      <c r="H130" s="1050">
        <f t="shared" si="9"/>
        <v>0</v>
      </c>
      <c r="I130" s="1050">
        <f t="shared" si="10"/>
        <v>0</v>
      </c>
      <c r="J130" s="1051">
        <f t="shared" si="11"/>
        <v>0</v>
      </c>
      <c r="K130" s="1043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897"/>
      <c r="W130" s="897"/>
      <c r="X130" s="897"/>
      <c r="Y130" s="897"/>
      <c r="Z130" s="897"/>
    </row>
    <row r="131" ht="15.75" customHeight="1">
      <c r="A131" s="308"/>
      <c r="B131" s="1026">
        <v>107.0</v>
      </c>
      <c r="C131" s="1048">
        <f t="shared" si="12"/>
        <v>48914</v>
      </c>
      <c r="D131" s="1049">
        <f t="shared" si="6"/>
        <v>12</v>
      </c>
      <c r="E131" s="1050">
        <f t="shared" si="7"/>
        <v>2033</v>
      </c>
      <c r="F131" s="1050">
        <f t="shared" si="13"/>
        <v>0</v>
      </c>
      <c r="G131" s="1050">
        <f t="shared" si="8"/>
        <v>0</v>
      </c>
      <c r="H131" s="1050">
        <f t="shared" si="9"/>
        <v>0</v>
      </c>
      <c r="I131" s="1050">
        <f t="shared" si="10"/>
        <v>0</v>
      </c>
      <c r="J131" s="1051">
        <f t="shared" si="11"/>
        <v>0</v>
      </c>
      <c r="K131" s="1043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897"/>
      <c r="W131" s="897"/>
      <c r="X131" s="897"/>
      <c r="Y131" s="897"/>
      <c r="Z131" s="897"/>
    </row>
    <row r="132" ht="15.75" customHeight="1">
      <c r="A132" s="308"/>
      <c r="B132" s="1026">
        <v>108.0</v>
      </c>
      <c r="C132" s="1048">
        <f t="shared" si="12"/>
        <v>48945</v>
      </c>
      <c r="D132" s="1049">
        <f t="shared" si="6"/>
        <v>1</v>
      </c>
      <c r="E132" s="1050">
        <f t="shared" si="7"/>
        <v>2034</v>
      </c>
      <c r="F132" s="1050">
        <f t="shared" si="13"/>
        <v>0</v>
      </c>
      <c r="G132" s="1050">
        <f t="shared" si="8"/>
        <v>0</v>
      </c>
      <c r="H132" s="1050">
        <f t="shared" si="9"/>
        <v>0</v>
      </c>
      <c r="I132" s="1050">
        <f t="shared" si="10"/>
        <v>0</v>
      </c>
      <c r="J132" s="1051">
        <f t="shared" si="11"/>
        <v>0</v>
      </c>
      <c r="K132" s="1043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897"/>
      <c r="W132" s="897"/>
      <c r="X132" s="897"/>
      <c r="Y132" s="897"/>
      <c r="Z132" s="897"/>
    </row>
    <row r="133" ht="15.75" customHeight="1">
      <c r="A133" s="308"/>
      <c r="B133" s="1026">
        <v>109.0</v>
      </c>
      <c r="C133" s="1048">
        <f t="shared" si="12"/>
        <v>48976</v>
      </c>
      <c r="D133" s="1049">
        <f t="shared" si="6"/>
        <v>2</v>
      </c>
      <c r="E133" s="1050">
        <f t="shared" si="7"/>
        <v>2034</v>
      </c>
      <c r="F133" s="1050">
        <f t="shared" si="13"/>
        <v>0</v>
      </c>
      <c r="G133" s="1050">
        <f t="shared" si="8"/>
        <v>0</v>
      </c>
      <c r="H133" s="1050">
        <f t="shared" si="9"/>
        <v>0</v>
      </c>
      <c r="I133" s="1050">
        <f t="shared" si="10"/>
        <v>0</v>
      </c>
      <c r="J133" s="1051">
        <f t="shared" si="11"/>
        <v>0</v>
      </c>
      <c r="K133" s="1043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897"/>
      <c r="W133" s="897"/>
      <c r="X133" s="897"/>
      <c r="Y133" s="897"/>
      <c r="Z133" s="897"/>
    </row>
    <row r="134" ht="15.75" customHeight="1">
      <c r="A134" s="308"/>
      <c r="B134" s="1026">
        <v>110.0</v>
      </c>
      <c r="C134" s="1048">
        <f t="shared" si="12"/>
        <v>49004</v>
      </c>
      <c r="D134" s="1049">
        <f t="shared" si="6"/>
        <v>3</v>
      </c>
      <c r="E134" s="1050">
        <f t="shared" si="7"/>
        <v>2034</v>
      </c>
      <c r="F134" s="1050">
        <f t="shared" si="13"/>
        <v>0</v>
      </c>
      <c r="G134" s="1050">
        <f t="shared" si="8"/>
        <v>0</v>
      </c>
      <c r="H134" s="1050">
        <f t="shared" si="9"/>
        <v>0</v>
      </c>
      <c r="I134" s="1050">
        <f t="shared" si="10"/>
        <v>0</v>
      </c>
      <c r="J134" s="1051">
        <f t="shared" si="11"/>
        <v>0</v>
      </c>
      <c r="K134" s="1043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897"/>
      <c r="W134" s="897"/>
      <c r="X134" s="897"/>
      <c r="Y134" s="897"/>
      <c r="Z134" s="897"/>
    </row>
    <row r="135" ht="15.75" customHeight="1">
      <c r="A135" s="308"/>
      <c r="B135" s="1026">
        <v>111.0</v>
      </c>
      <c r="C135" s="1048">
        <f t="shared" si="12"/>
        <v>49035</v>
      </c>
      <c r="D135" s="1049">
        <f t="shared" si="6"/>
        <v>4</v>
      </c>
      <c r="E135" s="1050">
        <f t="shared" si="7"/>
        <v>2034</v>
      </c>
      <c r="F135" s="1050">
        <f t="shared" si="13"/>
        <v>0</v>
      </c>
      <c r="G135" s="1050">
        <f t="shared" si="8"/>
        <v>0</v>
      </c>
      <c r="H135" s="1050">
        <f t="shared" si="9"/>
        <v>0</v>
      </c>
      <c r="I135" s="1050">
        <f t="shared" si="10"/>
        <v>0</v>
      </c>
      <c r="J135" s="1051">
        <f t="shared" si="11"/>
        <v>0</v>
      </c>
      <c r="K135" s="1043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897"/>
      <c r="W135" s="897"/>
      <c r="X135" s="897"/>
      <c r="Y135" s="897"/>
      <c r="Z135" s="897"/>
    </row>
    <row r="136" ht="15.75" customHeight="1">
      <c r="A136" s="308"/>
      <c r="B136" s="1026">
        <v>112.0</v>
      </c>
      <c r="C136" s="1048">
        <f t="shared" si="12"/>
        <v>49065</v>
      </c>
      <c r="D136" s="1049">
        <f t="shared" si="6"/>
        <v>5</v>
      </c>
      <c r="E136" s="1050">
        <f t="shared" si="7"/>
        <v>2034</v>
      </c>
      <c r="F136" s="1050">
        <f t="shared" si="13"/>
        <v>0</v>
      </c>
      <c r="G136" s="1050">
        <f t="shared" si="8"/>
        <v>0</v>
      </c>
      <c r="H136" s="1050">
        <f t="shared" si="9"/>
        <v>0</v>
      </c>
      <c r="I136" s="1050">
        <f t="shared" si="10"/>
        <v>0</v>
      </c>
      <c r="J136" s="1051">
        <f t="shared" si="11"/>
        <v>0</v>
      </c>
      <c r="K136" s="1043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897"/>
      <c r="W136" s="897"/>
      <c r="X136" s="897"/>
      <c r="Y136" s="897"/>
      <c r="Z136" s="897"/>
    </row>
    <row r="137" ht="15.75" customHeight="1">
      <c r="A137" s="308"/>
      <c r="B137" s="1026">
        <v>113.0</v>
      </c>
      <c r="C137" s="1048">
        <f t="shared" si="12"/>
        <v>49096</v>
      </c>
      <c r="D137" s="1049">
        <f t="shared" si="6"/>
        <v>6</v>
      </c>
      <c r="E137" s="1050">
        <f t="shared" si="7"/>
        <v>2034</v>
      </c>
      <c r="F137" s="1050">
        <f t="shared" si="13"/>
        <v>0</v>
      </c>
      <c r="G137" s="1050">
        <f t="shared" si="8"/>
        <v>0</v>
      </c>
      <c r="H137" s="1050">
        <f t="shared" si="9"/>
        <v>0</v>
      </c>
      <c r="I137" s="1050">
        <f t="shared" si="10"/>
        <v>0</v>
      </c>
      <c r="J137" s="1051">
        <f t="shared" si="11"/>
        <v>0</v>
      </c>
      <c r="K137" s="1043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897"/>
      <c r="W137" s="897"/>
      <c r="X137" s="897"/>
      <c r="Y137" s="897"/>
      <c r="Z137" s="897"/>
    </row>
    <row r="138" ht="15.75" customHeight="1">
      <c r="A138" s="308"/>
      <c r="B138" s="1026">
        <v>114.0</v>
      </c>
      <c r="C138" s="1048">
        <f t="shared" si="12"/>
        <v>49126</v>
      </c>
      <c r="D138" s="1049">
        <f t="shared" si="6"/>
        <v>7</v>
      </c>
      <c r="E138" s="1050">
        <f t="shared" si="7"/>
        <v>2034</v>
      </c>
      <c r="F138" s="1050">
        <f t="shared" si="13"/>
        <v>0</v>
      </c>
      <c r="G138" s="1050">
        <f t="shared" si="8"/>
        <v>0</v>
      </c>
      <c r="H138" s="1050">
        <f t="shared" si="9"/>
        <v>0</v>
      </c>
      <c r="I138" s="1050">
        <f t="shared" si="10"/>
        <v>0</v>
      </c>
      <c r="J138" s="1051">
        <f t="shared" si="11"/>
        <v>0</v>
      </c>
      <c r="K138" s="1043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897"/>
      <c r="W138" s="897"/>
      <c r="X138" s="897"/>
      <c r="Y138" s="897"/>
      <c r="Z138" s="897"/>
    </row>
    <row r="139" ht="15.75" customHeight="1">
      <c r="A139" s="308"/>
      <c r="B139" s="1026">
        <v>115.0</v>
      </c>
      <c r="C139" s="1048">
        <f t="shared" si="12"/>
        <v>49157</v>
      </c>
      <c r="D139" s="1049">
        <f t="shared" si="6"/>
        <v>8</v>
      </c>
      <c r="E139" s="1050">
        <f t="shared" si="7"/>
        <v>2034</v>
      </c>
      <c r="F139" s="1050">
        <f t="shared" si="13"/>
        <v>0</v>
      </c>
      <c r="G139" s="1050">
        <f t="shared" si="8"/>
        <v>0</v>
      </c>
      <c r="H139" s="1050">
        <f t="shared" si="9"/>
        <v>0</v>
      </c>
      <c r="I139" s="1050">
        <f t="shared" si="10"/>
        <v>0</v>
      </c>
      <c r="J139" s="1051">
        <f t="shared" si="11"/>
        <v>0</v>
      </c>
      <c r="K139" s="1043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897"/>
      <c r="W139" s="897"/>
      <c r="X139" s="897"/>
      <c r="Y139" s="897"/>
      <c r="Z139" s="897"/>
    </row>
    <row r="140" ht="15.75" customHeight="1">
      <c r="A140" s="308"/>
      <c r="B140" s="1026">
        <v>116.0</v>
      </c>
      <c r="C140" s="1048">
        <f t="shared" si="12"/>
        <v>49188</v>
      </c>
      <c r="D140" s="1049">
        <f t="shared" si="6"/>
        <v>9</v>
      </c>
      <c r="E140" s="1050">
        <f t="shared" si="7"/>
        <v>2034</v>
      </c>
      <c r="F140" s="1050">
        <f t="shared" si="13"/>
        <v>0</v>
      </c>
      <c r="G140" s="1050">
        <f t="shared" si="8"/>
        <v>0</v>
      </c>
      <c r="H140" s="1050">
        <f t="shared" si="9"/>
        <v>0</v>
      </c>
      <c r="I140" s="1050">
        <f t="shared" si="10"/>
        <v>0</v>
      </c>
      <c r="J140" s="1051">
        <f t="shared" si="11"/>
        <v>0</v>
      </c>
      <c r="K140" s="1043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897"/>
      <c r="W140" s="897"/>
      <c r="X140" s="897"/>
      <c r="Y140" s="897"/>
      <c r="Z140" s="897"/>
    </row>
    <row r="141" ht="15.75" customHeight="1">
      <c r="A141" s="308"/>
      <c r="B141" s="1026">
        <v>117.0</v>
      </c>
      <c r="C141" s="1048">
        <f t="shared" si="12"/>
        <v>49218</v>
      </c>
      <c r="D141" s="1049">
        <f t="shared" si="6"/>
        <v>10</v>
      </c>
      <c r="E141" s="1050">
        <f t="shared" si="7"/>
        <v>2034</v>
      </c>
      <c r="F141" s="1050">
        <f t="shared" si="13"/>
        <v>0</v>
      </c>
      <c r="G141" s="1050">
        <f t="shared" si="8"/>
        <v>0</v>
      </c>
      <c r="H141" s="1050">
        <f t="shared" si="9"/>
        <v>0</v>
      </c>
      <c r="I141" s="1050">
        <f t="shared" si="10"/>
        <v>0</v>
      </c>
      <c r="J141" s="1051">
        <f t="shared" si="11"/>
        <v>0</v>
      </c>
      <c r="K141" s="1043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897"/>
      <c r="W141" s="897"/>
      <c r="X141" s="897"/>
      <c r="Y141" s="897"/>
      <c r="Z141" s="897"/>
    </row>
    <row r="142" ht="15.75" customHeight="1">
      <c r="A142" s="308"/>
      <c r="B142" s="1026">
        <v>118.0</v>
      </c>
      <c r="C142" s="1048">
        <f t="shared" si="12"/>
        <v>49249</v>
      </c>
      <c r="D142" s="1049">
        <f t="shared" si="6"/>
        <v>11</v>
      </c>
      <c r="E142" s="1050">
        <f t="shared" si="7"/>
        <v>2034</v>
      </c>
      <c r="F142" s="1050">
        <f t="shared" si="13"/>
        <v>0</v>
      </c>
      <c r="G142" s="1050">
        <f t="shared" si="8"/>
        <v>0</v>
      </c>
      <c r="H142" s="1050">
        <f t="shared" si="9"/>
        <v>0</v>
      </c>
      <c r="I142" s="1050">
        <f t="shared" si="10"/>
        <v>0</v>
      </c>
      <c r="J142" s="1051">
        <f t="shared" si="11"/>
        <v>0</v>
      </c>
      <c r="K142" s="1043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897"/>
      <c r="W142" s="897"/>
      <c r="X142" s="897"/>
      <c r="Y142" s="897"/>
      <c r="Z142" s="897"/>
    </row>
    <row r="143" ht="15.75" customHeight="1">
      <c r="A143" s="308"/>
      <c r="B143" s="1026">
        <v>119.0</v>
      </c>
      <c r="C143" s="1048">
        <f t="shared" si="12"/>
        <v>49279</v>
      </c>
      <c r="D143" s="1049">
        <f t="shared" si="6"/>
        <v>12</v>
      </c>
      <c r="E143" s="1050">
        <f t="shared" si="7"/>
        <v>2034</v>
      </c>
      <c r="F143" s="1050">
        <f t="shared" si="13"/>
        <v>0</v>
      </c>
      <c r="G143" s="1050">
        <f t="shared" si="8"/>
        <v>0</v>
      </c>
      <c r="H143" s="1050">
        <f t="shared" si="9"/>
        <v>0</v>
      </c>
      <c r="I143" s="1050">
        <f t="shared" si="10"/>
        <v>0</v>
      </c>
      <c r="J143" s="1051">
        <f t="shared" si="11"/>
        <v>0</v>
      </c>
      <c r="K143" s="1043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897"/>
      <c r="W143" s="897"/>
      <c r="X143" s="897"/>
      <c r="Y143" s="897"/>
      <c r="Z143" s="897"/>
    </row>
    <row r="144" ht="15.75" customHeight="1">
      <c r="A144" s="308"/>
      <c r="B144" s="1026">
        <v>120.0</v>
      </c>
      <c r="C144" s="1048">
        <f t="shared" si="12"/>
        <v>49310</v>
      </c>
      <c r="D144" s="1049">
        <f t="shared" si="6"/>
        <v>1</v>
      </c>
      <c r="E144" s="1050">
        <f t="shared" si="7"/>
        <v>2035</v>
      </c>
      <c r="F144" s="1050">
        <f t="shared" si="13"/>
        <v>0</v>
      </c>
      <c r="G144" s="1050">
        <f t="shared" si="8"/>
        <v>0</v>
      </c>
      <c r="H144" s="1050">
        <f t="shared" si="9"/>
        <v>0</v>
      </c>
      <c r="I144" s="1050">
        <f t="shared" si="10"/>
        <v>0</v>
      </c>
      <c r="J144" s="1051">
        <f t="shared" si="11"/>
        <v>0</v>
      </c>
      <c r="K144" s="1043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897"/>
      <c r="W144" s="897"/>
      <c r="X144" s="897"/>
      <c r="Y144" s="897"/>
      <c r="Z144" s="897"/>
    </row>
    <row r="145" ht="15.75" customHeight="1">
      <c r="A145" s="308"/>
      <c r="B145" s="1026">
        <v>121.0</v>
      </c>
      <c r="C145" s="1048">
        <f t="shared" si="12"/>
        <v>49341</v>
      </c>
      <c r="D145" s="1049">
        <f t="shared" si="6"/>
        <v>2</v>
      </c>
      <c r="E145" s="1050">
        <f t="shared" si="7"/>
        <v>2035</v>
      </c>
      <c r="F145" s="1050">
        <f t="shared" si="13"/>
        <v>0</v>
      </c>
      <c r="G145" s="1050">
        <f t="shared" si="8"/>
        <v>0</v>
      </c>
      <c r="H145" s="1050">
        <f t="shared" si="9"/>
        <v>0</v>
      </c>
      <c r="I145" s="1050">
        <f t="shared" si="10"/>
        <v>0</v>
      </c>
      <c r="J145" s="1051">
        <f t="shared" si="11"/>
        <v>0</v>
      </c>
      <c r="K145" s="1043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897"/>
      <c r="W145" s="897"/>
      <c r="X145" s="897"/>
      <c r="Y145" s="897"/>
      <c r="Z145" s="897"/>
    </row>
    <row r="146" ht="15.75" customHeight="1">
      <c r="A146" s="308"/>
      <c r="B146" s="1026">
        <v>122.0</v>
      </c>
      <c r="C146" s="1048">
        <f t="shared" si="12"/>
        <v>49369</v>
      </c>
      <c r="D146" s="1049">
        <f t="shared" si="6"/>
        <v>3</v>
      </c>
      <c r="E146" s="1050">
        <f t="shared" si="7"/>
        <v>2035</v>
      </c>
      <c r="F146" s="1050">
        <f t="shared" si="13"/>
        <v>0</v>
      </c>
      <c r="G146" s="1050">
        <f t="shared" si="8"/>
        <v>0</v>
      </c>
      <c r="H146" s="1050">
        <f t="shared" si="9"/>
        <v>0</v>
      </c>
      <c r="I146" s="1050">
        <f t="shared" si="10"/>
        <v>0</v>
      </c>
      <c r="J146" s="1051">
        <f t="shared" si="11"/>
        <v>0</v>
      </c>
      <c r="K146" s="1043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897"/>
      <c r="W146" s="897"/>
      <c r="X146" s="897"/>
      <c r="Y146" s="897"/>
      <c r="Z146" s="897"/>
    </row>
    <row r="147" ht="15.75" customHeight="1">
      <c r="A147" s="308"/>
      <c r="B147" s="1026">
        <v>123.0</v>
      </c>
      <c r="C147" s="1048">
        <f t="shared" si="12"/>
        <v>49400</v>
      </c>
      <c r="D147" s="1049">
        <f t="shared" si="6"/>
        <v>4</v>
      </c>
      <c r="E147" s="1050">
        <f t="shared" si="7"/>
        <v>2035</v>
      </c>
      <c r="F147" s="1050">
        <f t="shared" si="13"/>
        <v>0</v>
      </c>
      <c r="G147" s="1050">
        <f t="shared" si="8"/>
        <v>0</v>
      </c>
      <c r="H147" s="1050">
        <f t="shared" si="9"/>
        <v>0</v>
      </c>
      <c r="I147" s="1050">
        <f t="shared" si="10"/>
        <v>0</v>
      </c>
      <c r="J147" s="1051">
        <f t="shared" si="11"/>
        <v>0</v>
      </c>
      <c r="K147" s="1043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897"/>
      <c r="W147" s="897"/>
      <c r="X147" s="897"/>
      <c r="Y147" s="897"/>
      <c r="Z147" s="897"/>
    </row>
    <row r="148" ht="15.75" customHeight="1">
      <c r="A148" s="308"/>
      <c r="B148" s="1026">
        <v>124.0</v>
      </c>
      <c r="C148" s="1048">
        <f t="shared" si="12"/>
        <v>49430</v>
      </c>
      <c r="D148" s="1049">
        <f t="shared" si="6"/>
        <v>5</v>
      </c>
      <c r="E148" s="1050">
        <f t="shared" si="7"/>
        <v>2035</v>
      </c>
      <c r="F148" s="1050">
        <f t="shared" si="13"/>
        <v>0</v>
      </c>
      <c r="G148" s="1050">
        <f t="shared" si="8"/>
        <v>0</v>
      </c>
      <c r="H148" s="1050">
        <f t="shared" si="9"/>
        <v>0</v>
      </c>
      <c r="I148" s="1050">
        <f t="shared" si="10"/>
        <v>0</v>
      </c>
      <c r="J148" s="1051">
        <f t="shared" si="11"/>
        <v>0</v>
      </c>
      <c r="K148" s="1043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897"/>
      <c r="W148" s="897"/>
      <c r="X148" s="897"/>
      <c r="Y148" s="897"/>
      <c r="Z148" s="897"/>
    </row>
    <row r="149" ht="15.75" customHeight="1">
      <c r="A149" s="308"/>
      <c r="B149" s="1026">
        <v>125.0</v>
      </c>
      <c r="C149" s="1048">
        <f t="shared" si="12"/>
        <v>49461</v>
      </c>
      <c r="D149" s="1049">
        <f t="shared" si="6"/>
        <v>6</v>
      </c>
      <c r="E149" s="1050">
        <f t="shared" si="7"/>
        <v>2035</v>
      </c>
      <c r="F149" s="1050">
        <f t="shared" si="13"/>
        <v>0</v>
      </c>
      <c r="G149" s="1050">
        <f t="shared" si="8"/>
        <v>0</v>
      </c>
      <c r="H149" s="1050">
        <f t="shared" si="9"/>
        <v>0</v>
      </c>
      <c r="I149" s="1050">
        <f t="shared" si="10"/>
        <v>0</v>
      </c>
      <c r="J149" s="1051">
        <f t="shared" si="11"/>
        <v>0</v>
      </c>
      <c r="K149" s="1043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897"/>
      <c r="W149" s="897"/>
      <c r="X149" s="897"/>
      <c r="Y149" s="897"/>
      <c r="Z149" s="897"/>
    </row>
    <row r="150" ht="15.75" customHeight="1">
      <c r="A150" s="308"/>
      <c r="B150" s="1026">
        <v>126.0</v>
      </c>
      <c r="C150" s="1048">
        <f t="shared" si="12"/>
        <v>49491</v>
      </c>
      <c r="D150" s="1049">
        <f t="shared" si="6"/>
        <v>7</v>
      </c>
      <c r="E150" s="1050">
        <f t="shared" si="7"/>
        <v>2035</v>
      </c>
      <c r="F150" s="1050">
        <f t="shared" si="13"/>
        <v>0</v>
      </c>
      <c r="G150" s="1050">
        <f t="shared" si="8"/>
        <v>0</v>
      </c>
      <c r="H150" s="1050">
        <f t="shared" si="9"/>
        <v>0</v>
      </c>
      <c r="I150" s="1050">
        <f t="shared" si="10"/>
        <v>0</v>
      </c>
      <c r="J150" s="1051">
        <f t="shared" si="11"/>
        <v>0</v>
      </c>
      <c r="K150" s="1043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897"/>
      <c r="W150" s="897"/>
      <c r="X150" s="897"/>
      <c r="Y150" s="897"/>
      <c r="Z150" s="897"/>
    </row>
    <row r="151" ht="15.75" customHeight="1">
      <c r="A151" s="308"/>
      <c r="B151" s="1026">
        <v>127.0</v>
      </c>
      <c r="C151" s="1048">
        <f t="shared" si="12"/>
        <v>49522</v>
      </c>
      <c r="D151" s="1049">
        <f t="shared" si="6"/>
        <v>8</v>
      </c>
      <c r="E151" s="1050">
        <f t="shared" si="7"/>
        <v>2035</v>
      </c>
      <c r="F151" s="1050">
        <f t="shared" si="13"/>
        <v>0</v>
      </c>
      <c r="G151" s="1050">
        <f t="shared" si="8"/>
        <v>0</v>
      </c>
      <c r="H151" s="1050">
        <f t="shared" si="9"/>
        <v>0</v>
      </c>
      <c r="I151" s="1050">
        <f t="shared" si="10"/>
        <v>0</v>
      </c>
      <c r="J151" s="1051">
        <f t="shared" si="11"/>
        <v>0</v>
      </c>
      <c r="K151" s="1043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897"/>
      <c r="W151" s="897"/>
      <c r="X151" s="897"/>
      <c r="Y151" s="897"/>
      <c r="Z151" s="897"/>
    </row>
    <row r="152" ht="15.75" customHeight="1">
      <c r="A152" s="308"/>
      <c r="B152" s="1026">
        <v>128.0</v>
      </c>
      <c r="C152" s="1048">
        <f t="shared" si="12"/>
        <v>49553</v>
      </c>
      <c r="D152" s="1049">
        <f t="shared" si="6"/>
        <v>9</v>
      </c>
      <c r="E152" s="1050">
        <f t="shared" si="7"/>
        <v>2035</v>
      </c>
      <c r="F152" s="1050">
        <f t="shared" si="13"/>
        <v>0</v>
      </c>
      <c r="G152" s="1050">
        <f t="shared" si="8"/>
        <v>0</v>
      </c>
      <c r="H152" s="1050">
        <f t="shared" si="9"/>
        <v>0</v>
      </c>
      <c r="I152" s="1050">
        <f t="shared" si="10"/>
        <v>0</v>
      </c>
      <c r="J152" s="1051">
        <f t="shared" si="11"/>
        <v>0</v>
      </c>
      <c r="K152" s="1043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897"/>
      <c r="W152" s="897"/>
      <c r="X152" s="897"/>
      <c r="Y152" s="897"/>
      <c r="Z152" s="897"/>
    </row>
    <row r="153" ht="15.75" customHeight="1">
      <c r="A153" s="308"/>
      <c r="B153" s="1026">
        <v>129.0</v>
      </c>
      <c r="C153" s="1048">
        <f t="shared" si="12"/>
        <v>49583</v>
      </c>
      <c r="D153" s="1049">
        <f t="shared" si="6"/>
        <v>10</v>
      </c>
      <c r="E153" s="1050">
        <f t="shared" si="7"/>
        <v>2035</v>
      </c>
      <c r="F153" s="1050">
        <f t="shared" si="13"/>
        <v>0</v>
      </c>
      <c r="G153" s="1050">
        <f t="shared" si="8"/>
        <v>0</v>
      </c>
      <c r="H153" s="1050">
        <f t="shared" si="9"/>
        <v>0</v>
      </c>
      <c r="I153" s="1050">
        <f t="shared" si="10"/>
        <v>0</v>
      </c>
      <c r="J153" s="1051">
        <f t="shared" si="11"/>
        <v>0</v>
      </c>
      <c r="K153" s="1043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897"/>
      <c r="W153" s="897"/>
      <c r="X153" s="897"/>
      <c r="Y153" s="897"/>
      <c r="Z153" s="897"/>
    </row>
    <row r="154" ht="15.75" customHeight="1">
      <c r="A154" s="308"/>
      <c r="B154" s="1026">
        <v>130.0</v>
      </c>
      <c r="C154" s="1048">
        <f t="shared" si="12"/>
        <v>49614</v>
      </c>
      <c r="D154" s="1049">
        <f t="shared" si="6"/>
        <v>11</v>
      </c>
      <c r="E154" s="1050">
        <f t="shared" si="7"/>
        <v>2035</v>
      </c>
      <c r="F154" s="1050">
        <f t="shared" si="13"/>
        <v>0</v>
      </c>
      <c r="G154" s="1050">
        <f t="shared" si="8"/>
        <v>0</v>
      </c>
      <c r="H154" s="1050">
        <f t="shared" si="9"/>
        <v>0</v>
      </c>
      <c r="I154" s="1050">
        <f t="shared" si="10"/>
        <v>0</v>
      </c>
      <c r="J154" s="1051">
        <f t="shared" si="11"/>
        <v>0</v>
      </c>
      <c r="K154" s="1043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897"/>
      <c r="W154" s="897"/>
      <c r="X154" s="897"/>
      <c r="Y154" s="897"/>
      <c r="Z154" s="897"/>
    </row>
    <row r="155" ht="15.75" customHeight="1">
      <c r="A155" s="308"/>
      <c r="B155" s="1026">
        <v>131.0</v>
      </c>
      <c r="C155" s="1048">
        <f t="shared" si="12"/>
        <v>49644</v>
      </c>
      <c r="D155" s="1049">
        <f t="shared" si="6"/>
        <v>12</v>
      </c>
      <c r="E155" s="1050">
        <f t="shared" si="7"/>
        <v>2035</v>
      </c>
      <c r="F155" s="1050">
        <f t="shared" si="13"/>
        <v>0</v>
      </c>
      <c r="G155" s="1050">
        <f t="shared" si="8"/>
        <v>0</v>
      </c>
      <c r="H155" s="1050">
        <f t="shared" si="9"/>
        <v>0</v>
      </c>
      <c r="I155" s="1050">
        <f t="shared" si="10"/>
        <v>0</v>
      </c>
      <c r="J155" s="1051">
        <f t="shared" si="11"/>
        <v>0</v>
      </c>
      <c r="K155" s="1043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897"/>
      <c r="W155" s="897"/>
      <c r="X155" s="897"/>
      <c r="Y155" s="897"/>
      <c r="Z155" s="897"/>
    </row>
    <row r="156" ht="15.75" customHeight="1">
      <c r="A156" s="308"/>
      <c r="B156" s="1026">
        <v>132.0</v>
      </c>
      <c r="C156" s="1048">
        <f t="shared" si="12"/>
        <v>49675</v>
      </c>
      <c r="D156" s="1049">
        <f t="shared" si="6"/>
        <v>1</v>
      </c>
      <c r="E156" s="1050">
        <f t="shared" si="7"/>
        <v>2036</v>
      </c>
      <c r="F156" s="1050">
        <f t="shared" si="13"/>
        <v>0</v>
      </c>
      <c r="G156" s="1050">
        <f t="shared" si="8"/>
        <v>0</v>
      </c>
      <c r="H156" s="1050">
        <f t="shared" si="9"/>
        <v>0</v>
      </c>
      <c r="I156" s="1050">
        <f t="shared" si="10"/>
        <v>0</v>
      </c>
      <c r="J156" s="1051">
        <f t="shared" si="11"/>
        <v>0</v>
      </c>
      <c r="K156" s="1043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897"/>
      <c r="W156" s="897"/>
      <c r="X156" s="897"/>
      <c r="Y156" s="897"/>
      <c r="Z156" s="897"/>
    </row>
    <row r="157" ht="15.75" customHeight="1">
      <c r="A157" s="308"/>
      <c r="B157" s="1026">
        <v>133.0</v>
      </c>
      <c r="C157" s="1048">
        <f t="shared" si="12"/>
        <v>49706</v>
      </c>
      <c r="D157" s="1049">
        <f t="shared" si="6"/>
        <v>2</v>
      </c>
      <c r="E157" s="1050">
        <f t="shared" si="7"/>
        <v>2036</v>
      </c>
      <c r="F157" s="1050">
        <f t="shared" si="13"/>
        <v>0</v>
      </c>
      <c r="G157" s="1050">
        <f t="shared" si="8"/>
        <v>0</v>
      </c>
      <c r="H157" s="1050">
        <f t="shared" si="9"/>
        <v>0</v>
      </c>
      <c r="I157" s="1050">
        <f t="shared" si="10"/>
        <v>0</v>
      </c>
      <c r="J157" s="1051">
        <f t="shared" si="11"/>
        <v>0</v>
      </c>
      <c r="K157" s="1043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897"/>
      <c r="W157" s="897"/>
      <c r="X157" s="897"/>
      <c r="Y157" s="897"/>
      <c r="Z157" s="897"/>
    </row>
    <row r="158" ht="15.75" customHeight="1">
      <c r="A158" s="308"/>
      <c r="B158" s="1026">
        <v>134.0</v>
      </c>
      <c r="C158" s="1048">
        <f t="shared" si="12"/>
        <v>49735</v>
      </c>
      <c r="D158" s="1049">
        <f t="shared" si="6"/>
        <v>3</v>
      </c>
      <c r="E158" s="1050">
        <f t="shared" si="7"/>
        <v>2036</v>
      </c>
      <c r="F158" s="1050">
        <f t="shared" si="13"/>
        <v>0</v>
      </c>
      <c r="G158" s="1050">
        <f t="shared" si="8"/>
        <v>0</v>
      </c>
      <c r="H158" s="1050">
        <f t="shared" si="9"/>
        <v>0</v>
      </c>
      <c r="I158" s="1050">
        <f t="shared" si="10"/>
        <v>0</v>
      </c>
      <c r="J158" s="1051">
        <f t="shared" si="11"/>
        <v>0</v>
      </c>
      <c r="K158" s="1043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897"/>
      <c r="W158" s="897"/>
      <c r="X158" s="897"/>
      <c r="Y158" s="897"/>
      <c r="Z158" s="897"/>
    </row>
    <row r="159" ht="15.75" customHeight="1">
      <c r="A159" s="308"/>
      <c r="B159" s="1026">
        <v>135.0</v>
      </c>
      <c r="C159" s="1048">
        <f t="shared" si="12"/>
        <v>49766</v>
      </c>
      <c r="D159" s="1049">
        <f t="shared" si="6"/>
        <v>4</v>
      </c>
      <c r="E159" s="1050">
        <f t="shared" si="7"/>
        <v>2036</v>
      </c>
      <c r="F159" s="1050">
        <f t="shared" si="13"/>
        <v>0</v>
      </c>
      <c r="G159" s="1050">
        <f t="shared" si="8"/>
        <v>0</v>
      </c>
      <c r="H159" s="1050">
        <f t="shared" si="9"/>
        <v>0</v>
      </c>
      <c r="I159" s="1050">
        <f t="shared" si="10"/>
        <v>0</v>
      </c>
      <c r="J159" s="1051">
        <f t="shared" si="11"/>
        <v>0</v>
      </c>
      <c r="K159" s="1043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897"/>
      <c r="W159" s="897"/>
      <c r="X159" s="897"/>
      <c r="Y159" s="897"/>
      <c r="Z159" s="897"/>
    </row>
    <row r="160" ht="15.75" customHeight="1">
      <c r="A160" s="308"/>
      <c r="B160" s="1026">
        <v>136.0</v>
      </c>
      <c r="C160" s="1048">
        <f t="shared" si="12"/>
        <v>49796</v>
      </c>
      <c r="D160" s="1049">
        <f t="shared" si="6"/>
        <v>5</v>
      </c>
      <c r="E160" s="1050">
        <f t="shared" si="7"/>
        <v>2036</v>
      </c>
      <c r="F160" s="1050">
        <f t="shared" si="13"/>
        <v>0</v>
      </c>
      <c r="G160" s="1050">
        <f t="shared" si="8"/>
        <v>0</v>
      </c>
      <c r="H160" s="1050">
        <f t="shared" si="9"/>
        <v>0</v>
      </c>
      <c r="I160" s="1050">
        <f t="shared" si="10"/>
        <v>0</v>
      </c>
      <c r="J160" s="1051">
        <f t="shared" si="11"/>
        <v>0</v>
      </c>
      <c r="K160" s="1043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897"/>
      <c r="W160" s="897"/>
      <c r="X160" s="897"/>
      <c r="Y160" s="897"/>
      <c r="Z160" s="897"/>
    </row>
    <row r="161" ht="15.75" customHeight="1">
      <c r="A161" s="308"/>
      <c r="B161" s="1026">
        <v>137.0</v>
      </c>
      <c r="C161" s="1048">
        <f t="shared" si="12"/>
        <v>49827</v>
      </c>
      <c r="D161" s="1049">
        <f t="shared" si="6"/>
        <v>6</v>
      </c>
      <c r="E161" s="1050">
        <f t="shared" si="7"/>
        <v>2036</v>
      </c>
      <c r="F161" s="1050">
        <f t="shared" si="13"/>
        <v>0</v>
      </c>
      <c r="G161" s="1050">
        <f t="shared" si="8"/>
        <v>0</v>
      </c>
      <c r="H161" s="1050">
        <f t="shared" si="9"/>
        <v>0</v>
      </c>
      <c r="I161" s="1050">
        <f t="shared" si="10"/>
        <v>0</v>
      </c>
      <c r="J161" s="1051">
        <f t="shared" si="11"/>
        <v>0</v>
      </c>
      <c r="K161" s="1043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897"/>
      <c r="W161" s="897"/>
      <c r="X161" s="897"/>
      <c r="Y161" s="897"/>
      <c r="Z161" s="897"/>
    </row>
    <row r="162" ht="15.75" customHeight="1">
      <c r="A162" s="308"/>
      <c r="B162" s="1026">
        <v>138.0</v>
      </c>
      <c r="C162" s="1048">
        <f t="shared" si="12"/>
        <v>49857</v>
      </c>
      <c r="D162" s="1049">
        <f t="shared" si="6"/>
        <v>7</v>
      </c>
      <c r="E162" s="1050">
        <f t="shared" si="7"/>
        <v>2036</v>
      </c>
      <c r="F162" s="1050">
        <f t="shared" si="13"/>
        <v>0</v>
      </c>
      <c r="G162" s="1050">
        <f t="shared" si="8"/>
        <v>0</v>
      </c>
      <c r="H162" s="1050">
        <f t="shared" si="9"/>
        <v>0</v>
      </c>
      <c r="I162" s="1050">
        <f t="shared" si="10"/>
        <v>0</v>
      </c>
      <c r="J162" s="1051">
        <f t="shared" si="11"/>
        <v>0</v>
      </c>
      <c r="K162" s="1043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897"/>
      <c r="W162" s="897"/>
      <c r="X162" s="897"/>
      <c r="Y162" s="897"/>
      <c r="Z162" s="897"/>
    </row>
    <row r="163" ht="15.75" customHeight="1">
      <c r="A163" s="308"/>
      <c r="B163" s="1026">
        <v>139.0</v>
      </c>
      <c r="C163" s="1048">
        <f t="shared" si="12"/>
        <v>49888</v>
      </c>
      <c r="D163" s="1049">
        <f t="shared" si="6"/>
        <v>8</v>
      </c>
      <c r="E163" s="1050">
        <f t="shared" si="7"/>
        <v>2036</v>
      </c>
      <c r="F163" s="1050">
        <f t="shared" si="13"/>
        <v>0</v>
      </c>
      <c r="G163" s="1050">
        <f t="shared" si="8"/>
        <v>0</v>
      </c>
      <c r="H163" s="1050">
        <f t="shared" si="9"/>
        <v>0</v>
      </c>
      <c r="I163" s="1050">
        <f t="shared" si="10"/>
        <v>0</v>
      </c>
      <c r="J163" s="1051">
        <f t="shared" si="11"/>
        <v>0</v>
      </c>
      <c r="K163" s="1043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897"/>
      <c r="W163" s="897"/>
      <c r="X163" s="897"/>
      <c r="Y163" s="897"/>
      <c r="Z163" s="897"/>
    </row>
    <row r="164" ht="15.75" customHeight="1">
      <c r="A164" s="308"/>
      <c r="B164" s="1026">
        <v>140.0</v>
      </c>
      <c r="C164" s="1048">
        <f t="shared" si="12"/>
        <v>49919</v>
      </c>
      <c r="D164" s="1049">
        <f t="shared" si="6"/>
        <v>9</v>
      </c>
      <c r="E164" s="1050">
        <f t="shared" si="7"/>
        <v>2036</v>
      </c>
      <c r="F164" s="1050">
        <f t="shared" si="13"/>
        <v>0</v>
      </c>
      <c r="G164" s="1050">
        <f t="shared" si="8"/>
        <v>0</v>
      </c>
      <c r="H164" s="1050">
        <f t="shared" si="9"/>
        <v>0</v>
      </c>
      <c r="I164" s="1050">
        <f t="shared" si="10"/>
        <v>0</v>
      </c>
      <c r="J164" s="1051">
        <f t="shared" si="11"/>
        <v>0</v>
      </c>
      <c r="K164" s="1043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897"/>
      <c r="W164" s="897"/>
      <c r="X164" s="897"/>
      <c r="Y164" s="897"/>
      <c r="Z164" s="897"/>
    </row>
    <row r="165" ht="15.75" customHeight="1">
      <c r="A165" s="308"/>
      <c r="B165" s="1026">
        <v>141.0</v>
      </c>
      <c r="C165" s="1048">
        <f t="shared" si="12"/>
        <v>49949</v>
      </c>
      <c r="D165" s="1049">
        <f t="shared" si="6"/>
        <v>10</v>
      </c>
      <c r="E165" s="1050">
        <f t="shared" si="7"/>
        <v>2036</v>
      </c>
      <c r="F165" s="1050">
        <f t="shared" si="13"/>
        <v>0</v>
      </c>
      <c r="G165" s="1050">
        <f t="shared" si="8"/>
        <v>0</v>
      </c>
      <c r="H165" s="1050">
        <f t="shared" si="9"/>
        <v>0</v>
      </c>
      <c r="I165" s="1050">
        <f t="shared" si="10"/>
        <v>0</v>
      </c>
      <c r="J165" s="1051">
        <f t="shared" si="11"/>
        <v>0</v>
      </c>
      <c r="K165" s="1043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897"/>
      <c r="W165" s="897"/>
      <c r="X165" s="897"/>
      <c r="Y165" s="897"/>
      <c r="Z165" s="897"/>
    </row>
    <row r="166" ht="15.75" customHeight="1">
      <c r="A166" s="308"/>
      <c r="B166" s="1026">
        <v>142.0</v>
      </c>
      <c r="C166" s="1048">
        <f t="shared" si="12"/>
        <v>49980</v>
      </c>
      <c r="D166" s="1049">
        <f t="shared" si="6"/>
        <v>11</v>
      </c>
      <c r="E166" s="1050">
        <f t="shared" si="7"/>
        <v>2036</v>
      </c>
      <c r="F166" s="1050">
        <f t="shared" si="13"/>
        <v>0</v>
      </c>
      <c r="G166" s="1050">
        <f t="shared" si="8"/>
        <v>0</v>
      </c>
      <c r="H166" s="1050">
        <f t="shared" si="9"/>
        <v>0</v>
      </c>
      <c r="I166" s="1050">
        <f t="shared" si="10"/>
        <v>0</v>
      </c>
      <c r="J166" s="1051">
        <f t="shared" si="11"/>
        <v>0</v>
      </c>
      <c r="K166" s="1043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897"/>
      <c r="W166" s="897"/>
      <c r="X166" s="897"/>
      <c r="Y166" s="897"/>
      <c r="Z166" s="897"/>
    </row>
    <row r="167" ht="15.75" customHeight="1">
      <c r="A167" s="308"/>
      <c r="B167" s="1026">
        <v>143.0</v>
      </c>
      <c r="C167" s="1048">
        <f t="shared" si="12"/>
        <v>50010</v>
      </c>
      <c r="D167" s="1049">
        <f t="shared" si="6"/>
        <v>12</v>
      </c>
      <c r="E167" s="1050">
        <f t="shared" si="7"/>
        <v>2036</v>
      </c>
      <c r="F167" s="1050">
        <f t="shared" si="13"/>
        <v>0</v>
      </c>
      <c r="G167" s="1050">
        <f t="shared" si="8"/>
        <v>0</v>
      </c>
      <c r="H167" s="1050">
        <f t="shared" si="9"/>
        <v>0</v>
      </c>
      <c r="I167" s="1050">
        <f t="shared" si="10"/>
        <v>0</v>
      </c>
      <c r="J167" s="1051">
        <f t="shared" si="11"/>
        <v>0</v>
      </c>
      <c r="K167" s="1043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897"/>
      <c r="W167" s="897"/>
      <c r="X167" s="897"/>
      <c r="Y167" s="897"/>
      <c r="Z167" s="897"/>
    </row>
    <row r="168" ht="15.75" customHeight="1">
      <c r="A168" s="308"/>
      <c r="B168" s="1026">
        <v>144.0</v>
      </c>
      <c r="C168" s="1048">
        <f t="shared" si="12"/>
        <v>50041</v>
      </c>
      <c r="D168" s="1049">
        <f t="shared" si="6"/>
        <v>1</v>
      </c>
      <c r="E168" s="1050">
        <f t="shared" si="7"/>
        <v>2037</v>
      </c>
      <c r="F168" s="1050">
        <f t="shared" si="13"/>
        <v>0</v>
      </c>
      <c r="G168" s="1050">
        <f t="shared" si="8"/>
        <v>0</v>
      </c>
      <c r="H168" s="1050">
        <f t="shared" si="9"/>
        <v>0</v>
      </c>
      <c r="I168" s="1050">
        <f t="shared" si="10"/>
        <v>0</v>
      </c>
      <c r="J168" s="1051">
        <f t="shared" si="11"/>
        <v>0</v>
      </c>
      <c r="K168" s="1043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897"/>
      <c r="W168" s="897"/>
      <c r="X168" s="897"/>
      <c r="Y168" s="897"/>
      <c r="Z168" s="897"/>
    </row>
    <row r="169" ht="15.75" customHeight="1">
      <c r="A169" s="308"/>
      <c r="B169" s="1026">
        <v>145.0</v>
      </c>
      <c r="C169" s="1048">
        <f t="shared" si="12"/>
        <v>50072</v>
      </c>
      <c r="D169" s="1049">
        <f t="shared" si="6"/>
        <v>2</v>
      </c>
      <c r="E169" s="1050">
        <f t="shared" si="7"/>
        <v>2037</v>
      </c>
      <c r="F169" s="1050">
        <f t="shared" si="13"/>
        <v>0</v>
      </c>
      <c r="G169" s="1050">
        <f t="shared" si="8"/>
        <v>0</v>
      </c>
      <c r="H169" s="1050">
        <f t="shared" si="9"/>
        <v>0</v>
      </c>
      <c r="I169" s="1050">
        <f t="shared" si="10"/>
        <v>0</v>
      </c>
      <c r="J169" s="1051">
        <f t="shared" si="11"/>
        <v>0</v>
      </c>
      <c r="K169" s="1043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897"/>
      <c r="W169" s="897"/>
      <c r="X169" s="897"/>
      <c r="Y169" s="897"/>
      <c r="Z169" s="897"/>
    </row>
    <row r="170" ht="15.75" customHeight="1">
      <c r="A170" s="308"/>
      <c r="B170" s="1026">
        <v>146.0</v>
      </c>
      <c r="C170" s="1048">
        <f t="shared" si="12"/>
        <v>50100</v>
      </c>
      <c r="D170" s="1049">
        <f t="shared" si="6"/>
        <v>3</v>
      </c>
      <c r="E170" s="1050">
        <f t="shared" si="7"/>
        <v>2037</v>
      </c>
      <c r="F170" s="1050">
        <f t="shared" si="13"/>
        <v>0</v>
      </c>
      <c r="G170" s="1050">
        <f t="shared" si="8"/>
        <v>0</v>
      </c>
      <c r="H170" s="1050">
        <f t="shared" si="9"/>
        <v>0</v>
      </c>
      <c r="I170" s="1050">
        <f t="shared" si="10"/>
        <v>0</v>
      </c>
      <c r="J170" s="1051">
        <f t="shared" si="11"/>
        <v>0</v>
      </c>
      <c r="K170" s="1043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897"/>
      <c r="W170" s="897"/>
      <c r="X170" s="897"/>
      <c r="Y170" s="897"/>
      <c r="Z170" s="897"/>
    </row>
    <row r="171" ht="15.75" customHeight="1">
      <c r="A171" s="308"/>
      <c r="B171" s="1026">
        <v>147.0</v>
      </c>
      <c r="C171" s="1048">
        <f t="shared" si="12"/>
        <v>50131</v>
      </c>
      <c r="D171" s="1049">
        <f t="shared" si="6"/>
        <v>4</v>
      </c>
      <c r="E171" s="1050">
        <f t="shared" si="7"/>
        <v>2037</v>
      </c>
      <c r="F171" s="1050">
        <f t="shared" si="13"/>
        <v>0</v>
      </c>
      <c r="G171" s="1050">
        <f t="shared" si="8"/>
        <v>0</v>
      </c>
      <c r="H171" s="1050">
        <f t="shared" si="9"/>
        <v>0</v>
      </c>
      <c r="I171" s="1050">
        <f t="shared" si="10"/>
        <v>0</v>
      </c>
      <c r="J171" s="1051">
        <f t="shared" si="11"/>
        <v>0</v>
      </c>
      <c r="K171" s="1043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897"/>
      <c r="W171" s="897"/>
      <c r="X171" s="897"/>
      <c r="Y171" s="897"/>
      <c r="Z171" s="897"/>
    </row>
    <row r="172" ht="15.75" customHeight="1">
      <c r="A172" s="308"/>
      <c r="B172" s="1026">
        <v>148.0</v>
      </c>
      <c r="C172" s="1048">
        <f t="shared" si="12"/>
        <v>50161</v>
      </c>
      <c r="D172" s="1049">
        <f t="shared" si="6"/>
        <v>5</v>
      </c>
      <c r="E172" s="1050">
        <f t="shared" si="7"/>
        <v>2037</v>
      </c>
      <c r="F172" s="1050">
        <f t="shared" si="13"/>
        <v>0</v>
      </c>
      <c r="G172" s="1050">
        <f t="shared" si="8"/>
        <v>0</v>
      </c>
      <c r="H172" s="1050">
        <f t="shared" si="9"/>
        <v>0</v>
      </c>
      <c r="I172" s="1050">
        <f t="shared" si="10"/>
        <v>0</v>
      </c>
      <c r="J172" s="1051">
        <f t="shared" si="11"/>
        <v>0</v>
      </c>
      <c r="K172" s="1043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897"/>
      <c r="W172" s="897"/>
      <c r="X172" s="897"/>
      <c r="Y172" s="897"/>
      <c r="Z172" s="897"/>
    </row>
    <row r="173" ht="15.75" customHeight="1">
      <c r="A173" s="308"/>
      <c r="B173" s="1026">
        <v>149.0</v>
      </c>
      <c r="C173" s="1048">
        <f t="shared" si="12"/>
        <v>50192</v>
      </c>
      <c r="D173" s="1049">
        <f t="shared" si="6"/>
        <v>6</v>
      </c>
      <c r="E173" s="1050">
        <f t="shared" si="7"/>
        <v>2037</v>
      </c>
      <c r="F173" s="1050">
        <f t="shared" si="13"/>
        <v>0</v>
      </c>
      <c r="G173" s="1050">
        <f t="shared" si="8"/>
        <v>0</v>
      </c>
      <c r="H173" s="1050">
        <f t="shared" si="9"/>
        <v>0</v>
      </c>
      <c r="I173" s="1050">
        <f t="shared" si="10"/>
        <v>0</v>
      </c>
      <c r="J173" s="1051">
        <f t="shared" si="11"/>
        <v>0</v>
      </c>
      <c r="K173" s="1043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897"/>
      <c r="W173" s="897"/>
      <c r="X173" s="897"/>
      <c r="Y173" s="897"/>
      <c r="Z173" s="897"/>
    </row>
    <row r="174" ht="15.75" customHeight="1">
      <c r="A174" s="308"/>
      <c r="B174" s="1026">
        <v>150.0</v>
      </c>
      <c r="C174" s="1048">
        <f t="shared" si="12"/>
        <v>50222</v>
      </c>
      <c r="D174" s="1049">
        <f t="shared" si="6"/>
        <v>7</v>
      </c>
      <c r="E174" s="1050">
        <f t="shared" si="7"/>
        <v>2037</v>
      </c>
      <c r="F174" s="1050">
        <f t="shared" si="13"/>
        <v>0</v>
      </c>
      <c r="G174" s="1050">
        <f t="shared" si="8"/>
        <v>0</v>
      </c>
      <c r="H174" s="1050">
        <f t="shared" si="9"/>
        <v>0</v>
      </c>
      <c r="I174" s="1050">
        <f t="shared" si="10"/>
        <v>0</v>
      </c>
      <c r="J174" s="1051">
        <f t="shared" si="11"/>
        <v>0</v>
      </c>
      <c r="K174" s="1043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897"/>
      <c r="W174" s="897"/>
      <c r="X174" s="897"/>
      <c r="Y174" s="897"/>
      <c r="Z174" s="897"/>
    </row>
    <row r="175" ht="15.75" customHeight="1">
      <c r="A175" s="308"/>
      <c r="B175" s="1026">
        <v>151.0</v>
      </c>
      <c r="C175" s="1048">
        <f t="shared" si="12"/>
        <v>50253</v>
      </c>
      <c r="D175" s="1049">
        <f t="shared" si="6"/>
        <v>8</v>
      </c>
      <c r="E175" s="1050">
        <f t="shared" si="7"/>
        <v>2037</v>
      </c>
      <c r="F175" s="1050">
        <f t="shared" si="13"/>
        <v>0</v>
      </c>
      <c r="G175" s="1050">
        <f t="shared" si="8"/>
        <v>0</v>
      </c>
      <c r="H175" s="1050">
        <f t="shared" si="9"/>
        <v>0</v>
      </c>
      <c r="I175" s="1050">
        <f t="shared" si="10"/>
        <v>0</v>
      </c>
      <c r="J175" s="1051">
        <f t="shared" si="11"/>
        <v>0</v>
      </c>
      <c r="K175" s="1043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897"/>
      <c r="W175" s="897"/>
      <c r="X175" s="897"/>
      <c r="Y175" s="897"/>
      <c r="Z175" s="897"/>
    </row>
    <row r="176" ht="15.75" customHeight="1">
      <c r="A176" s="308"/>
      <c r="B176" s="1026">
        <v>152.0</v>
      </c>
      <c r="C176" s="1048">
        <f t="shared" si="12"/>
        <v>50284</v>
      </c>
      <c r="D176" s="1049">
        <f t="shared" si="6"/>
        <v>9</v>
      </c>
      <c r="E176" s="1050">
        <f t="shared" si="7"/>
        <v>2037</v>
      </c>
      <c r="F176" s="1050">
        <f t="shared" si="13"/>
        <v>0</v>
      </c>
      <c r="G176" s="1050">
        <f t="shared" si="8"/>
        <v>0</v>
      </c>
      <c r="H176" s="1050">
        <f t="shared" si="9"/>
        <v>0</v>
      </c>
      <c r="I176" s="1050">
        <f t="shared" si="10"/>
        <v>0</v>
      </c>
      <c r="J176" s="1051">
        <f t="shared" si="11"/>
        <v>0</v>
      </c>
      <c r="K176" s="1043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897"/>
      <c r="W176" s="897"/>
      <c r="X176" s="897"/>
      <c r="Y176" s="897"/>
      <c r="Z176" s="897"/>
    </row>
    <row r="177" ht="15.75" customHeight="1">
      <c r="A177" s="308"/>
      <c r="B177" s="1026">
        <v>153.0</v>
      </c>
      <c r="C177" s="1048">
        <f t="shared" si="12"/>
        <v>50314</v>
      </c>
      <c r="D177" s="1049">
        <f t="shared" si="6"/>
        <v>10</v>
      </c>
      <c r="E177" s="1050">
        <f t="shared" si="7"/>
        <v>2037</v>
      </c>
      <c r="F177" s="1050">
        <f t="shared" si="13"/>
        <v>0</v>
      </c>
      <c r="G177" s="1050">
        <f t="shared" si="8"/>
        <v>0</v>
      </c>
      <c r="H177" s="1050">
        <f t="shared" si="9"/>
        <v>0</v>
      </c>
      <c r="I177" s="1050">
        <f t="shared" si="10"/>
        <v>0</v>
      </c>
      <c r="J177" s="1051">
        <f t="shared" si="11"/>
        <v>0</v>
      </c>
      <c r="K177" s="1043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897"/>
      <c r="W177" s="897"/>
      <c r="X177" s="897"/>
      <c r="Y177" s="897"/>
      <c r="Z177" s="897"/>
    </row>
    <row r="178" ht="15.75" customHeight="1">
      <c r="A178" s="308"/>
      <c r="B178" s="1026">
        <v>154.0</v>
      </c>
      <c r="C178" s="1048">
        <f t="shared" si="12"/>
        <v>50345</v>
      </c>
      <c r="D178" s="1049">
        <f t="shared" si="6"/>
        <v>11</v>
      </c>
      <c r="E178" s="1050">
        <f t="shared" si="7"/>
        <v>2037</v>
      </c>
      <c r="F178" s="1050">
        <f t="shared" si="13"/>
        <v>0</v>
      </c>
      <c r="G178" s="1050">
        <f t="shared" si="8"/>
        <v>0</v>
      </c>
      <c r="H178" s="1050">
        <f t="shared" si="9"/>
        <v>0</v>
      </c>
      <c r="I178" s="1050">
        <f t="shared" si="10"/>
        <v>0</v>
      </c>
      <c r="J178" s="1051">
        <f t="shared" si="11"/>
        <v>0</v>
      </c>
      <c r="K178" s="1043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897"/>
      <c r="W178" s="897"/>
      <c r="X178" s="897"/>
      <c r="Y178" s="897"/>
      <c r="Z178" s="897"/>
    </row>
    <row r="179" ht="15.75" customHeight="1">
      <c r="A179" s="308"/>
      <c r="B179" s="1026">
        <v>155.0</v>
      </c>
      <c r="C179" s="1048">
        <f t="shared" si="12"/>
        <v>50375</v>
      </c>
      <c r="D179" s="1049">
        <f t="shared" si="6"/>
        <v>12</v>
      </c>
      <c r="E179" s="1050">
        <f t="shared" si="7"/>
        <v>2037</v>
      </c>
      <c r="F179" s="1050">
        <f t="shared" si="13"/>
        <v>0</v>
      </c>
      <c r="G179" s="1050">
        <f t="shared" si="8"/>
        <v>0</v>
      </c>
      <c r="H179" s="1050">
        <f t="shared" si="9"/>
        <v>0</v>
      </c>
      <c r="I179" s="1050">
        <f t="shared" si="10"/>
        <v>0</v>
      </c>
      <c r="J179" s="1051">
        <f t="shared" si="11"/>
        <v>0</v>
      </c>
      <c r="K179" s="1043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897"/>
      <c r="W179" s="897"/>
      <c r="X179" s="897"/>
      <c r="Y179" s="897"/>
      <c r="Z179" s="897"/>
    </row>
    <row r="180" ht="15.75" customHeight="1">
      <c r="A180" s="308"/>
      <c r="B180" s="1026">
        <v>156.0</v>
      </c>
      <c r="C180" s="1048">
        <f t="shared" si="12"/>
        <v>50406</v>
      </c>
      <c r="D180" s="1049">
        <f t="shared" si="6"/>
        <v>1</v>
      </c>
      <c r="E180" s="1050">
        <f t="shared" si="7"/>
        <v>2038</v>
      </c>
      <c r="F180" s="1050">
        <f t="shared" si="13"/>
        <v>0</v>
      </c>
      <c r="G180" s="1050">
        <f t="shared" si="8"/>
        <v>0</v>
      </c>
      <c r="H180" s="1050">
        <f t="shared" si="9"/>
        <v>0</v>
      </c>
      <c r="I180" s="1050">
        <f t="shared" si="10"/>
        <v>0</v>
      </c>
      <c r="J180" s="1051">
        <f t="shared" si="11"/>
        <v>0</v>
      </c>
      <c r="K180" s="1043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897"/>
      <c r="W180" s="897"/>
      <c r="X180" s="897"/>
      <c r="Y180" s="897"/>
      <c r="Z180" s="897"/>
    </row>
    <row r="181" ht="15.75" customHeight="1">
      <c r="A181" s="308"/>
      <c r="B181" s="1026">
        <v>157.0</v>
      </c>
      <c r="C181" s="1048">
        <f t="shared" si="12"/>
        <v>50437</v>
      </c>
      <c r="D181" s="1049">
        <f t="shared" si="6"/>
        <v>2</v>
      </c>
      <c r="E181" s="1050">
        <f t="shared" si="7"/>
        <v>2038</v>
      </c>
      <c r="F181" s="1050">
        <f t="shared" si="13"/>
        <v>0</v>
      </c>
      <c r="G181" s="1050">
        <f t="shared" si="8"/>
        <v>0</v>
      </c>
      <c r="H181" s="1050">
        <f t="shared" si="9"/>
        <v>0</v>
      </c>
      <c r="I181" s="1050">
        <f t="shared" si="10"/>
        <v>0</v>
      </c>
      <c r="J181" s="1051">
        <f t="shared" si="11"/>
        <v>0</v>
      </c>
      <c r="K181" s="1043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897"/>
      <c r="W181" s="897"/>
      <c r="X181" s="897"/>
      <c r="Y181" s="897"/>
      <c r="Z181" s="897"/>
    </row>
    <row r="182" ht="15.75" customHeight="1">
      <c r="A182" s="308"/>
      <c r="B182" s="1026">
        <v>158.0</v>
      </c>
      <c r="C182" s="1048">
        <f t="shared" si="12"/>
        <v>50465</v>
      </c>
      <c r="D182" s="1049">
        <f t="shared" si="6"/>
        <v>3</v>
      </c>
      <c r="E182" s="1050">
        <f t="shared" si="7"/>
        <v>2038</v>
      </c>
      <c r="F182" s="1050">
        <f t="shared" si="13"/>
        <v>0</v>
      </c>
      <c r="G182" s="1050">
        <f t="shared" si="8"/>
        <v>0</v>
      </c>
      <c r="H182" s="1050">
        <f t="shared" si="9"/>
        <v>0</v>
      </c>
      <c r="I182" s="1050">
        <f t="shared" si="10"/>
        <v>0</v>
      </c>
      <c r="J182" s="1051">
        <f t="shared" si="11"/>
        <v>0</v>
      </c>
      <c r="K182" s="1043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897"/>
      <c r="W182" s="897"/>
      <c r="X182" s="897"/>
      <c r="Y182" s="897"/>
      <c r="Z182" s="897"/>
    </row>
    <row r="183" ht="15.75" customHeight="1">
      <c r="A183" s="308"/>
      <c r="B183" s="1026">
        <v>159.0</v>
      </c>
      <c r="C183" s="1048">
        <f t="shared" si="12"/>
        <v>50496</v>
      </c>
      <c r="D183" s="1049">
        <f t="shared" si="6"/>
        <v>4</v>
      </c>
      <c r="E183" s="1050">
        <f t="shared" si="7"/>
        <v>2038</v>
      </c>
      <c r="F183" s="1050">
        <f t="shared" si="13"/>
        <v>0</v>
      </c>
      <c r="G183" s="1050">
        <f t="shared" si="8"/>
        <v>0</v>
      </c>
      <c r="H183" s="1050">
        <f t="shared" si="9"/>
        <v>0</v>
      </c>
      <c r="I183" s="1050">
        <f t="shared" si="10"/>
        <v>0</v>
      </c>
      <c r="J183" s="1051">
        <f t="shared" si="11"/>
        <v>0</v>
      </c>
      <c r="K183" s="1043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897"/>
      <c r="W183" s="897"/>
      <c r="X183" s="897"/>
      <c r="Y183" s="897"/>
      <c r="Z183" s="897"/>
    </row>
    <row r="184" ht="15.75" customHeight="1">
      <c r="A184" s="308"/>
      <c r="B184" s="1026">
        <v>160.0</v>
      </c>
      <c r="C184" s="1048">
        <f t="shared" si="12"/>
        <v>50526</v>
      </c>
      <c r="D184" s="1049">
        <f t="shared" si="6"/>
        <v>5</v>
      </c>
      <c r="E184" s="1050">
        <f t="shared" si="7"/>
        <v>2038</v>
      </c>
      <c r="F184" s="1050">
        <f t="shared" si="13"/>
        <v>0</v>
      </c>
      <c r="G184" s="1050">
        <f t="shared" si="8"/>
        <v>0</v>
      </c>
      <c r="H184" s="1050">
        <f t="shared" si="9"/>
        <v>0</v>
      </c>
      <c r="I184" s="1050">
        <f t="shared" si="10"/>
        <v>0</v>
      </c>
      <c r="J184" s="1051">
        <f t="shared" si="11"/>
        <v>0</v>
      </c>
      <c r="K184" s="1043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897"/>
      <c r="W184" s="897"/>
      <c r="X184" s="897"/>
      <c r="Y184" s="897"/>
      <c r="Z184" s="897"/>
    </row>
    <row r="185" ht="15.75" customHeight="1">
      <c r="A185" s="308"/>
      <c r="B185" s="1026">
        <v>161.0</v>
      </c>
      <c r="C185" s="1048">
        <f t="shared" si="12"/>
        <v>50557</v>
      </c>
      <c r="D185" s="1049">
        <f t="shared" si="6"/>
        <v>6</v>
      </c>
      <c r="E185" s="1050">
        <f t="shared" si="7"/>
        <v>2038</v>
      </c>
      <c r="F185" s="1050">
        <f t="shared" si="13"/>
        <v>0</v>
      </c>
      <c r="G185" s="1050">
        <f t="shared" si="8"/>
        <v>0</v>
      </c>
      <c r="H185" s="1050">
        <f t="shared" si="9"/>
        <v>0</v>
      </c>
      <c r="I185" s="1050">
        <f t="shared" si="10"/>
        <v>0</v>
      </c>
      <c r="J185" s="1051">
        <f t="shared" si="11"/>
        <v>0</v>
      </c>
      <c r="K185" s="1043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897"/>
      <c r="W185" s="897"/>
      <c r="X185" s="897"/>
      <c r="Y185" s="897"/>
      <c r="Z185" s="897"/>
    </row>
    <row r="186" ht="15.75" customHeight="1">
      <c r="A186" s="308"/>
      <c r="B186" s="1026">
        <v>162.0</v>
      </c>
      <c r="C186" s="1048">
        <f t="shared" si="12"/>
        <v>50587</v>
      </c>
      <c r="D186" s="1049">
        <f t="shared" si="6"/>
        <v>7</v>
      </c>
      <c r="E186" s="1050">
        <f t="shared" si="7"/>
        <v>2038</v>
      </c>
      <c r="F186" s="1050">
        <f t="shared" si="13"/>
        <v>0</v>
      </c>
      <c r="G186" s="1050">
        <f t="shared" si="8"/>
        <v>0</v>
      </c>
      <c r="H186" s="1050">
        <f t="shared" si="9"/>
        <v>0</v>
      </c>
      <c r="I186" s="1050">
        <f t="shared" si="10"/>
        <v>0</v>
      </c>
      <c r="J186" s="1051">
        <f t="shared" si="11"/>
        <v>0</v>
      </c>
      <c r="K186" s="1043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897"/>
      <c r="W186" s="897"/>
      <c r="X186" s="897"/>
      <c r="Y186" s="897"/>
      <c r="Z186" s="897"/>
    </row>
    <row r="187" ht="15.75" customHeight="1">
      <c r="A187" s="308"/>
      <c r="B187" s="1026">
        <v>163.0</v>
      </c>
      <c r="C187" s="1048">
        <f t="shared" si="12"/>
        <v>50618</v>
      </c>
      <c r="D187" s="1049">
        <f t="shared" si="6"/>
        <v>8</v>
      </c>
      <c r="E187" s="1050">
        <f t="shared" si="7"/>
        <v>2038</v>
      </c>
      <c r="F187" s="1050">
        <f t="shared" si="13"/>
        <v>0</v>
      </c>
      <c r="G187" s="1050">
        <f t="shared" si="8"/>
        <v>0</v>
      </c>
      <c r="H187" s="1050">
        <f t="shared" si="9"/>
        <v>0</v>
      </c>
      <c r="I187" s="1050">
        <f t="shared" si="10"/>
        <v>0</v>
      </c>
      <c r="J187" s="1051">
        <f t="shared" si="11"/>
        <v>0</v>
      </c>
      <c r="K187" s="1043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897"/>
      <c r="W187" s="897"/>
      <c r="X187" s="897"/>
      <c r="Y187" s="897"/>
      <c r="Z187" s="897"/>
    </row>
    <row r="188" ht="15.75" customHeight="1">
      <c r="A188" s="308"/>
      <c r="B188" s="1026">
        <v>164.0</v>
      </c>
      <c r="C188" s="1048">
        <f t="shared" si="12"/>
        <v>50649</v>
      </c>
      <c r="D188" s="1049">
        <f t="shared" si="6"/>
        <v>9</v>
      </c>
      <c r="E188" s="1050">
        <f t="shared" si="7"/>
        <v>2038</v>
      </c>
      <c r="F188" s="1050">
        <f t="shared" si="13"/>
        <v>0</v>
      </c>
      <c r="G188" s="1050">
        <f t="shared" si="8"/>
        <v>0</v>
      </c>
      <c r="H188" s="1050">
        <f t="shared" si="9"/>
        <v>0</v>
      </c>
      <c r="I188" s="1050">
        <f t="shared" si="10"/>
        <v>0</v>
      </c>
      <c r="J188" s="1051">
        <f t="shared" si="11"/>
        <v>0</v>
      </c>
      <c r="K188" s="1043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897"/>
      <c r="W188" s="897"/>
      <c r="X188" s="897"/>
      <c r="Y188" s="897"/>
      <c r="Z188" s="897"/>
    </row>
    <row r="189" ht="15.75" customHeight="1">
      <c r="A189" s="308"/>
      <c r="B189" s="1026">
        <v>165.0</v>
      </c>
      <c r="C189" s="1048">
        <f t="shared" si="12"/>
        <v>50679</v>
      </c>
      <c r="D189" s="1049">
        <f t="shared" si="6"/>
        <v>10</v>
      </c>
      <c r="E189" s="1050">
        <f t="shared" si="7"/>
        <v>2038</v>
      </c>
      <c r="F189" s="1050">
        <f t="shared" si="13"/>
        <v>0</v>
      </c>
      <c r="G189" s="1050">
        <f t="shared" si="8"/>
        <v>0</v>
      </c>
      <c r="H189" s="1050">
        <f t="shared" si="9"/>
        <v>0</v>
      </c>
      <c r="I189" s="1050">
        <f t="shared" si="10"/>
        <v>0</v>
      </c>
      <c r="J189" s="1051">
        <f t="shared" si="11"/>
        <v>0</v>
      </c>
      <c r="K189" s="1043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897"/>
      <c r="W189" s="897"/>
      <c r="X189" s="897"/>
      <c r="Y189" s="897"/>
      <c r="Z189" s="897"/>
    </row>
    <row r="190" ht="15.75" customHeight="1">
      <c r="A190" s="308"/>
      <c r="B190" s="1026">
        <v>166.0</v>
      </c>
      <c r="C190" s="1048">
        <f t="shared" si="12"/>
        <v>50710</v>
      </c>
      <c r="D190" s="1049">
        <f t="shared" si="6"/>
        <v>11</v>
      </c>
      <c r="E190" s="1050">
        <f t="shared" si="7"/>
        <v>2038</v>
      </c>
      <c r="F190" s="1050">
        <f t="shared" si="13"/>
        <v>0</v>
      </c>
      <c r="G190" s="1050">
        <f t="shared" si="8"/>
        <v>0</v>
      </c>
      <c r="H190" s="1050">
        <f t="shared" si="9"/>
        <v>0</v>
      </c>
      <c r="I190" s="1050">
        <f t="shared" si="10"/>
        <v>0</v>
      </c>
      <c r="J190" s="1051">
        <f t="shared" si="11"/>
        <v>0</v>
      </c>
      <c r="K190" s="1043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897"/>
      <c r="W190" s="897"/>
      <c r="X190" s="897"/>
      <c r="Y190" s="897"/>
      <c r="Z190" s="897"/>
    </row>
    <row r="191" ht="15.75" customHeight="1">
      <c r="A191" s="308"/>
      <c r="B191" s="1026">
        <v>167.0</v>
      </c>
      <c r="C191" s="1048">
        <f t="shared" si="12"/>
        <v>50740</v>
      </c>
      <c r="D191" s="1049">
        <f t="shared" si="6"/>
        <v>12</v>
      </c>
      <c r="E191" s="1050">
        <f t="shared" si="7"/>
        <v>2038</v>
      </c>
      <c r="F191" s="1050">
        <f t="shared" si="13"/>
        <v>0</v>
      </c>
      <c r="G191" s="1050">
        <f t="shared" si="8"/>
        <v>0</v>
      </c>
      <c r="H191" s="1050">
        <f t="shared" si="9"/>
        <v>0</v>
      </c>
      <c r="I191" s="1050">
        <f t="shared" si="10"/>
        <v>0</v>
      </c>
      <c r="J191" s="1051">
        <f t="shared" si="11"/>
        <v>0</v>
      </c>
      <c r="K191" s="1043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897"/>
      <c r="W191" s="897"/>
      <c r="X191" s="897"/>
      <c r="Y191" s="897"/>
      <c r="Z191" s="897"/>
    </row>
    <row r="192" ht="15.75" customHeight="1">
      <c r="A192" s="308"/>
      <c r="B192" s="1026">
        <v>168.0</v>
      </c>
      <c r="C192" s="1048">
        <f t="shared" si="12"/>
        <v>50771</v>
      </c>
      <c r="D192" s="1049">
        <f t="shared" si="6"/>
        <v>1</v>
      </c>
      <c r="E192" s="1050">
        <f t="shared" si="7"/>
        <v>2039</v>
      </c>
      <c r="F192" s="1050">
        <f t="shared" si="13"/>
        <v>0</v>
      </c>
      <c r="G192" s="1050">
        <f t="shared" si="8"/>
        <v>0</v>
      </c>
      <c r="H192" s="1050">
        <f t="shared" si="9"/>
        <v>0</v>
      </c>
      <c r="I192" s="1050">
        <f t="shared" si="10"/>
        <v>0</v>
      </c>
      <c r="J192" s="1051">
        <f t="shared" si="11"/>
        <v>0</v>
      </c>
      <c r="K192" s="1043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897"/>
      <c r="W192" s="897"/>
      <c r="X192" s="897"/>
      <c r="Y192" s="897"/>
      <c r="Z192" s="897"/>
    </row>
    <row r="193" ht="15.75" customHeight="1">
      <c r="A193" s="308"/>
      <c r="B193" s="1026">
        <v>169.0</v>
      </c>
      <c r="C193" s="1048">
        <f t="shared" si="12"/>
        <v>50802</v>
      </c>
      <c r="D193" s="1049">
        <f t="shared" si="6"/>
        <v>2</v>
      </c>
      <c r="E193" s="1050">
        <f t="shared" si="7"/>
        <v>2039</v>
      </c>
      <c r="F193" s="1050">
        <f t="shared" si="13"/>
        <v>0</v>
      </c>
      <c r="G193" s="1050">
        <f t="shared" si="8"/>
        <v>0</v>
      </c>
      <c r="H193" s="1050">
        <f t="shared" si="9"/>
        <v>0</v>
      </c>
      <c r="I193" s="1050">
        <f t="shared" si="10"/>
        <v>0</v>
      </c>
      <c r="J193" s="1051">
        <f t="shared" si="11"/>
        <v>0</v>
      </c>
      <c r="K193" s="1043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897"/>
      <c r="W193" s="897"/>
      <c r="X193" s="897"/>
      <c r="Y193" s="897"/>
      <c r="Z193" s="897"/>
    </row>
    <row r="194" ht="15.75" customHeight="1">
      <c r="A194" s="308"/>
      <c r="B194" s="1026">
        <v>170.0</v>
      </c>
      <c r="C194" s="1048">
        <f t="shared" si="12"/>
        <v>50830</v>
      </c>
      <c r="D194" s="1049">
        <f t="shared" si="6"/>
        <v>3</v>
      </c>
      <c r="E194" s="1050">
        <f t="shared" si="7"/>
        <v>2039</v>
      </c>
      <c r="F194" s="1050">
        <f t="shared" si="13"/>
        <v>0</v>
      </c>
      <c r="G194" s="1050">
        <f t="shared" si="8"/>
        <v>0</v>
      </c>
      <c r="H194" s="1050">
        <f t="shared" si="9"/>
        <v>0</v>
      </c>
      <c r="I194" s="1050">
        <f t="shared" si="10"/>
        <v>0</v>
      </c>
      <c r="J194" s="1051">
        <f t="shared" si="11"/>
        <v>0</v>
      </c>
      <c r="K194" s="1043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897"/>
      <c r="W194" s="897"/>
      <c r="X194" s="897"/>
      <c r="Y194" s="897"/>
      <c r="Z194" s="897"/>
    </row>
    <row r="195" ht="15.75" customHeight="1">
      <c r="A195" s="308"/>
      <c r="B195" s="1026">
        <v>171.0</v>
      </c>
      <c r="C195" s="1048">
        <f t="shared" si="12"/>
        <v>50861</v>
      </c>
      <c r="D195" s="1049">
        <f t="shared" si="6"/>
        <v>4</v>
      </c>
      <c r="E195" s="1050">
        <f t="shared" si="7"/>
        <v>2039</v>
      </c>
      <c r="F195" s="1050">
        <f t="shared" si="13"/>
        <v>0</v>
      </c>
      <c r="G195" s="1050">
        <f t="shared" si="8"/>
        <v>0</v>
      </c>
      <c r="H195" s="1050">
        <f t="shared" si="9"/>
        <v>0</v>
      </c>
      <c r="I195" s="1050">
        <f t="shared" si="10"/>
        <v>0</v>
      </c>
      <c r="J195" s="1051">
        <f t="shared" si="11"/>
        <v>0</v>
      </c>
      <c r="K195" s="1043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897"/>
      <c r="W195" s="897"/>
      <c r="X195" s="897"/>
      <c r="Y195" s="897"/>
      <c r="Z195" s="897"/>
    </row>
    <row r="196" ht="15.75" customHeight="1">
      <c r="A196" s="308"/>
      <c r="B196" s="1026">
        <v>172.0</v>
      </c>
      <c r="C196" s="1048">
        <f t="shared" si="12"/>
        <v>50891</v>
      </c>
      <c r="D196" s="1049">
        <f t="shared" si="6"/>
        <v>5</v>
      </c>
      <c r="E196" s="1050">
        <f t="shared" si="7"/>
        <v>2039</v>
      </c>
      <c r="F196" s="1050">
        <f t="shared" si="13"/>
        <v>0</v>
      </c>
      <c r="G196" s="1050">
        <f t="shared" si="8"/>
        <v>0</v>
      </c>
      <c r="H196" s="1050">
        <f t="shared" si="9"/>
        <v>0</v>
      </c>
      <c r="I196" s="1050">
        <f t="shared" si="10"/>
        <v>0</v>
      </c>
      <c r="J196" s="1051">
        <f t="shared" si="11"/>
        <v>0</v>
      </c>
      <c r="K196" s="1043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897"/>
      <c r="W196" s="897"/>
      <c r="X196" s="897"/>
      <c r="Y196" s="897"/>
      <c r="Z196" s="897"/>
    </row>
    <row r="197" ht="15.75" customHeight="1">
      <c r="A197" s="308"/>
      <c r="B197" s="1026">
        <v>173.0</v>
      </c>
      <c r="C197" s="1048">
        <f t="shared" si="12"/>
        <v>50922</v>
      </c>
      <c r="D197" s="1049">
        <f t="shared" si="6"/>
        <v>6</v>
      </c>
      <c r="E197" s="1050">
        <f t="shared" si="7"/>
        <v>2039</v>
      </c>
      <c r="F197" s="1050">
        <f t="shared" si="13"/>
        <v>0</v>
      </c>
      <c r="G197" s="1050">
        <f t="shared" si="8"/>
        <v>0</v>
      </c>
      <c r="H197" s="1050">
        <f t="shared" si="9"/>
        <v>0</v>
      </c>
      <c r="I197" s="1050">
        <f t="shared" si="10"/>
        <v>0</v>
      </c>
      <c r="J197" s="1051">
        <f t="shared" si="11"/>
        <v>0</v>
      </c>
      <c r="K197" s="1043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897"/>
      <c r="W197" s="897"/>
      <c r="X197" s="897"/>
      <c r="Y197" s="897"/>
      <c r="Z197" s="897"/>
    </row>
    <row r="198" ht="15.75" customHeight="1">
      <c r="A198" s="308"/>
      <c r="B198" s="1026">
        <v>174.0</v>
      </c>
      <c r="C198" s="1048">
        <f t="shared" si="12"/>
        <v>50952</v>
      </c>
      <c r="D198" s="1049">
        <f t="shared" si="6"/>
        <v>7</v>
      </c>
      <c r="E198" s="1050">
        <f t="shared" si="7"/>
        <v>2039</v>
      </c>
      <c r="F198" s="1050">
        <f t="shared" si="13"/>
        <v>0</v>
      </c>
      <c r="G198" s="1050">
        <f t="shared" si="8"/>
        <v>0</v>
      </c>
      <c r="H198" s="1050">
        <f t="shared" si="9"/>
        <v>0</v>
      </c>
      <c r="I198" s="1050">
        <f t="shared" si="10"/>
        <v>0</v>
      </c>
      <c r="J198" s="1051">
        <f t="shared" si="11"/>
        <v>0</v>
      </c>
      <c r="K198" s="1043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897"/>
      <c r="W198" s="897"/>
      <c r="X198" s="897"/>
      <c r="Y198" s="897"/>
      <c r="Z198" s="897"/>
    </row>
    <row r="199" ht="15.75" customHeight="1">
      <c r="A199" s="308"/>
      <c r="B199" s="1026">
        <v>175.0</v>
      </c>
      <c r="C199" s="1048">
        <f t="shared" si="12"/>
        <v>50983</v>
      </c>
      <c r="D199" s="1049">
        <f t="shared" si="6"/>
        <v>8</v>
      </c>
      <c r="E199" s="1050">
        <f t="shared" si="7"/>
        <v>2039</v>
      </c>
      <c r="F199" s="1050">
        <f t="shared" si="13"/>
        <v>0</v>
      </c>
      <c r="G199" s="1050">
        <f t="shared" si="8"/>
        <v>0</v>
      </c>
      <c r="H199" s="1050">
        <f t="shared" si="9"/>
        <v>0</v>
      </c>
      <c r="I199" s="1050">
        <f t="shared" si="10"/>
        <v>0</v>
      </c>
      <c r="J199" s="1051">
        <f t="shared" si="11"/>
        <v>0</v>
      </c>
      <c r="K199" s="1043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897"/>
      <c r="W199" s="897"/>
      <c r="X199" s="897"/>
      <c r="Y199" s="897"/>
      <c r="Z199" s="897"/>
    </row>
    <row r="200" ht="15.75" customHeight="1">
      <c r="A200" s="308"/>
      <c r="B200" s="1026">
        <v>176.0</v>
      </c>
      <c r="C200" s="1048">
        <f t="shared" si="12"/>
        <v>51014</v>
      </c>
      <c r="D200" s="1049">
        <f t="shared" si="6"/>
        <v>9</v>
      </c>
      <c r="E200" s="1050">
        <f t="shared" si="7"/>
        <v>2039</v>
      </c>
      <c r="F200" s="1050">
        <f t="shared" si="13"/>
        <v>0</v>
      </c>
      <c r="G200" s="1050">
        <f t="shared" si="8"/>
        <v>0</v>
      </c>
      <c r="H200" s="1050">
        <f t="shared" si="9"/>
        <v>0</v>
      </c>
      <c r="I200" s="1050">
        <f t="shared" si="10"/>
        <v>0</v>
      </c>
      <c r="J200" s="1051">
        <f t="shared" si="11"/>
        <v>0</v>
      </c>
      <c r="K200" s="1043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897"/>
      <c r="W200" s="897"/>
      <c r="X200" s="897"/>
      <c r="Y200" s="897"/>
      <c r="Z200" s="897"/>
    </row>
    <row r="201" ht="15.75" customHeight="1">
      <c r="A201" s="308"/>
      <c r="B201" s="1026">
        <v>177.0</v>
      </c>
      <c r="C201" s="1048">
        <f t="shared" si="12"/>
        <v>51044</v>
      </c>
      <c r="D201" s="1049">
        <f t="shared" si="6"/>
        <v>10</v>
      </c>
      <c r="E201" s="1050">
        <f t="shared" si="7"/>
        <v>2039</v>
      </c>
      <c r="F201" s="1050">
        <f t="shared" si="13"/>
        <v>0</v>
      </c>
      <c r="G201" s="1050">
        <f t="shared" si="8"/>
        <v>0</v>
      </c>
      <c r="H201" s="1050">
        <f t="shared" si="9"/>
        <v>0</v>
      </c>
      <c r="I201" s="1050">
        <f t="shared" si="10"/>
        <v>0</v>
      </c>
      <c r="J201" s="1051">
        <f t="shared" si="11"/>
        <v>0</v>
      </c>
      <c r="K201" s="1043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897"/>
      <c r="W201" s="897"/>
      <c r="X201" s="897"/>
      <c r="Y201" s="897"/>
      <c r="Z201" s="897"/>
    </row>
    <row r="202" ht="15.75" customHeight="1">
      <c r="A202" s="308"/>
      <c r="B202" s="1026">
        <v>178.0</v>
      </c>
      <c r="C202" s="1048">
        <f t="shared" si="12"/>
        <v>51075</v>
      </c>
      <c r="D202" s="1049">
        <f t="shared" si="6"/>
        <v>11</v>
      </c>
      <c r="E202" s="1050">
        <f t="shared" si="7"/>
        <v>2039</v>
      </c>
      <c r="F202" s="1050">
        <f t="shared" si="13"/>
        <v>0</v>
      </c>
      <c r="G202" s="1050">
        <f t="shared" si="8"/>
        <v>0</v>
      </c>
      <c r="H202" s="1050">
        <f t="shared" si="9"/>
        <v>0</v>
      </c>
      <c r="I202" s="1050">
        <f t="shared" si="10"/>
        <v>0</v>
      </c>
      <c r="J202" s="1051">
        <f t="shared" si="11"/>
        <v>0</v>
      </c>
      <c r="K202" s="1043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897"/>
      <c r="W202" s="897"/>
      <c r="X202" s="897"/>
      <c r="Y202" s="897"/>
      <c r="Z202" s="897"/>
    </row>
    <row r="203" ht="15.75" customHeight="1">
      <c r="A203" s="308"/>
      <c r="B203" s="1026">
        <v>179.0</v>
      </c>
      <c r="C203" s="1048">
        <f t="shared" si="12"/>
        <v>51105</v>
      </c>
      <c r="D203" s="1049">
        <f t="shared" si="6"/>
        <v>12</v>
      </c>
      <c r="E203" s="1050">
        <f t="shared" si="7"/>
        <v>2039</v>
      </c>
      <c r="F203" s="1050">
        <f t="shared" si="13"/>
        <v>0</v>
      </c>
      <c r="G203" s="1050">
        <f t="shared" si="8"/>
        <v>0</v>
      </c>
      <c r="H203" s="1050">
        <f t="shared" si="9"/>
        <v>0</v>
      </c>
      <c r="I203" s="1050">
        <f t="shared" si="10"/>
        <v>0</v>
      </c>
      <c r="J203" s="1051">
        <f t="shared" si="11"/>
        <v>0</v>
      </c>
      <c r="K203" s="1043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897"/>
      <c r="W203" s="897"/>
      <c r="X203" s="897"/>
      <c r="Y203" s="897"/>
      <c r="Z203" s="897"/>
    </row>
    <row r="204" ht="15.75" customHeight="1">
      <c r="A204" s="308"/>
      <c r="B204" s="1026">
        <v>180.0</v>
      </c>
      <c r="C204" s="1048">
        <f t="shared" si="12"/>
        <v>51136</v>
      </c>
      <c r="D204" s="1049">
        <f t="shared" si="6"/>
        <v>1</v>
      </c>
      <c r="E204" s="1050">
        <f t="shared" si="7"/>
        <v>2040</v>
      </c>
      <c r="F204" s="1050">
        <f t="shared" si="13"/>
        <v>0</v>
      </c>
      <c r="G204" s="1050">
        <f t="shared" si="8"/>
        <v>0</v>
      </c>
      <c r="H204" s="1050">
        <f t="shared" si="9"/>
        <v>0</v>
      </c>
      <c r="I204" s="1050">
        <f t="shared" si="10"/>
        <v>0</v>
      </c>
      <c r="J204" s="1051">
        <f t="shared" si="11"/>
        <v>0</v>
      </c>
      <c r="K204" s="1043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897"/>
      <c r="W204" s="897"/>
      <c r="X204" s="897"/>
      <c r="Y204" s="897"/>
      <c r="Z204" s="897"/>
    </row>
    <row r="205" ht="15.75" customHeight="1">
      <c r="A205" s="308"/>
      <c r="B205" s="1026">
        <v>181.0</v>
      </c>
      <c r="C205" s="1048">
        <f t="shared" si="12"/>
        <v>51167</v>
      </c>
      <c r="D205" s="1049">
        <f t="shared" si="6"/>
        <v>2</v>
      </c>
      <c r="E205" s="1050">
        <f t="shared" si="7"/>
        <v>2040</v>
      </c>
      <c r="F205" s="1050">
        <f t="shared" si="13"/>
        <v>0</v>
      </c>
      <c r="G205" s="1050">
        <f t="shared" si="8"/>
        <v>0</v>
      </c>
      <c r="H205" s="1050">
        <f t="shared" si="9"/>
        <v>0</v>
      </c>
      <c r="I205" s="1050">
        <f t="shared" si="10"/>
        <v>0</v>
      </c>
      <c r="J205" s="1051">
        <f t="shared" si="11"/>
        <v>0</v>
      </c>
      <c r="K205" s="1043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897"/>
      <c r="W205" s="897"/>
      <c r="X205" s="897"/>
      <c r="Y205" s="897"/>
      <c r="Z205" s="897"/>
    </row>
    <row r="206" ht="15.75" customHeight="1">
      <c r="A206" s="308"/>
      <c r="B206" s="1026">
        <v>182.0</v>
      </c>
      <c r="C206" s="1048">
        <f t="shared" si="12"/>
        <v>51196</v>
      </c>
      <c r="D206" s="1049">
        <f t="shared" si="6"/>
        <v>3</v>
      </c>
      <c r="E206" s="1050">
        <f t="shared" si="7"/>
        <v>2040</v>
      </c>
      <c r="F206" s="1050">
        <f t="shared" si="13"/>
        <v>0</v>
      </c>
      <c r="G206" s="1050">
        <f t="shared" si="8"/>
        <v>0</v>
      </c>
      <c r="H206" s="1050">
        <f t="shared" si="9"/>
        <v>0</v>
      </c>
      <c r="I206" s="1050">
        <f t="shared" si="10"/>
        <v>0</v>
      </c>
      <c r="J206" s="1051">
        <f t="shared" si="11"/>
        <v>0</v>
      </c>
      <c r="K206" s="1043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897"/>
      <c r="W206" s="897"/>
      <c r="X206" s="897"/>
      <c r="Y206" s="897"/>
      <c r="Z206" s="897"/>
    </row>
    <row r="207" ht="15.75" customHeight="1">
      <c r="A207" s="308"/>
      <c r="B207" s="1026">
        <v>183.0</v>
      </c>
      <c r="C207" s="1048">
        <f t="shared" si="12"/>
        <v>51227</v>
      </c>
      <c r="D207" s="1049">
        <f t="shared" si="6"/>
        <v>4</v>
      </c>
      <c r="E207" s="1050">
        <f t="shared" si="7"/>
        <v>2040</v>
      </c>
      <c r="F207" s="1050">
        <f t="shared" si="13"/>
        <v>0</v>
      </c>
      <c r="G207" s="1050">
        <f t="shared" si="8"/>
        <v>0</v>
      </c>
      <c r="H207" s="1050">
        <f t="shared" si="9"/>
        <v>0</v>
      </c>
      <c r="I207" s="1050">
        <f t="shared" si="10"/>
        <v>0</v>
      </c>
      <c r="J207" s="1051">
        <f t="shared" si="11"/>
        <v>0</v>
      </c>
      <c r="K207" s="1043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897"/>
      <c r="W207" s="897"/>
      <c r="X207" s="897"/>
      <c r="Y207" s="897"/>
      <c r="Z207" s="897"/>
    </row>
    <row r="208" ht="15.75" customHeight="1">
      <c r="A208" s="308"/>
      <c r="B208" s="1026">
        <v>184.0</v>
      </c>
      <c r="C208" s="1048">
        <f t="shared" si="12"/>
        <v>51257</v>
      </c>
      <c r="D208" s="1049">
        <f t="shared" si="6"/>
        <v>5</v>
      </c>
      <c r="E208" s="1050">
        <f t="shared" si="7"/>
        <v>2040</v>
      </c>
      <c r="F208" s="1050">
        <f t="shared" si="13"/>
        <v>0</v>
      </c>
      <c r="G208" s="1050">
        <f t="shared" si="8"/>
        <v>0</v>
      </c>
      <c r="H208" s="1050">
        <f t="shared" si="9"/>
        <v>0</v>
      </c>
      <c r="I208" s="1050">
        <f t="shared" si="10"/>
        <v>0</v>
      </c>
      <c r="J208" s="1051">
        <f t="shared" si="11"/>
        <v>0</v>
      </c>
      <c r="K208" s="1043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897"/>
      <c r="W208" s="897"/>
      <c r="X208" s="897"/>
      <c r="Y208" s="897"/>
      <c r="Z208" s="897"/>
    </row>
    <row r="209" ht="15.75" customHeight="1">
      <c r="A209" s="308"/>
      <c r="B209" s="1026">
        <v>185.0</v>
      </c>
      <c r="C209" s="1048">
        <f t="shared" si="12"/>
        <v>51288</v>
      </c>
      <c r="D209" s="1049">
        <f t="shared" si="6"/>
        <v>6</v>
      </c>
      <c r="E209" s="1050">
        <f t="shared" si="7"/>
        <v>2040</v>
      </c>
      <c r="F209" s="1050">
        <f t="shared" si="13"/>
        <v>0</v>
      </c>
      <c r="G209" s="1050">
        <f t="shared" si="8"/>
        <v>0</v>
      </c>
      <c r="H209" s="1050">
        <f t="shared" si="9"/>
        <v>0</v>
      </c>
      <c r="I209" s="1050">
        <f t="shared" si="10"/>
        <v>0</v>
      </c>
      <c r="J209" s="1051">
        <f t="shared" si="11"/>
        <v>0</v>
      </c>
      <c r="K209" s="1043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897"/>
      <c r="W209" s="897"/>
      <c r="X209" s="897"/>
      <c r="Y209" s="897"/>
      <c r="Z209" s="897"/>
    </row>
    <row r="210" ht="15.75" customHeight="1">
      <c r="A210" s="308"/>
      <c r="B210" s="1026">
        <v>186.0</v>
      </c>
      <c r="C210" s="1048">
        <f t="shared" si="12"/>
        <v>51318</v>
      </c>
      <c r="D210" s="1049">
        <f t="shared" si="6"/>
        <v>7</v>
      </c>
      <c r="E210" s="1050">
        <f t="shared" si="7"/>
        <v>2040</v>
      </c>
      <c r="F210" s="1050">
        <f t="shared" si="13"/>
        <v>0</v>
      </c>
      <c r="G210" s="1050">
        <f t="shared" si="8"/>
        <v>0</v>
      </c>
      <c r="H210" s="1050">
        <f t="shared" si="9"/>
        <v>0</v>
      </c>
      <c r="I210" s="1050">
        <f t="shared" si="10"/>
        <v>0</v>
      </c>
      <c r="J210" s="1051">
        <f t="shared" si="11"/>
        <v>0</v>
      </c>
      <c r="K210" s="1043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897"/>
      <c r="W210" s="897"/>
      <c r="X210" s="897"/>
      <c r="Y210" s="897"/>
      <c r="Z210" s="897"/>
    </row>
    <row r="211" ht="15.75" customHeight="1">
      <c r="A211" s="308"/>
      <c r="B211" s="1026">
        <v>187.0</v>
      </c>
      <c r="C211" s="1048">
        <f t="shared" si="12"/>
        <v>51349</v>
      </c>
      <c r="D211" s="1049">
        <f t="shared" si="6"/>
        <v>8</v>
      </c>
      <c r="E211" s="1050">
        <f t="shared" si="7"/>
        <v>2040</v>
      </c>
      <c r="F211" s="1050">
        <f t="shared" si="13"/>
        <v>0</v>
      </c>
      <c r="G211" s="1050">
        <f t="shared" si="8"/>
        <v>0</v>
      </c>
      <c r="H211" s="1050">
        <f t="shared" si="9"/>
        <v>0</v>
      </c>
      <c r="I211" s="1050">
        <f t="shared" si="10"/>
        <v>0</v>
      </c>
      <c r="J211" s="1051">
        <f t="shared" si="11"/>
        <v>0</v>
      </c>
      <c r="K211" s="1043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897"/>
      <c r="W211" s="897"/>
      <c r="X211" s="897"/>
      <c r="Y211" s="897"/>
      <c r="Z211" s="897"/>
    </row>
    <row r="212" ht="15.75" customHeight="1">
      <c r="A212" s="308"/>
      <c r="B212" s="1026">
        <v>188.0</v>
      </c>
      <c r="C212" s="1048">
        <f t="shared" si="12"/>
        <v>51380</v>
      </c>
      <c r="D212" s="1049">
        <f t="shared" si="6"/>
        <v>9</v>
      </c>
      <c r="E212" s="1050">
        <f t="shared" si="7"/>
        <v>2040</v>
      </c>
      <c r="F212" s="1050">
        <f t="shared" si="13"/>
        <v>0</v>
      </c>
      <c r="G212" s="1050">
        <f t="shared" si="8"/>
        <v>0</v>
      </c>
      <c r="H212" s="1050">
        <f t="shared" si="9"/>
        <v>0</v>
      </c>
      <c r="I212" s="1050">
        <f t="shared" si="10"/>
        <v>0</v>
      </c>
      <c r="J212" s="1051">
        <f t="shared" si="11"/>
        <v>0</v>
      </c>
      <c r="K212" s="1043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897"/>
      <c r="W212" s="897"/>
      <c r="X212" s="897"/>
      <c r="Y212" s="897"/>
      <c r="Z212" s="897"/>
    </row>
    <row r="213" ht="15.75" customHeight="1">
      <c r="A213" s="308"/>
      <c r="B213" s="1026">
        <v>189.0</v>
      </c>
      <c r="C213" s="1048">
        <f t="shared" si="12"/>
        <v>51410</v>
      </c>
      <c r="D213" s="1049">
        <f t="shared" si="6"/>
        <v>10</v>
      </c>
      <c r="E213" s="1050">
        <f t="shared" si="7"/>
        <v>2040</v>
      </c>
      <c r="F213" s="1050">
        <f t="shared" si="13"/>
        <v>0</v>
      </c>
      <c r="G213" s="1050">
        <f t="shared" si="8"/>
        <v>0</v>
      </c>
      <c r="H213" s="1050">
        <f t="shared" si="9"/>
        <v>0</v>
      </c>
      <c r="I213" s="1050">
        <f t="shared" si="10"/>
        <v>0</v>
      </c>
      <c r="J213" s="1051">
        <f t="shared" si="11"/>
        <v>0</v>
      </c>
      <c r="K213" s="1043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897"/>
      <c r="W213" s="897"/>
      <c r="X213" s="897"/>
      <c r="Y213" s="897"/>
      <c r="Z213" s="897"/>
    </row>
    <row r="214" ht="15.75" customHeight="1">
      <c r="A214" s="308"/>
      <c r="B214" s="1026">
        <v>190.0</v>
      </c>
      <c r="C214" s="1048">
        <f t="shared" si="12"/>
        <v>51441</v>
      </c>
      <c r="D214" s="1049">
        <f t="shared" si="6"/>
        <v>11</v>
      </c>
      <c r="E214" s="1050">
        <f t="shared" si="7"/>
        <v>2040</v>
      </c>
      <c r="F214" s="1050">
        <f t="shared" si="13"/>
        <v>0</v>
      </c>
      <c r="G214" s="1050">
        <f t="shared" si="8"/>
        <v>0</v>
      </c>
      <c r="H214" s="1050">
        <f t="shared" si="9"/>
        <v>0</v>
      </c>
      <c r="I214" s="1050">
        <f t="shared" si="10"/>
        <v>0</v>
      </c>
      <c r="J214" s="1051">
        <f t="shared" si="11"/>
        <v>0</v>
      </c>
      <c r="K214" s="1043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897"/>
      <c r="W214" s="897"/>
      <c r="X214" s="897"/>
      <c r="Y214" s="897"/>
      <c r="Z214" s="897"/>
    </row>
    <row r="215" ht="15.75" customHeight="1">
      <c r="A215" s="308"/>
      <c r="B215" s="1026">
        <v>191.0</v>
      </c>
      <c r="C215" s="1048">
        <f t="shared" si="12"/>
        <v>51471</v>
      </c>
      <c r="D215" s="1049">
        <f t="shared" si="6"/>
        <v>12</v>
      </c>
      <c r="E215" s="1050">
        <f t="shared" si="7"/>
        <v>2040</v>
      </c>
      <c r="F215" s="1050">
        <f t="shared" si="13"/>
        <v>0</v>
      </c>
      <c r="G215" s="1050">
        <f t="shared" si="8"/>
        <v>0</v>
      </c>
      <c r="H215" s="1050">
        <f t="shared" si="9"/>
        <v>0</v>
      </c>
      <c r="I215" s="1050">
        <f t="shared" si="10"/>
        <v>0</v>
      </c>
      <c r="J215" s="1051">
        <f t="shared" si="11"/>
        <v>0</v>
      </c>
      <c r="K215" s="1043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897"/>
      <c r="W215" s="897"/>
      <c r="X215" s="897"/>
      <c r="Y215" s="897"/>
      <c r="Z215" s="897"/>
    </row>
    <row r="216" ht="15.75" customHeight="1">
      <c r="A216" s="308"/>
      <c r="B216" s="1026">
        <v>192.0</v>
      </c>
      <c r="C216" s="1048">
        <f t="shared" si="12"/>
        <v>51502</v>
      </c>
      <c r="D216" s="1049">
        <f t="shared" si="6"/>
        <v>1</v>
      </c>
      <c r="E216" s="1050">
        <f t="shared" si="7"/>
        <v>2041</v>
      </c>
      <c r="F216" s="1050">
        <f t="shared" si="13"/>
        <v>0</v>
      </c>
      <c r="G216" s="1050">
        <f t="shared" si="8"/>
        <v>0</v>
      </c>
      <c r="H216" s="1050">
        <f t="shared" si="9"/>
        <v>0</v>
      </c>
      <c r="I216" s="1050">
        <f t="shared" si="10"/>
        <v>0</v>
      </c>
      <c r="J216" s="1051">
        <f t="shared" si="11"/>
        <v>0</v>
      </c>
      <c r="K216" s="1043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897"/>
      <c r="W216" s="897"/>
      <c r="X216" s="897"/>
      <c r="Y216" s="897"/>
      <c r="Z216" s="897"/>
    </row>
    <row r="217" ht="15.75" customHeight="1">
      <c r="A217" s="308"/>
      <c r="B217" s="1026">
        <v>193.0</v>
      </c>
      <c r="C217" s="1048">
        <f t="shared" si="12"/>
        <v>51533</v>
      </c>
      <c r="D217" s="1049">
        <f t="shared" si="6"/>
        <v>2</v>
      </c>
      <c r="E217" s="1050">
        <f t="shared" si="7"/>
        <v>2041</v>
      </c>
      <c r="F217" s="1050">
        <f t="shared" si="13"/>
        <v>0</v>
      </c>
      <c r="G217" s="1050">
        <f t="shared" si="8"/>
        <v>0</v>
      </c>
      <c r="H217" s="1050">
        <f t="shared" si="9"/>
        <v>0</v>
      </c>
      <c r="I217" s="1050">
        <f t="shared" si="10"/>
        <v>0</v>
      </c>
      <c r="J217" s="1051">
        <f t="shared" si="11"/>
        <v>0</v>
      </c>
      <c r="K217" s="1043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897"/>
      <c r="W217" s="897"/>
      <c r="X217" s="897"/>
      <c r="Y217" s="897"/>
      <c r="Z217" s="897"/>
    </row>
    <row r="218" ht="15.75" customHeight="1">
      <c r="A218" s="308"/>
      <c r="B218" s="1026">
        <v>194.0</v>
      </c>
      <c r="C218" s="1048">
        <f t="shared" si="12"/>
        <v>51561</v>
      </c>
      <c r="D218" s="1049">
        <f t="shared" si="6"/>
        <v>3</v>
      </c>
      <c r="E218" s="1050">
        <f t="shared" si="7"/>
        <v>2041</v>
      </c>
      <c r="F218" s="1050">
        <f t="shared" si="13"/>
        <v>0</v>
      </c>
      <c r="G218" s="1050">
        <f t="shared" si="8"/>
        <v>0</v>
      </c>
      <c r="H218" s="1050">
        <f t="shared" si="9"/>
        <v>0</v>
      </c>
      <c r="I218" s="1050">
        <f t="shared" si="10"/>
        <v>0</v>
      </c>
      <c r="J218" s="1051">
        <f t="shared" si="11"/>
        <v>0</v>
      </c>
      <c r="K218" s="1043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897"/>
      <c r="W218" s="897"/>
      <c r="X218" s="897"/>
      <c r="Y218" s="897"/>
      <c r="Z218" s="897"/>
    </row>
    <row r="219" ht="15.75" customHeight="1">
      <c r="A219" s="308"/>
      <c r="B219" s="1026">
        <v>195.0</v>
      </c>
      <c r="C219" s="1048">
        <f t="shared" si="12"/>
        <v>51592</v>
      </c>
      <c r="D219" s="1049">
        <f t="shared" si="6"/>
        <v>4</v>
      </c>
      <c r="E219" s="1050">
        <f t="shared" si="7"/>
        <v>2041</v>
      </c>
      <c r="F219" s="1050">
        <f t="shared" si="13"/>
        <v>0</v>
      </c>
      <c r="G219" s="1050">
        <f t="shared" si="8"/>
        <v>0</v>
      </c>
      <c r="H219" s="1050">
        <f t="shared" si="9"/>
        <v>0</v>
      </c>
      <c r="I219" s="1050">
        <f t="shared" si="10"/>
        <v>0</v>
      </c>
      <c r="J219" s="1051">
        <f t="shared" si="11"/>
        <v>0</v>
      </c>
      <c r="K219" s="1043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897"/>
      <c r="W219" s="897"/>
      <c r="X219" s="897"/>
      <c r="Y219" s="897"/>
      <c r="Z219" s="897"/>
    </row>
    <row r="220" ht="15.75" customHeight="1">
      <c r="A220" s="308"/>
      <c r="B220" s="1026">
        <v>196.0</v>
      </c>
      <c r="C220" s="1048">
        <f t="shared" si="12"/>
        <v>51622</v>
      </c>
      <c r="D220" s="1049">
        <f t="shared" si="6"/>
        <v>5</v>
      </c>
      <c r="E220" s="1050">
        <f t="shared" si="7"/>
        <v>2041</v>
      </c>
      <c r="F220" s="1050">
        <f t="shared" si="13"/>
        <v>0</v>
      </c>
      <c r="G220" s="1050">
        <f t="shared" si="8"/>
        <v>0</v>
      </c>
      <c r="H220" s="1050">
        <f t="shared" si="9"/>
        <v>0</v>
      </c>
      <c r="I220" s="1050">
        <f t="shared" si="10"/>
        <v>0</v>
      </c>
      <c r="J220" s="1051">
        <f t="shared" si="11"/>
        <v>0</v>
      </c>
      <c r="K220" s="1043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897"/>
      <c r="W220" s="897"/>
      <c r="X220" s="897"/>
      <c r="Y220" s="897"/>
      <c r="Z220" s="897"/>
    </row>
    <row r="221" ht="15.75" customHeight="1">
      <c r="A221" s="308"/>
      <c r="B221" s="1026">
        <v>197.0</v>
      </c>
      <c r="C221" s="1048">
        <f t="shared" si="12"/>
        <v>51653</v>
      </c>
      <c r="D221" s="1049">
        <f t="shared" si="6"/>
        <v>6</v>
      </c>
      <c r="E221" s="1050">
        <f t="shared" si="7"/>
        <v>2041</v>
      </c>
      <c r="F221" s="1050">
        <f t="shared" si="13"/>
        <v>0</v>
      </c>
      <c r="G221" s="1050">
        <f t="shared" si="8"/>
        <v>0</v>
      </c>
      <c r="H221" s="1050">
        <f t="shared" si="9"/>
        <v>0</v>
      </c>
      <c r="I221" s="1050">
        <f t="shared" si="10"/>
        <v>0</v>
      </c>
      <c r="J221" s="1051">
        <f t="shared" si="11"/>
        <v>0</v>
      </c>
      <c r="K221" s="1043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897"/>
      <c r="W221" s="897"/>
      <c r="X221" s="897"/>
      <c r="Y221" s="897"/>
      <c r="Z221" s="897"/>
    </row>
    <row r="222" ht="15.75" customHeight="1">
      <c r="A222" s="308"/>
      <c r="B222" s="1026">
        <v>198.0</v>
      </c>
      <c r="C222" s="1048">
        <f t="shared" si="12"/>
        <v>51683</v>
      </c>
      <c r="D222" s="1049">
        <f t="shared" si="6"/>
        <v>7</v>
      </c>
      <c r="E222" s="1050">
        <f t="shared" si="7"/>
        <v>2041</v>
      </c>
      <c r="F222" s="1050">
        <f t="shared" si="13"/>
        <v>0</v>
      </c>
      <c r="G222" s="1050">
        <f t="shared" si="8"/>
        <v>0</v>
      </c>
      <c r="H222" s="1050">
        <f t="shared" si="9"/>
        <v>0</v>
      </c>
      <c r="I222" s="1050">
        <f t="shared" si="10"/>
        <v>0</v>
      </c>
      <c r="J222" s="1051">
        <f t="shared" si="11"/>
        <v>0</v>
      </c>
      <c r="K222" s="1043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897"/>
      <c r="W222" s="897"/>
      <c r="X222" s="897"/>
      <c r="Y222" s="897"/>
      <c r="Z222" s="897"/>
    </row>
    <row r="223" ht="15.75" customHeight="1">
      <c r="A223" s="308"/>
      <c r="B223" s="1026">
        <v>199.0</v>
      </c>
      <c r="C223" s="1048">
        <f t="shared" si="12"/>
        <v>51714</v>
      </c>
      <c r="D223" s="1049">
        <f t="shared" si="6"/>
        <v>8</v>
      </c>
      <c r="E223" s="1050">
        <f t="shared" si="7"/>
        <v>2041</v>
      </c>
      <c r="F223" s="1050">
        <f t="shared" si="13"/>
        <v>0</v>
      </c>
      <c r="G223" s="1050">
        <f t="shared" si="8"/>
        <v>0</v>
      </c>
      <c r="H223" s="1050">
        <f t="shared" si="9"/>
        <v>0</v>
      </c>
      <c r="I223" s="1050">
        <f t="shared" si="10"/>
        <v>0</v>
      </c>
      <c r="J223" s="1051">
        <f t="shared" si="11"/>
        <v>0</v>
      </c>
      <c r="K223" s="1043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897"/>
      <c r="W223" s="897"/>
      <c r="X223" s="897"/>
      <c r="Y223" s="897"/>
      <c r="Z223" s="897"/>
    </row>
    <row r="224" ht="15.75" customHeight="1">
      <c r="A224" s="308"/>
      <c r="B224" s="1026">
        <v>200.0</v>
      </c>
      <c r="C224" s="1048">
        <f t="shared" si="12"/>
        <v>51745</v>
      </c>
      <c r="D224" s="1049">
        <f t="shared" si="6"/>
        <v>9</v>
      </c>
      <c r="E224" s="1050">
        <f t="shared" si="7"/>
        <v>2041</v>
      </c>
      <c r="F224" s="1050">
        <f t="shared" si="13"/>
        <v>0</v>
      </c>
      <c r="G224" s="1050">
        <f t="shared" si="8"/>
        <v>0</v>
      </c>
      <c r="H224" s="1050">
        <f t="shared" si="9"/>
        <v>0</v>
      </c>
      <c r="I224" s="1050">
        <f t="shared" si="10"/>
        <v>0</v>
      </c>
      <c r="J224" s="1051">
        <f t="shared" si="11"/>
        <v>0</v>
      </c>
      <c r="K224" s="1043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897"/>
      <c r="W224" s="897"/>
      <c r="X224" s="897"/>
      <c r="Y224" s="897"/>
      <c r="Z224" s="897"/>
    </row>
    <row r="225" ht="15.75" customHeight="1">
      <c r="A225" s="308"/>
      <c r="B225" s="1026">
        <v>201.0</v>
      </c>
      <c r="C225" s="1048">
        <f t="shared" si="12"/>
        <v>51775</v>
      </c>
      <c r="D225" s="1049">
        <f t="shared" si="6"/>
        <v>10</v>
      </c>
      <c r="E225" s="1050">
        <f t="shared" si="7"/>
        <v>2041</v>
      </c>
      <c r="F225" s="1050">
        <f t="shared" si="13"/>
        <v>0</v>
      </c>
      <c r="G225" s="1050">
        <f t="shared" si="8"/>
        <v>0</v>
      </c>
      <c r="H225" s="1050">
        <f t="shared" si="9"/>
        <v>0</v>
      </c>
      <c r="I225" s="1050">
        <f t="shared" si="10"/>
        <v>0</v>
      </c>
      <c r="J225" s="1051">
        <f t="shared" si="11"/>
        <v>0</v>
      </c>
      <c r="K225" s="1043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897"/>
      <c r="W225" s="897"/>
      <c r="X225" s="897"/>
      <c r="Y225" s="897"/>
      <c r="Z225" s="897"/>
    </row>
    <row r="226" ht="15.75" customHeight="1">
      <c r="A226" s="308"/>
      <c r="B226" s="1026">
        <v>202.0</v>
      </c>
      <c r="C226" s="1048">
        <f t="shared" si="12"/>
        <v>51806</v>
      </c>
      <c r="D226" s="1049">
        <f t="shared" si="6"/>
        <v>11</v>
      </c>
      <c r="E226" s="1050">
        <f t="shared" si="7"/>
        <v>2041</v>
      </c>
      <c r="F226" s="1050">
        <f t="shared" si="13"/>
        <v>0</v>
      </c>
      <c r="G226" s="1050">
        <f t="shared" si="8"/>
        <v>0</v>
      </c>
      <c r="H226" s="1050">
        <f t="shared" si="9"/>
        <v>0</v>
      </c>
      <c r="I226" s="1050">
        <f t="shared" si="10"/>
        <v>0</v>
      </c>
      <c r="J226" s="1051">
        <f t="shared" si="11"/>
        <v>0</v>
      </c>
      <c r="K226" s="1043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897"/>
      <c r="W226" s="897"/>
      <c r="X226" s="897"/>
      <c r="Y226" s="897"/>
      <c r="Z226" s="897"/>
    </row>
    <row r="227" ht="15.75" customHeight="1">
      <c r="A227" s="308"/>
      <c r="B227" s="1026">
        <v>203.0</v>
      </c>
      <c r="C227" s="1048">
        <f t="shared" si="12"/>
        <v>51836</v>
      </c>
      <c r="D227" s="1049">
        <f t="shared" si="6"/>
        <v>12</v>
      </c>
      <c r="E227" s="1050">
        <f t="shared" si="7"/>
        <v>2041</v>
      </c>
      <c r="F227" s="1050">
        <f t="shared" si="13"/>
        <v>0</v>
      </c>
      <c r="G227" s="1050">
        <f t="shared" si="8"/>
        <v>0</v>
      </c>
      <c r="H227" s="1050">
        <f t="shared" si="9"/>
        <v>0</v>
      </c>
      <c r="I227" s="1050">
        <f t="shared" si="10"/>
        <v>0</v>
      </c>
      <c r="J227" s="1051">
        <f t="shared" si="11"/>
        <v>0</v>
      </c>
      <c r="K227" s="1043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897"/>
      <c r="W227" s="897"/>
      <c r="X227" s="897"/>
      <c r="Y227" s="897"/>
      <c r="Z227" s="897"/>
    </row>
    <row r="228" ht="15.75" customHeight="1">
      <c r="A228" s="308"/>
      <c r="B228" s="1026">
        <v>204.0</v>
      </c>
      <c r="C228" s="1048">
        <f t="shared" si="12"/>
        <v>51867</v>
      </c>
      <c r="D228" s="1049">
        <f t="shared" si="6"/>
        <v>1</v>
      </c>
      <c r="E228" s="1050">
        <f t="shared" si="7"/>
        <v>2042</v>
      </c>
      <c r="F228" s="1050">
        <f t="shared" si="13"/>
        <v>0</v>
      </c>
      <c r="G228" s="1050">
        <f t="shared" si="8"/>
        <v>0</v>
      </c>
      <c r="H228" s="1050">
        <f t="shared" si="9"/>
        <v>0</v>
      </c>
      <c r="I228" s="1050">
        <f t="shared" si="10"/>
        <v>0</v>
      </c>
      <c r="J228" s="1051">
        <f t="shared" si="11"/>
        <v>0</v>
      </c>
      <c r="K228" s="1043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897"/>
      <c r="W228" s="897"/>
      <c r="X228" s="897"/>
      <c r="Y228" s="897"/>
      <c r="Z228" s="897"/>
    </row>
    <row r="229" ht="15.75" customHeight="1">
      <c r="A229" s="308"/>
      <c r="B229" s="1026">
        <v>205.0</v>
      </c>
      <c r="C229" s="1048">
        <f t="shared" si="12"/>
        <v>51898</v>
      </c>
      <c r="D229" s="1049">
        <f t="shared" si="6"/>
        <v>2</v>
      </c>
      <c r="E229" s="1050">
        <f t="shared" si="7"/>
        <v>2042</v>
      </c>
      <c r="F229" s="1050">
        <f t="shared" si="13"/>
        <v>0</v>
      </c>
      <c r="G229" s="1050">
        <f t="shared" si="8"/>
        <v>0</v>
      </c>
      <c r="H229" s="1050">
        <f t="shared" si="9"/>
        <v>0</v>
      </c>
      <c r="I229" s="1050">
        <f t="shared" si="10"/>
        <v>0</v>
      </c>
      <c r="J229" s="1051">
        <f t="shared" si="11"/>
        <v>0</v>
      </c>
      <c r="K229" s="1043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897"/>
      <c r="W229" s="897"/>
      <c r="X229" s="897"/>
      <c r="Y229" s="897"/>
      <c r="Z229" s="897"/>
    </row>
    <row r="230" ht="15.75" customHeight="1">
      <c r="A230" s="308"/>
      <c r="B230" s="1026">
        <v>206.0</v>
      </c>
      <c r="C230" s="1048">
        <f t="shared" si="12"/>
        <v>51926</v>
      </c>
      <c r="D230" s="1049">
        <f t="shared" si="6"/>
        <v>3</v>
      </c>
      <c r="E230" s="1050">
        <f t="shared" si="7"/>
        <v>2042</v>
      </c>
      <c r="F230" s="1050">
        <f t="shared" si="13"/>
        <v>0</v>
      </c>
      <c r="G230" s="1050">
        <f t="shared" si="8"/>
        <v>0</v>
      </c>
      <c r="H230" s="1050">
        <f t="shared" si="9"/>
        <v>0</v>
      </c>
      <c r="I230" s="1050">
        <f t="shared" si="10"/>
        <v>0</v>
      </c>
      <c r="J230" s="1051">
        <f t="shared" si="11"/>
        <v>0</v>
      </c>
      <c r="K230" s="1043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897"/>
      <c r="W230" s="897"/>
      <c r="X230" s="897"/>
      <c r="Y230" s="897"/>
      <c r="Z230" s="897"/>
    </row>
    <row r="231" ht="15.75" customHeight="1">
      <c r="A231" s="308"/>
      <c r="B231" s="1026">
        <v>207.0</v>
      </c>
      <c r="C231" s="1048">
        <f t="shared" si="12"/>
        <v>51957</v>
      </c>
      <c r="D231" s="1049">
        <f t="shared" si="6"/>
        <v>4</v>
      </c>
      <c r="E231" s="1050">
        <f t="shared" si="7"/>
        <v>2042</v>
      </c>
      <c r="F231" s="1050">
        <f t="shared" si="13"/>
        <v>0</v>
      </c>
      <c r="G231" s="1050">
        <f t="shared" si="8"/>
        <v>0</v>
      </c>
      <c r="H231" s="1050">
        <f t="shared" si="9"/>
        <v>0</v>
      </c>
      <c r="I231" s="1050">
        <f t="shared" si="10"/>
        <v>0</v>
      </c>
      <c r="J231" s="1051">
        <f t="shared" si="11"/>
        <v>0</v>
      </c>
      <c r="K231" s="1043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897"/>
      <c r="W231" s="897"/>
      <c r="X231" s="897"/>
      <c r="Y231" s="897"/>
      <c r="Z231" s="897"/>
    </row>
    <row r="232" ht="15.75" customHeight="1">
      <c r="A232" s="308"/>
      <c r="B232" s="1026">
        <v>208.0</v>
      </c>
      <c r="C232" s="1048">
        <f t="shared" si="12"/>
        <v>51987</v>
      </c>
      <c r="D232" s="1049">
        <f t="shared" si="6"/>
        <v>5</v>
      </c>
      <c r="E232" s="1050">
        <f t="shared" si="7"/>
        <v>2042</v>
      </c>
      <c r="F232" s="1050">
        <f t="shared" si="13"/>
        <v>0</v>
      </c>
      <c r="G232" s="1050">
        <f t="shared" si="8"/>
        <v>0</v>
      </c>
      <c r="H232" s="1050">
        <f t="shared" si="9"/>
        <v>0</v>
      </c>
      <c r="I232" s="1050">
        <f t="shared" si="10"/>
        <v>0</v>
      </c>
      <c r="J232" s="1051">
        <f t="shared" si="11"/>
        <v>0</v>
      </c>
      <c r="K232" s="1043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897"/>
      <c r="W232" s="897"/>
      <c r="X232" s="897"/>
      <c r="Y232" s="897"/>
      <c r="Z232" s="897"/>
    </row>
    <row r="233" ht="15.75" customHeight="1">
      <c r="A233" s="308"/>
      <c r="B233" s="1026">
        <v>209.0</v>
      </c>
      <c r="C233" s="1048">
        <f t="shared" si="12"/>
        <v>52018</v>
      </c>
      <c r="D233" s="1049">
        <f t="shared" si="6"/>
        <v>6</v>
      </c>
      <c r="E233" s="1050">
        <f t="shared" si="7"/>
        <v>2042</v>
      </c>
      <c r="F233" s="1050">
        <f t="shared" si="13"/>
        <v>0</v>
      </c>
      <c r="G233" s="1050">
        <f t="shared" si="8"/>
        <v>0</v>
      </c>
      <c r="H233" s="1050">
        <f t="shared" si="9"/>
        <v>0</v>
      </c>
      <c r="I233" s="1050">
        <f t="shared" si="10"/>
        <v>0</v>
      </c>
      <c r="J233" s="1051">
        <f t="shared" si="11"/>
        <v>0</v>
      </c>
      <c r="K233" s="1043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897"/>
      <c r="W233" s="897"/>
      <c r="X233" s="897"/>
      <c r="Y233" s="897"/>
      <c r="Z233" s="897"/>
    </row>
    <row r="234" ht="15.75" customHeight="1">
      <c r="A234" s="308"/>
      <c r="B234" s="1026">
        <v>210.0</v>
      </c>
      <c r="C234" s="1048">
        <f t="shared" si="12"/>
        <v>52048</v>
      </c>
      <c r="D234" s="1049">
        <f t="shared" si="6"/>
        <v>7</v>
      </c>
      <c r="E234" s="1050">
        <f t="shared" si="7"/>
        <v>2042</v>
      </c>
      <c r="F234" s="1050">
        <f t="shared" si="13"/>
        <v>0</v>
      </c>
      <c r="G234" s="1050">
        <f t="shared" si="8"/>
        <v>0</v>
      </c>
      <c r="H234" s="1050">
        <f t="shared" si="9"/>
        <v>0</v>
      </c>
      <c r="I234" s="1050">
        <f t="shared" si="10"/>
        <v>0</v>
      </c>
      <c r="J234" s="1051">
        <f t="shared" si="11"/>
        <v>0</v>
      </c>
      <c r="K234" s="1043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897"/>
      <c r="W234" s="897"/>
      <c r="X234" s="897"/>
      <c r="Y234" s="897"/>
      <c r="Z234" s="897"/>
    </row>
    <row r="235" ht="15.75" customHeight="1">
      <c r="A235" s="308"/>
      <c r="B235" s="1026">
        <v>211.0</v>
      </c>
      <c r="C235" s="1048">
        <f t="shared" si="12"/>
        <v>52079</v>
      </c>
      <c r="D235" s="1049">
        <f t="shared" si="6"/>
        <v>8</v>
      </c>
      <c r="E235" s="1050">
        <f t="shared" si="7"/>
        <v>2042</v>
      </c>
      <c r="F235" s="1050">
        <f t="shared" si="13"/>
        <v>0</v>
      </c>
      <c r="G235" s="1050">
        <f t="shared" si="8"/>
        <v>0</v>
      </c>
      <c r="H235" s="1050">
        <f t="shared" si="9"/>
        <v>0</v>
      </c>
      <c r="I235" s="1050">
        <f t="shared" si="10"/>
        <v>0</v>
      </c>
      <c r="J235" s="1051">
        <f t="shared" si="11"/>
        <v>0</v>
      </c>
      <c r="K235" s="1043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897"/>
      <c r="W235" s="897"/>
      <c r="X235" s="897"/>
      <c r="Y235" s="897"/>
      <c r="Z235" s="897"/>
    </row>
    <row r="236" ht="15.75" customHeight="1">
      <c r="A236" s="308"/>
      <c r="B236" s="1026">
        <v>212.0</v>
      </c>
      <c r="C236" s="1048">
        <f t="shared" si="12"/>
        <v>52110</v>
      </c>
      <c r="D236" s="1049">
        <f t="shared" si="6"/>
        <v>9</v>
      </c>
      <c r="E236" s="1050">
        <f t="shared" si="7"/>
        <v>2042</v>
      </c>
      <c r="F236" s="1050">
        <f t="shared" si="13"/>
        <v>0</v>
      </c>
      <c r="G236" s="1050">
        <f t="shared" si="8"/>
        <v>0</v>
      </c>
      <c r="H236" s="1050">
        <f t="shared" si="9"/>
        <v>0</v>
      </c>
      <c r="I236" s="1050">
        <f t="shared" si="10"/>
        <v>0</v>
      </c>
      <c r="J236" s="1051">
        <f t="shared" si="11"/>
        <v>0</v>
      </c>
      <c r="K236" s="1043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897"/>
      <c r="W236" s="897"/>
      <c r="X236" s="897"/>
      <c r="Y236" s="897"/>
      <c r="Z236" s="897"/>
    </row>
    <row r="237" ht="15.75" customHeight="1">
      <c r="A237" s="308"/>
      <c r="B237" s="1026">
        <v>213.0</v>
      </c>
      <c r="C237" s="1048">
        <f t="shared" si="12"/>
        <v>52140</v>
      </c>
      <c r="D237" s="1049">
        <f t="shared" si="6"/>
        <v>10</v>
      </c>
      <c r="E237" s="1050">
        <f t="shared" si="7"/>
        <v>2042</v>
      </c>
      <c r="F237" s="1050">
        <f t="shared" si="13"/>
        <v>0</v>
      </c>
      <c r="G237" s="1050">
        <f t="shared" si="8"/>
        <v>0</v>
      </c>
      <c r="H237" s="1050">
        <f t="shared" si="9"/>
        <v>0</v>
      </c>
      <c r="I237" s="1050">
        <f t="shared" si="10"/>
        <v>0</v>
      </c>
      <c r="J237" s="1051">
        <f t="shared" si="11"/>
        <v>0</v>
      </c>
      <c r="K237" s="1043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897"/>
      <c r="W237" s="897"/>
      <c r="X237" s="897"/>
      <c r="Y237" s="897"/>
      <c r="Z237" s="897"/>
    </row>
    <row r="238" ht="15.75" customHeight="1">
      <c r="A238" s="308"/>
      <c r="B238" s="1026">
        <v>214.0</v>
      </c>
      <c r="C238" s="1048">
        <f t="shared" si="12"/>
        <v>52171</v>
      </c>
      <c r="D238" s="1049">
        <f t="shared" si="6"/>
        <v>11</v>
      </c>
      <c r="E238" s="1050">
        <f t="shared" si="7"/>
        <v>2042</v>
      </c>
      <c r="F238" s="1050">
        <f t="shared" si="13"/>
        <v>0</v>
      </c>
      <c r="G238" s="1050">
        <f t="shared" si="8"/>
        <v>0</v>
      </c>
      <c r="H238" s="1050">
        <f t="shared" si="9"/>
        <v>0</v>
      </c>
      <c r="I238" s="1050">
        <f t="shared" si="10"/>
        <v>0</v>
      </c>
      <c r="J238" s="1051">
        <f t="shared" si="11"/>
        <v>0</v>
      </c>
      <c r="K238" s="1043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897"/>
      <c r="W238" s="897"/>
      <c r="X238" s="897"/>
      <c r="Y238" s="897"/>
      <c r="Z238" s="897"/>
    </row>
    <row r="239" ht="15.75" customHeight="1">
      <c r="A239" s="308"/>
      <c r="B239" s="1026">
        <v>215.0</v>
      </c>
      <c r="C239" s="1048">
        <f t="shared" si="12"/>
        <v>52201</v>
      </c>
      <c r="D239" s="1049">
        <f t="shared" si="6"/>
        <v>12</v>
      </c>
      <c r="E239" s="1050">
        <f t="shared" si="7"/>
        <v>2042</v>
      </c>
      <c r="F239" s="1050">
        <f t="shared" si="13"/>
        <v>0</v>
      </c>
      <c r="G239" s="1050">
        <f t="shared" si="8"/>
        <v>0</v>
      </c>
      <c r="H239" s="1050">
        <f t="shared" si="9"/>
        <v>0</v>
      </c>
      <c r="I239" s="1050">
        <f t="shared" si="10"/>
        <v>0</v>
      </c>
      <c r="J239" s="1051">
        <f t="shared" si="11"/>
        <v>0</v>
      </c>
      <c r="K239" s="1043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897"/>
      <c r="W239" s="897"/>
      <c r="X239" s="897"/>
      <c r="Y239" s="897"/>
      <c r="Z239" s="897"/>
    </row>
    <row r="240" ht="15.75" customHeight="1">
      <c r="A240" s="308"/>
      <c r="B240" s="1026">
        <v>216.0</v>
      </c>
      <c r="C240" s="1048">
        <f t="shared" si="12"/>
        <v>52232</v>
      </c>
      <c r="D240" s="1049">
        <f t="shared" si="6"/>
        <v>1</v>
      </c>
      <c r="E240" s="1050">
        <f t="shared" si="7"/>
        <v>2043</v>
      </c>
      <c r="F240" s="1050">
        <f t="shared" si="13"/>
        <v>0</v>
      </c>
      <c r="G240" s="1050">
        <f t="shared" si="8"/>
        <v>0</v>
      </c>
      <c r="H240" s="1050">
        <f t="shared" si="9"/>
        <v>0</v>
      </c>
      <c r="I240" s="1050">
        <f t="shared" si="10"/>
        <v>0</v>
      </c>
      <c r="J240" s="1051">
        <f t="shared" si="11"/>
        <v>0</v>
      </c>
      <c r="K240" s="1043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897"/>
      <c r="W240" s="897"/>
      <c r="X240" s="897"/>
      <c r="Y240" s="897"/>
      <c r="Z240" s="897"/>
    </row>
    <row r="241" ht="15.75" customHeight="1">
      <c r="A241" s="308"/>
      <c r="B241" s="1026">
        <v>217.0</v>
      </c>
      <c r="C241" s="1048">
        <f t="shared" si="12"/>
        <v>52263</v>
      </c>
      <c r="D241" s="1049">
        <f t="shared" si="6"/>
        <v>2</v>
      </c>
      <c r="E241" s="1050">
        <f t="shared" si="7"/>
        <v>2043</v>
      </c>
      <c r="F241" s="1050">
        <f t="shared" si="13"/>
        <v>0</v>
      </c>
      <c r="G241" s="1050">
        <f t="shared" si="8"/>
        <v>0</v>
      </c>
      <c r="H241" s="1050">
        <f t="shared" si="9"/>
        <v>0</v>
      </c>
      <c r="I241" s="1050">
        <f t="shared" si="10"/>
        <v>0</v>
      </c>
      <c r="J241" s="1051">
        <f t="shared" si="11"/>
        <v>0</v>
      </c>
      <c r="K241" s="1043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897"/>
      <c r="W241" s="897"/>
      <c r="X241" s="897"/>
      <c r="Y241" s="897"/>
      <c r="Z241" s="897"/>
    </row>
    <row r="242" ht="15.75" customHeight="1">
      <c r="A242" s="308"/>
      <c r="B242" s="1026">
        <v>218.0</v>
      </c>
      <c r="C242" s="1048">
        <f t="shared" si="12"/>
        <v>52291</v>
      </c>
      <c r="D242" s="1049">
        <f t="shared" si="6"/>
        <v>3</v>
      </c>
      <c r="E242" s="1050">
        <f t="shared" si="7"/>
        <v>2043</v>
      </c>
      <c r="F242" s="1050">
        <f t="shared" si="13"/>
        <v>0</v>
      </c>
      <c r="G242" s="1050">
        <f t="shared" si="8"/>
        <v>0</v>
      </c>
      <c r="H242" s="1050">
        <f t="shared" si="9"/>
        <v>0</v>
      </c>
      <c r="I242" s="1050">
        <f t="shared" si="10"/>
        <v>0</v>
      </c>
      <c r="J242" s="1051">
        <f t="shared" si="11"/>
        <v>0</v>
      </c>
      <c r="K242" s="1043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897"/>
      <c r="W242" s="897"/>
      <c r="X242" s="897"/>
      <c r="Y242" s="897"/>
      <c r="Z242" s="897"/>
    </row>
    <row r="243" ht="15.75" customHeight="1">
      <c r="A243" s="308"/>
      <c r="B243" s="1026">
        <v>219.0</v>
      </c>
      <c r="C243" s="1048">
        <f t="shared" si="12"/>
        <v>52322</v>
      </c>
      <c r="D243" s="1049">
        <f t="shared" si="6"/>
        <v>4</v>
      </c>
      <c r="E243" s="1050">
        <f t="shared" si="7"/>
        <v>2043</v>
      </c>
      <c r="F243" s="1050">
        <f t="shared" si="13"/>
        <v>0</v>
      </c>
      <c r="G243" s="1050">
        <f t="shared" si="8"/>
        <v>0</v>
      </c>
      <c r="H243" s="1050">
        <f t="shared" si="9"/>
        <v>0</v>
      </c>
      <c r="I243" s="1050">
        <f t="shared" si="10"/>
        <v>0</v>
      </c>
      <c r="J243" s="1051">
        <f t="shared" si="11"/>
        <v>0</v>
      </c>
      <c r="K243" s="1043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897"/>
      <c r="W243" s="897"/>
      <c r="X243" s="897"/>
      <c r="Y243" s="897"/>
      <c r="Z243" s="897"/>
    </row>
    <row r="244" ht="15.75" customHeight="1">
      <c r="A244" s="308"/>
      <c r="B244" s="1026">
        <v>220.0</v>
      </c>
      <c r="C244" s="1048">
        <f t="shared" si="12"/>
        <v>52352</v>
      </c>
      <c r="D244" s="1049">
        <f t="shared" si="6"/>
        <v>5</v>
      </c>
      <c r="E244" s="1050">
        <f t="shared" si="7"/>
        <v>2043</v>
      </c>
      <c r="F244" s="1050">
        <f t="shared" si="13"/>
        <v>0</v>
      </c>
      <c r="G244" s="1050">
        <f t="shared" si="8"/>
        <v>0</v>
      </c>
      <c r="H244" s="1050">
        <f t="shared" si="9"/>
        <v>0</v>
      </c>
      <c r="I244" s="1050">
        <f t="shared" si="10"/>
        <v>0</v>
      </c>
      <c r="J244" s="1051">
        <f t="shared" si="11"/>
        <v>0</v>
      </c>
      <c r="K244" s="1043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897"/>
      <c r="W244" s="897"/>
      <c r="X244" s="897"/>
      <c r="Y244" s="897"/>
      <c r="Z244" s="897"/>
    </row>
    <row r="245" ht="15.75" customHeight="1">
      <c r="A245" s="308"/>
      <c r="B245" s="1026">
        <v>221.0</v>
      </c>
      <c r="C245" s="1048">
        <f t="shared" si="12"/>
        <v>52383</v>
      </c>
      <c r="D245" s="1049">
        <f t="shared" si="6"/>
        <v>6</v>
      </c>
      <c r="E245" s="1050">
        <f t="shared" si="7"/>
        <v>2043</v>
      </c>
      <c r="F245" s="1050">
        <f t="shared" si="13"/>
        <v>0</v>
      </c>
      <c r="G245" s="1050">
        <f t="shared" si="8"/>
        <v>0</v>
      </c>
      <c r="H245" s="1050">
        <f t="shared" si="9"/>
        <v>0</v>
      </c>
      <c r="I245" s="1050">
        <f t="shared" si="10"/>
        <v>0</v>
      </c>
      <c r="J245" s="1051">
        <f t="shared" si="11"/>
        <v>0</v>
      </c>
      <c r="K245" s="1043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897"/>
      <c r="W245" s="897"/>
      <c r="X245" s="897"/>
      <c r="Y245" s="897"/>
      <c r="Z245" s="897"/>
    </row>
    <row r="246" ht="15.75" customHeight="1">
      <c r="A246" s="308"/>
      <c r="B246" s="1026">
        <v>222.0</v>
      </c>
      <c r="C246" s="1048">
        <f t="shared" si="12"/>
        <v>52413</v>
      </c>
      <c r="D246" s="1049">
        <f t="shared" si="6"/>
        <v>7</v>
      </c>
      <c r="E246" s="1050">
        <f t="shared" si="7"/>
        <v>2043</v>
      </c>
      <c r="F246" s="1050">
        <f t="shared" si="13"/>
        <v>0</v>
      </c>
      <c r="G246" s="1050">
        <f t="shared" si="8"/>
        <v>0</v>
      </c>
      <c r="H246" s="1050">
        <f t="shared" si="9"/>
        <v>0</v>
      </c>
      <c r="I246" s="1050">
        <f t="shared" si="10"/>
        <v>0</v>
      </c>
      <c r="J246" s="1051">
        <f t="shared" si="11"/>
        <v>0</v>
      </c>
      <c r="K246" s="1043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897"/>
      <c r="W246" s="897"/>
      <c r="X246" s="897"/>
      <c r="Y246" s="897"/>
      <c r="Z246" s="897"/>
    </row>
    <row r="247" ht="15.75" customHeight="1">
      <c r="A247" s="308"/>
      <c r="B247" s="1026">
        <v>223.0</v>
      </c>
      <c r="C247" s="1048">
        <f t="shared" si="12"/>
        <v>52444</v>
      </c>
      <c r="D247" s="1049">
        <f t="shared" si="6"/>
        <v>8</v>
      </c>
      <c r="E247" s="1050">
        <f t="shared" si="7"/>
        <v>2043</v>
      </c>
      <c r="F247" s="1050">
        <f t="shared" si="13"/>
        <v>0</v>
      </c>
      <c r="G247" s="1050">
        <f t="shared" si="8"/>
        <v>0</v>
      </c>
      <c r="H247" s="1050">
        <f t="shared" si="9"/>
        <v>0</v>
      </c>
      <c r="I247" s="1050">
        <f t="shared" si="10"/>
        <v>0</v>
      </c>
      <c r="J247" s="1051">
        <f t="shared" si="11"/>
        <v>0</v>
      </c>
      <c r="K247" s="1043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897"/>
      <c r="W247" s="897"/>
      <c r="X247" s="897"/>
      <c r="Y247" s="897"/>
      <c r="Z247" s="897"/>
    </row>
    <row r="248" ht="15.75" customHeight="1">
      <c r="A248" s="308"/>
      <c r="B248" s="1026">
        <v>224.0</v>
      </c>
      <c r="C248" s="1048">
        <f t="shared" si="12"/>
        <v>52475</v>
      </c>
      <c r="D248" s="1049">
        <f t="shared" si="6"/>
        <v>9</v>
      </c>
      <c r="E248" s="1050">
        <f t="shared" si="7"/>
        <v>2043</v>
      </c>
      <c r="F248" s="1050">
        <f t="shared" si="13"/>
        <v>0</v>
      </c>
      <c r="G248" s="1050">
        <f t="shared" si="8"/>
        <v>0</v>
      </c>
      <c r="H248" s="1050">
        <f t="shared" si="9"/>
        <v>0</v>
      </c>
      <c r="I248" s="1050">
        <f t="shared" si="10"/>
        <v>0</v>
      </c>
      <c r="J248" s="1051">
        <f t="shared" si="11"/>
        <v>0</v>
      </c>
      <c r="K248" s="1043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897"/>
      <c r="W248" s="897"/>
      <c r="X248" s="897"/>
      <c r="Y248" s="897"/>
      <c r="Z248" s="897"/>
    </row>
    <row r="249" ht="15.75" customHeight="1">
      <c r="A249" s="308"/>
      <c r="B249" s="1026">
        <v>225.0</v>
      </c>
      <c r="C249" s="1048">
        <f t="shared" si="12"/>
        <v>52505</v>
      </c>
      <c r="D249" s="1049">
        <f t="shared" si="6"/>
        <v>10</v>
      </c>
      <c r="E249" s="1050">
        <f t="shared" si="7"/>
        <v>2043</v>
      </c>
      <c r="F249" s="1050">
        <f t="shared" si="13"/>
        <v>0</v>
      </c>
      <c r="G249" s="1050">
        <f t="shared" si="8"/>
        <v>0</v>
      </c>
      <c r="H249" s="1050">
        <f t="shared" si="9"/>
        <v>0</v>
      </c>
      <c r="I249" s="1050">
        <f t="shared" si="10"/>
        <v>0</v>
      </c>
      <c r="J249" s="1051">
        <f t="shared" si="11"/>
        <v>0</v>
      </c>
      <c r="K249" s="1043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897"/>
      <c r="W249" s="897"/>
      <c r="X249" s="897"/>
      <c r="Y249" s="897"/>
      <c r="Z249" s="897"/>
    </row>
    <row r="250" ht="15.75" customHeight="1">
      <c r="A250" s="308"/>
      <c r="B250" s="1026">
        <v>226.0</v>
      </c>
      <c r="C250" s="1048">
        <f t="shared" si="12"/>
        <v>52536</v>
      </c>
      <c r="D250" s="1049">
        <f t="shared" si="6"/>
        <v>11</v>
      </c>
      <c r="E250" s="1050">
        <f t="shared" si="7"/>
        <v>2043</v>
      </c>
      <c r="F250" s="1050">
        <f t="shared" si="13"/>
        <v>0</v>
      </c>
      <c r="G250" s="1050">
        <f t="shared" si="8"/>
        <v>0</v>
      </c>
      <c r="H250" s="1050">
        <f t="shared" si="9"/>
        <v>0</v>
      </c>
      <c r="I250" s="1050">
        <f t="shared" si="10"/>
        <v>0</v>
      </c>
      <c r="J250" s="1051">
        <f t="shared" si="11"/>
        <v>0</v>
      </c>
      <c r="K250" s="1043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897"/>
      <c r="W250" s="897"/>
      <c r="X250" s="897"/>
      <c r="Y250" s="897"/>
      <c r="Z250" s="897"/>
    </row>
    <row r="251" ht="15.75" customHeight="1">
      <c r="A251" s="308"/>
      <c r="B251" s="1026">
        <v>227.0</v>
      </c>
      <c r="C251" s="1048">
        <f t="shared" si="12"/>
        <v>52566</v>
      </c>
      <c r="D251" s="1049">
        <f t="shared" si="6"/>
        <v>12</v>
      </c>
      <c r="E251" s="1050">
        <f t="shared" si="7"/>
        <v>2043</v>
      </c>
      <c r="F251" s="1050">
        <f t="shared" si="13"/>
        <v>0</v>
      </c>
      <c r="G251" s="1050">
        <f t="shared" si="8"/>
        <v>0</v>
      </c>
      <c r="H251" s="1050">
        <f t="shared" si="9"/>
        <v>0</v>
      </c>
      <c r="I251" s="1050">
        <f t="shared" si="10"/>
        <v>0</v>
      </c>
      <c r="J251" s="1051">
        <f t="shared" si="11"/>
        <v>0</v>
      </c>
      <c r="K251" s="1043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897"/>
      <c r="W251" s="897"/>
      <c r="X251" s="897"/>
      <c r="Y251" s="897"/>
      <c r="Z251" s="897"/>
    </row>
    <row r="252" ht="15.75" customHeight="1">
      <c r="A252" s="308"/>
      <c r="B252" s="1026">
        <v>228.0</v>
      </c>
      <c r="C252" s="1048">
        <f t="shared" si="12"/>
        <v>52597</v>
      </c>
      <c r="D252" s="1049">
        <f t="shared" si="6"/>
        <v>1</v>
      </c>
      <c r="E252" s="1050">
        <f t="shared" si="7"/>
        <v>2044</v>
      </c>
      <c r="F252" s="1050">
        <f t="shared" si="13"/>
        <v>0</v>
      </c>
      <c r="G252" s="1050">
        <f t="shared" si="8"/>
        <v>0</v>
      </c>
      <c r="H252" s="1050">
        <f t="shared" si="9"/>
        <v>0</v>
      </c>
      <c r="I252" s="1050">
        <f t="shared" si="10"/>
        <v>0</v>
      </c>
      <c r="J252" s="1051">
        <f t="shared" si="11"/>
        <v>0</v>
      </c>
      <c r="K252" s="1043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897"/>
      <c r="W252" s="897"/>
      <c r="X252" s="897"/>
      <c r="Y252" s="897"/>
      <c r="Z252" s="897"/>
    </row>
    <row r="253" ht="15.75" customHeight="1">
      <c r="A253" s="308"/>
      <c r="B253" s="1026">
        <v>229.0</v>
      </c>
      <c r="C253" s="1048">
        <f t="shared" si="12"/>
        <v>52628</v>
      </c>
      <c r="D253" s="1049">
        <f t="shared" si="6"/>
        <v>2</v>
      </c>
      <c r="E253" s="1050">
        <f t="shared" si="7"/>
        <v>2044</v>
      </c>
      <c r="F253" s="1050">
        <f t="shared" si="13"/>
        <v>0</v>
      </c>
      <c r="G253" s="1050">
        <f t="shared" si="8"/>
        <v>0</v>
      </c>
      <c r="H253" s="1050">
        <f t="shared" si="9"/>
        <v>0</v>
      </c>
      <c r="I253" s="1050">
        <f t="shared" si="10"/>
        <v>0</v>
      </c>
      <c r="J253" s="1051">
        <f t="shared" si="11"/>
        <v>0</v>
      </c>
      <c r="K253" s="1043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897"/>
      <c r="W253" s="897"/>
      <c r="X253" s="897"/>
      <c r="Y253" s="897"/>
      <c r="Z253" s="897"/>
    </row>
    <row r="254" ht="15.75" customHeight="1">
      <c r="A254" s="308"/>
      <c r="B254" s="1026">
        <v>230.0</v>
      </c>
      <c r="C254" s="1048">
        <f t="shared" si="12"/>
        <v>52657</v>
      </c>
      <c r="D254" s="1049">
        <f t="shared" si="6"/>
        <v>3</v>
      </c>
      <c r="E254" s="1050">
        <f t="shared" si="7"/>
        <v>2044</v>
      </c>
      <c r="F254" s="1050">
        <f t="shared" si="13"/>
        <v>0</v>
      </c>
      <c r="G254" s="1050">
        <f t="shared" si="8"/>
        <v>0</v>
      </c>
      <c r="H254" s="1050">
        <f t="shared" si="9"/>
        <v>0</v>
      </c>
      <c r="I254" s="1050">
        <f t="shared" si="10"/>
        <v>0</v>
      </c>
      <c r="J254" s="1051">
        <f t="shared" si="11"/>
        <v>0</v>
      </c>
      <c r="K254" s="1043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897"/>
      <c r="W254" s="897"/>
      <c r="X254" s="897"/>
      <c r="Y254" s="897"/>
      <c r="Z254" s="897"/>
    </row>
    <row r="255" ht="15.75" customHeight="1">
      <c r="A255" s="308"/>
      <c r="B255" s="1026">
        <v>231.0</v>
      </c>
      <c r="C255" s="1048">
        <f t="shared" si="12"/>
        <v>52688</v>
      </c>
      <c r="D255" s="1049">
        <f t="shared" si="6"/>
        <v>4</v>
      </c>
      <c r="E255" s="1050">
        <f t="shared" si="7"/>
        <v>2044</v>
      </c>
      <c r="F255" s="1050">
        <f t="shared" si="13"/>
        <v>0</v>
      </c>
      <c r="G255" s="1050">
        <f t="shared" si="8"/>
        <v>0</v>
      </c>
      <c r="H255" s="1050">
        <f t="shared" si="9"/>
        <v>0</v>
      </c>
      <c r="I255" s="1050">
        <f t="shared" si="10"/>
        <v>0</v>
      </c>
      <c r="J255" s="1051">
        <f t="shared" si="11"/>
        <v>0</v>
      </c>
      <c r="K255" s="1043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897"/>
      <c r="W255" s="897"/>
      <c r="X255" s="897"/>
      <c r="Y255" s="897"/>
      <c r="Z255" s="897"/>
    </row>
    <row r="256" ht="15.75" customHeight="1">
      <c r="A256" s="308"/>
      <c r="B256" s="1026">
        <v>232.0</v>
      </c>
      <c r="C256" s="1048">
        <f t="shared" si="12"/>
        <v>52718</v>
      </c>
      <c r="D256" s="1049">
        <f t="shared" si="6"/>
        <v>5</v>
      </c>
      <c r="E256" s="1050">
        <f t="shared" si="7"/>
        <v>2044</v>
      </c>
      <c r="F256" s="1050">
        <f t="shared" si="13"/>
        <v>0</v>
      </c>
      <c r="G256" s="1050">
        <f t="shared" si="8"/>
        <v>0</v>
      </c>
      <c r="H256" s="1050">
        <f t="shared" si="9"/>
        <v>0</v>
      </c>
      <c r="I256" s="1050">
        <f t="shared" si="10"/>
        <v>0</v>
      </c>
      <c r="J256" s="1051">
        <f t="shared" si="11"/>
        <v>0</v>
      </c>
      <c r="K256" s="1043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897"/>
      <c r="W256" s="897"/>
      <c r="X256" s="897"/>
      <c r="Y256" s="897"/>
      <c r="Z256" s="897"/>
    </row>
    <row r="257" ht="15.75" customHeight="1">
      <c r="A257" s="308"/>
      <c r="B257" s="1026">
        <v>233.0</v>
      </c>
      <c r="C257" s="1048">
        <f t="shared" si="12"/>
        <v>52749</v>
      </c>
      <c r="D257" s="1049">
        <f t="shared" si="6"/>
        <v>6</v>
      </c>
      <c r="E257" s="1050">
        <f t="shared" si="7"/>
        <v>2044</v>
      </c>
      <c r="F257" s="1050">
        <f t="shared" si="13"/>
        <v>0</v>
      </c>
      <c r="G257" s="1050">
        <f t="shared" si="8"/>
        <v>0</v>
      </c>
      <c r="H257" s="1050">
        <f t="shared" si="9"/>
        <v>0</v>
      </c>
      <c r="I257" s="1050">
        <f t="shared" si="10"/>
        <v>0</v>
      </c>
      <c r="J257" s="1051">
        <f t="shared" si="11"/>
        <v>0</v>
      </c>
      <c r="K257" s="1043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897"/>
      <c r="W257" s="897"/>
      <c r="X257" s="897"/>
      <c r="Y257" s="897"/>
      <c r="Z257" s="897"/>
    </row>
    <row r="258" ht="15.75" customHeight="1">
      <c r="A258" s="308"/>
      <c r="B258" s="1026">
        <v>234.0</v>
      </c>
      <c r="C258" s="1048">
        <f t="shared" si="12"/>
        <v>52779</v>
      </c>
      <c r="D258" s="1049">
        <f t="shared" si="6"/>
        <v>7</v>
      </c>
      <c r="E258" s="1050">
        <f t="shared" si="7"/>
        <v>2044</v>
      </c>
      <c r="F258" s="1050">
        <f t="shared" si="13"/>
        <v>0</v>
      </c>
      <c r="G258" s="1050">
        <f t="shared" si="8"/>
        <v>0</v>
      </c>
      <c r="H258" s="1050">
        <f t="shared" si="9"/>
        <v>0</v>
      </c>
      <c r="I258" s="1050">
        <f t="shared" si="10"/>
        <v>0</v>
      </c>
      <c r="J258" s="1051">
        <f t="shared" si="11"/>
        <v>0</v>
      </c>
      <c r="K258" s="1043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897"/>
      <c r="W258" s="897"/>
      <c r="X258" s="897"/>
      <c r="Y258" s="897"/>
      <c r="Z258" s="897"/>
    </row>
    <row r="259" ht="15.75" customHeight="1">
      <c r="A259" s="308"/>
      <c r="B259" s="1026">
        <v>235.0</v>
      </c>
      <c r="C259" s="1048">
        <f t="shared" si="12"/>
        <v>52810</v>
      </c>
      <c r="D259" s="1049">
        <f t="shared" si="6"/>
        <v>8</v>
      </c>
      <c r="E259" s="1050">
        <f t="shared" si="7"/>
        <v>2044</v>
      </c>
      <c r="F259" s="1050">
        <f t="shared" si="13"/>
        <v>0</v>
      </c>
      <c r="G259" s="1050">
        <f t="shared" si="8"/>
        <v>0</v>
      </c>
      <c r="H259" s="1050">
        <f t="shared" si="9"/>
        <v>0</v>
      </c>
      <c r="I259" s="1050">
        <f t="shared" si="10"/>
        <v>0</v>
      </c>
      <c r="J259" s="1051">
        <f t="shared" si="11"/>
        <v>0</v>
      </c>
      <c r="K259" s="1043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897"/>
      <c r="W259" s="897"/>
      <c r="X259" s="897"/>
      <c r="Y259" s="897"/>
      <c r="Z259" s="897"/>
    </row>
    <row r="260" ht="15.75" customHeight="1">
      <c r="A260" s="308"/>
      <c r="B260" s="1026">
        <v>236.0</v>
      </c>
      <c r="C260" s="1048">
        <f t="shared" si="12"/>
        <v>52841</v>
      </c>
      <c r="D260" s="1049">
        <f t="shared" si="6"/>
        <v>9</v>
      </c>
      <c r="E260" s="1050">
        <f t="shared" si="7"/>
        <v>2044</v>
      </c>
      <c r="F260" s="1050">
        <f t="shared" si="13"/>
        <v>0</v>
      </c>
      <c r="G260" s="1050">
        <f t="shared" si="8"/>
        <v>0</v>
      </c>
      <c r="H260" s="1050">
        <f t="shared" si="9"/>
        <v>0</v>
      </c>
      <c r="I260" s="1050">
        <f t="shared" si="10"/>
        <v>0</v>
      </c>
      <c r="J260" s="1051">
        <f t="shared" si="11"/>
        <v>0</v>
      </c>
      <c r="K260" s="1043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897"/>
      <c r="W260" s="897"/>
      <c r="X260" s="897"/>
      <c r="Y260" s="897"/>
      <c r="Z260" s="897"/>
    </row>
    <row r="261" ht="15.75" customHeight="1">
      <c r="A261" s="308"/>
      <c r="B261" s="1026">
        <v>237.0</v>
      </c>
      <c r="C261" s="1048">
        <f t="shared" si="12"/>
        <v>52871</v>
      </c>
      <c r="D261" s="1049">
        <f t="shared" si="6"/>
        <v>10</v>
      </c>
      <c r="E261" s="1050">
        <f t="shared" si="7"/>
        <v>2044</v>
      </c>
      <c r="F261" s="1050">
        <f t="shared" si="13"/>
        <v>0</v>
      </c>
      <c r="G261" s="1050">
        <f t="shared" si="8"/>
        <v>0</v>
      </c>
      <c r="H261" s="1050">
        <f t="shared" si="9"/>
        <v>0</v>
      </c>
      <c r="I261" s="1050">
        <f t="shared" si="10"/>
        <v>0</v>
      </c>
      <c r="J261" s="1051">
        <f t="shared" si="11"/>
        <v>0</v>
      </c>
      <c r="K261" s="1043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897"/>
      <c r="W261" s="897"/>
      <c r="X261" s="897"/>
      <c r="Y261" s="897"/>
      <c r="Z261" s="897"/>
    </row>
    <row r="262" ht="15.75" customHeight="1">
      <c r="A262" s="308"/>
      <c r="B262" s="1026">
        <v>238.0</v>
      </c>
      <c r="C262" s="1048">
        <f t="shared" si="12"/>
        <v>52902</v>
      </c>
      <c r="D262" s="1049">
        <f t="shared" si="6"/>
        <v>11</v>
      </c>
      <c r="E262" s="1050">
        <f t="shared" si="7"/>
        <v>2044</v>
      </c>
      <c r="F262" s="1050">
        <f t="shared" si="13"/>
        <v>0</v>
      </c>
      <c r="G262" s="1050">
        <f t="shared" si="8"/>
        <v>0</v>
      </c>
      <c r="H262" s="1050">
        <f t="shared" si="9"/>
        <v>0</v>
      </c>
      <c r="I262" s="1050">
        <f t="shared" si="10"/>
        <v>0</v>
      </c>
      <c r="J262" s="1051">
        <f t="shared" si="11"/>
        <v>0</v>
      </c>
      <c r="K262" s="1043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897"/>
      <c r="W262" s="897"/>
      <c r="X262" s="897"/>
      <c r="Y262" s="897"/>
      <c r="Z262" s="897"/>
    </row>
    <row r="263" ht="15.75" customHeight="1">
      <c r="A263" s="308"/>
      <c r="B263" s="1026">
        <v>239.0</v>
      </c>
      <c r="C263" s="1048">
        <f t="shared" si="12"/>
        <v>52932</v>
      </c>
      <c r="D263" s="1049">
        <f t="shared" si="6"/>
        <v>12</v>
      </c>
      <c r="E263" s="1050">
        <f t="shared" si="7"/>
        <v>2044</v>
      </c>
      <c r="F263" s="1050">
        <f t="shared" si="13"/>
        <v>0</v>
      </c>
      <c r="G263" s="1050">
        <f t="shared" si="8"/>
        <v>0</v>
      </c>
      <c r="H263" s="1050">
        <f t="shared" si="9"/>
        <v>0</v>
      </c>
      <c r="I263" s="1050">
        <f t="shared" si="10"/>
        <v>0</v>
      </c>
      <c r="J263" s="1051">
        <f t="shared" si="11"/>
        <v>0</v>
      </c>
      <c r="K263" s="1043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897"/>
      <c r="W263" s="897"/>
      <c r="X263" s="897"/>
      <c r="Y263" s="897"/>
      <c r="Z263" s="897"/>
    </row>
    <row r="264" ht="15.75" customHeight="1">
      <c r="A264" s="308"/>
      <c r="B264" s="1026">
        <v>240.0</v>
      </c>
      <c r="C264" s="1048">
        <f t="shared" si="12"/>
        <v>52963</v>
      </c>
      <c r="D264" s="1049">
        <f t="shared" si="6"/>
        <v>1</v>
      </c>
      <c r="E264" s="1050">
        <f t="shared" si="7"/>
        <v>2045</v>
      </c>
      <c r="F264" s="1050">
        <f t="shared" si="13"/>
        <v>0</v>
      </c>
      <c r="G264" s="1050">
        <f t="shared" si="8"/>
        <v>0</v>
      </c>
      <c r="H264" s="1050">
        <f t="shared" si="9"/>
        <v>0</v>
      </c>
      <c r="I264" s="1050">
        <f t="shared" si="10"/>
        <v>0</v>
      </c>
      <c r="J264" s="1051">
        <f t="shared" si="11"/>
        <v>0</v>
      </c>
      <c r="K264" s="1043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897"/>
      <c r="W264" s="897"/>
      <c r="X264" s="897"/>
      <c r="Y264" s="897"/>
      <c r="Z264" s="897"/>
    </row>
    <row r="265" ht="15.75" customHeight="1">
      <c r="A265" s="308"/>
      <c r="B265" s="1026">
        <v>241.0</v>
      </c>
      <c r="C265" s="1048">
        <f t="shared" si="12"/>
        <v>52994</v>
      </c>
      <c r="D265" s="1049">
        <f t="shared" si="6"/>
        <v>2</v>
      </c>
      <c r="E265" s="1050">
        <f t="shared" si="7"/>
        <v>2045</v>
      </c>
      <c r="F265" s="1050">
        <f t="shared" si="13"/>
        <v>0</v>
      </c>
      <c r="G265" s="1050">
        <f t="shared" si="8"/>
        <v>0</v>
      </c>
      <c r="H265" s="1050">
        <f t="shared" si="9"/>
        <v>0</v>
      </c>
      <c r="I265" s="1050">
        <f t="shared" si="10"/>
        <v>0</v>
      </c>
      <c r="J265" s="1051">
        <f t="shared" si="11"/>
        <v>0</v>
      </c>
      <c r="K265" s="1043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897"/>
      <c r="W265" s="897"/>
      <c r="X265" s="897"/>
      <c r="Y265" s="897"/>
      <c r="Z265" s="897"/>
    </row>
    <row r="266" ht="15.75" customHeight="1">
      <c r="A266" s="308"/>
      <c r="B266" s="1026">
        <v>242.0</v>
      </c>
      <c r="C266" s="1048">
        <f t="shared" si="12"/>
        <v>53022</v>
      </c>
      <c r="D266" s="1049">
        <f t="shared" si="6"/>
        <v>3</v>
      </c>
      <c r="E266" s="1050">
        <f t="shared" si="7"/>
        <v>2045</v>
      </c>
      <c r="F266" s="1050">
        <f t="shared" si="13"/>
        <v>0</v>
      </c>
      <c r="G266" s="1050">
        <f t="shared" si="8"/>
        <v>0</v>
      </c>
      <c r="H266" s="1050">
        <f t="shared" si="9"/>
        <v>0</v>
      </c>
      <c r="I266" s="1050">
        <f t="shared" si="10"/>
        <v>0</v>
      </c>
      <c r="J266" s="1051">
        <f t="shared" si="11"/>
        <v>0</v>
      </c>
      <c r="K266" s="1043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897"/>
      <c r="W266" s="897"/>
      <c r="X266" s="897"/>
      <c r="Y266" s="897"/>
      <c r="Z266" s="897"/>
    </row>
    <row r="267" ht="15.75" customHeight="1">
      <c r="A267" s="308"/>
      <c r="B267" s="1026">
        <v>243.0</v>
      </c>
      <c r="C267" s="1048">
        <f t="shared" si="12"/>
        <v>53053</v>
      </c>
      <c r="D267" s="1049">
        <f t="shared" si="6"/>
        <v>4</v>
      </c>
      <c r="E267" s="1050">
        <f t="shared" si="7"/>
        <v>2045</v>
      </c>
      <c r="F267" s="1050">
        <f t="shared" si="13"/>
        <v>0</v>
      </c>
      <c r="G267" s="1050">
        <f t="shared" si="8"/>
        <v>0</v>
      </c>
      <c r="H267" s="1050">
        <f t="shared" si="9"/>
        <v>0</v>
      </c>
      <c r="I267" s="1050">
        <f t="shared" si="10"/>
        <v>0</v>
      </c>
      <c r="J267" s="1051">
        <f t="shared" si="11"/>
        <v>0</v>
      </c>
      <c r="K267" s="1043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897"/>
      <c r="W267" s="897"/>
      <c r="X267" s="897"/>
      <c r="Y267" s="897"/>
      <c r="Z267" s="897"/>
    </row>
    <row r="268" ht="15.75" customHeight="1">
      <c r="A268" s="308"/>
      <c r="B268" s="1026">
        <v>244.0</v>
      </c>
      <c r="C268" s="1048">
        <f t="shared" si="12"/>
        <v>53083</v>
      </c>
      <c r="D268" s="1049">
        <f t="shared" si="6"/>
        <v>5</v>
      </c>
      <c r="E268" s="1050">
        <f t="shared" si="7"/>
        <v>2045</v>
      </c>
      <c r="F268" s="1050">
        <f t="shared" si="13"/>
        <v>0</v>
      </c>
      <c r="G268" s="1050">
        <f t="shared" si="8"/>
        <v>0</v>
      </c>
      <c r="H268" s="1050">
        <f t="shared" si="9"/>
        <v>0</v>
      </c>
      <c r="I268" s="1050">
        <f t="shared" si="10"/>
        <v>0</v>
      </c>
      <c r="J268" s="1051">
        <f t="shared" si="11"/>
        <v>0</v>
      </c>
      <c r="K268" s="1043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897"/>
      <c r="W268" s="897"/>
      <c r="X268" s="897"/>
      <c r="Y268" s="897"/>
      <c r="Z268" s="897"/>
    </row>
    <row r="269" ht="15.75" customHeight="1">
      <c r="A269" s="308"/>
      <c r="B269" s="1026">
        <v>245.0</v>
      </c>
      <c r="C269" s="1048">
        <f t="shared" si="12"/>
        <v>53114</v>
      </c>
      <c r="D269" s="1049">
        <f t="shared" si="6"/>
        <v>6</v>
      </c>
      <c r="E269" s="1050">
        <f t="shared" si="7"/>
        <v>2045</v>
      </c>
      <c r="F269" s="1050">
        <f t="shared" si="13"/>
        <v>0</v>
      </c>
      <c r="G269" s="1050">
        <f t="shared" si="8"/>
        <v>0</v>
      </c>
      <c r="H269" s="1050">
        <f t="shared" si="9"/>
        <v>0</v>
      </c>
      <c r="I269" s="1050">
        <f t="shared" si="10"/>
        <v>0</v>
      </c>
      <c r="J269" s="1051">
        <f t="shared" si="11"/>
        <v>0</v>
      </c>
      <c r="K269" s="1043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897"/>
      <c r="W269" s="897"/>
      <c r="X269" s="897"/>
      <c r="Y269" s="897"/>
      <c r="Z269" s="897"/>
    </row>
    <row r="270" ht="15.75" customHeight="1">
      <c r="A270" s="308"/>
      <c r="B270" s="1026">
        <v>246.0</v>
      </c>
      <c r="C270" s="1048">
        <f t="shared" si="12"/>
        <v>53144</v>
      </c>
      <c r="D270" s="1049">
        <f t="shared" si="6"/>
        <v>7</v>
      </c>
      <c r="E270" s="1050">
        <f t="shared" si="7"/>
        <v>2045</v>
      </c>
      <c r="F270" s="1050">
        <f t="shared" si="13"/>
        <v>0</v>
      </c>
      <c r="G270" s="1050">
        <f t="shared" si="8"/>
        <v>0</v>
      </c>
      <c r="H270" s="1050">
        <f t="shared" si="9"/>
        <v>0</v>
      </c>
      <c r="I270" s="1050">
        <f t="shared" si="10"/>
        <v>0</v>
      </c>
      <c r="J270" s="1051">
        <f t="shared" si="11"/>
        <v>0</v>
      </c>
      <c r="K270" s="1043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897"/>
      <c r="W270" s="897"/>
      <c r="X270" s="897"/>
      <c r="Y270" s="897"/>
      <c r="Z270" s="897"/>
    </row>
    <row r="271" ht="15.75" customHeight="1">
      <c r="A271" s="308"/>
      <c r="B271" s="1026">
        <v>247.0</v>
      </c>
      <c r="C271" s="1048">
        <f t="shared" si="12"/>
        <v>53175</v>
      </c>
      <c r="D271" s="1049">
        <f t="shared" si="6"/>
        <v>8</v>
      </c>
      <c r="E271" s="1050">
        <f t="shared" si="7"/>
        <v>2045</v>
      </c>
      <c r="F271" s="1050">
        <f t="shared" si="13"/>
        <v>0</v>
      </c>
      <c r="G271" s="1050">
        <f t="shared" si="8"/>
        <v>0</v>
      </c>
      <c r="H271" s="1050">
        <f t="shared" si="9"/>
        <v>0</v>
      </c>
      <c r="I271" s="1050">
        <f t="shared" si="10"/>
        <v>0</v>
      </c>
      <c r="J271" s="1051">
        <f t="shared" si="11"/>
        <v>0</v>
      </c>
      <c r="K271" s="1043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897"/>
      <c r="W271" s="897"/>
      <c r="X271" s="897"/>
      <c r="Y271" s="897"/>
      <c r="Z271" s="897"/>
    </row>
    <row r="272" ht="15.75" customHeight="1">
      <c r="A272" s="308"/>
      <c r="B272" s="1026">
        <v>248.0</v>
      </c>
      <c r="C272" s="1048">
        <f t="shared" si="12"/>
        <v>53206</v>
      </c>
      <c r="D272" s="1049">
        <f t="shared" si="6"/>
        <v>9</v>
      </c>
      <c r="E272" s="1050">
        <f t="shared" si="7"/>
        <v>2045</v>
      </c>
      <c r="F272" s="1050">
        <f t="shared" si="13"/>
        <v>0</v>
      </c>
      <c r="G272" s="1050">
        <f t="shared" si="8"/>
        <v>0</v>
      </c>
      <c r="H272" s="1050">
        <f t="shared" si="9"/>
        <v>0</v>
      </c>
      <c r="I272" s="1050">
        <f t="shared" si="10"/>
        <v>0</v>
      </c>
      <c r="J272" s="1051">
        <f t="shared" si="11"/>
        <v>0</v>
      </c>
      <c r="K272" s="1043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897"/>
      <c r="W272" s="897"/>
      <c r="X272" s="897"/>
      <c r="Y272" s="897"/>
      <c r="Z272" s="897"/>
    </row>
    <row r="273" ht="15.75" customHeight="1">
      <c r="A273" s="308"/>
      <c r="B273" s="1026">
        <v>249.0</v>
      </c>
      <c r="C273" s="1048">
        <f t="shared" si="12"/>
        <v>53236</v>
      </c>
      <c r="D273" s="1049">
        <f t="shared" si="6"/>
        <v>10</v>
      </c>
      <c r="E273" s="1050">
        <f t="shared" si="7"/>
        <v>2045</v>
      </c>
      <c r="F273" s="1050">
        <f t="shared" si="13"/>
        <v>0</v>
      </c>
      <c r="G273" s="1050">
        <f t="shared" si="8"/>
        <v>0</v>
      </c>
      <c r="H273" s="1050">
        <f t="shared" si="9"/>
        <v>0</v>
      </c>
      <c r="I273" s="1050">
        <f t="shared" si="10"/>
        <v>0</v>
      </c>
      <c r="J273" s="1051">
        <f t="shared" si="11"/>
        <v>0</v>
      </c>
      <c r="K273" s="1043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897"/>
      <c r="W273" s="897"/>
      <c r="X273" s="897"/>
      <c r="Y273" s="897"/>
      <c r="Z273" s="897"/>
    </row>
    <row r="274" ht="15.75" customHeight="1">
      <c r="A274" s="308"/>
      <c r="B274" s="1026">
        <v>250.0</v>
      </c>
      <c r="C274" s="1048">
        <f t="shared" si="12"/>
        <v>53267</v>
      </c>
      <c r="D274" s="1049">
        <f t="shared" si="6"/>
        <v>11</v>
      </c>
      <c r="E274" s="1050">
        <f t="shared" si="7"/>
        <v>2045</v>
      </c>
      <c r="F274" s="1050">
        <f t="shared" si="13"/>
        <v>0</v>
      </c>
      <c r="G274" s="1050">
        <f t="shared" si="8"/>
        <v>0</v>
      </c>
      <c r="H274" s="1050">
        <f t="shared" si="9"/>
        <v>0</v>
      </c>
      <c r="I274" s="1050">
        <f t="shared" si="10"/>
        <v>0</v>
      </c>
      <c r="J274" s="1051">
        <f t="shared" si="11"/>
        <v>0</v>
      </c>
      <c r="K274" s="1043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897"/>
      <c r="W274" s="897"/>
      <c r="X274" s="897"/>
      <c r="Y274" s="897"/>
      <c r="Z274" s="897"/>
    </row>
    <row r="275" ht="15.75" customHeight="1">
      <c r="A275" s="308"/>
      <c r="B275" s="1026">
        <v>251.0</v>
      </c>
      <c r="C275" s="1048">
        <f t="shared" si="12"/>
        <v>53297</v>
      </c>
      <c r="D275" s="1049">
        <f t="shared" si="6"/>
        <v>12</v>
      </c>
      <c r="E275" s="1050">
        <f t="shared" si="7"/>
        <v>2045</v>
      </c>
      <c r="F275" s="1050">
        <f t="shared" si="13"/>
        <v>0</v>
      </c>
      <c r="G275" s="1050">
        <f t="shared" si="8"/>
        <v>0</v>
      </c>
      <c r="H275" s="1050">
        <f t="shared" si="9"/>
        <v>0</v>
      </c>
      <c r="I275" s="1050">
        <f t="shared" si="10"/>
        <v>0</v>
      </c>
      <c r="J275" s="1051">
        <f t="shared" si="11"/>
        <v>0</v>
      </c>
      <c r="K275" s="1043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897"/>
      <c r="W275" s="897"/>
      <c r="X275" s="897"/>
      <c r="Y275" s="897"/>
      <c r="Z275" s="897"/>
    </row>
    <row r="276" ht="15.75" customHeight="1">
      <c r="A276" s="308"/>
      <c r="B276" s="1026">
        <v>252.0</v>
      </c>
      <c r="C276" s="1048">
        <f t="shared" si="12"/>
        <v>53328</v>
      </c>
      <c r="D276" s="1049">
        <f t="shared" si="6"/>
        <v>1</v>
      </c>
      <c r="E276" s="1050">
        <f t="shared" si="7"/>
        <v>2046</v>
      </c>
      <c r="F276" s="1050">
        <f t="shared" si="13"/>
        <v>0</v>
      </c>
      <c r="G276" s="1050">
        <f t="shared" si="8"/>
        <v>0</v>
      </c>
      <c r="H276" s="1050">
        <f t="shared" si="9"/>
        <v>0</v>
      </c>
      <c r="I276" s="1050">
        <f t="shared" si="10"/>
        <v>0</v>
      </c>
      <c r="J276" s="1051">
        <f t="shared" si="11"/>
        <v>0</v>
      </c>
      <c r="K276" s="1043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897"/>
      <c r="W276" s="897"/>
      <c r="X276" s="897"/>
      <c r="Y276" s="897"/>
      <c r="Z276" s="897"/>
    </row>
    <row r="277" ht="15.75" customHeight="1">
      <c r="A277" s="308"/>
      <c r="B277" s="1026">
        <v>253.0</v>
      </c>
      <c r="C277" s="1048">
        <f t="shared" si="12"/>
        <v>53359</v>
      </c>
      <c r="D277" s="1049">
        <f t="shared" si="6"/>
        <v>2</v>
      </c>
      <c r="E277" s="1050">
        <f t="shared" si="7"/>
        <v>2046</v>
      </c>
      <c r="F277" s="1050">
        <f t="shared" si="13"/>
        <v>0</v>
      </c>
      <c r="G277" s="1050">
        <f t="shared" si="8"/>
        <v>0</v>
      </c>
      <c r="H277" s="1050">
        <f t="shared" si="9"/>
        <v>0</v>
      </c>
      <c r="I277" s="1050">
        <f t="shared" si="10"/>
        <v>0</v>
      </c>
      <c r="J277" s="1051">
        <f t="shared" si="11"/>
        <v>0</v>
      </c>
      <c r="K277" s="1043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897"/>
      <c r="W277" s="897"/>
      <c r="X277" s="897"/>
      <c r="Y277" s="897"/>
      <c r="Z277" s="897"/>
    </row>
    <row r="278" ht="15.75" customHeight="1">
      <c r="A278" s="308"/>
      <c r="B278" s="1026">
        <v>254.0</v>
      </c>
      <c r="C278" s="1048">
        <f t="shared" si="12"/>
        <v>53387</v>
      </c>
      <c r="D278" s="1049">
        <f t="shared" si="6"/>
        <v>3</v>
      </c>
      <c r="E278" s="1050">
        <f t="shared" si="7"/>
        <v>2046</v>
      </c>
      <c r="F278" s="1050">
        <f t="shared" si="13"/>
        <v>0</v>
      </c>
      <c r="G278" s="1050">
        <f t="shared" si="8"/>
        <v>0</v>
      </c>
      <c r="H278" s="1050">
        <f t="shared" si="9"/>
        <v>0</v>
      </c>
      <c r="I278" s="1050">
        <f t="shared" si="10"/>
        <v>0</v>
      </c>
      <c r="J278" s="1051">
        <f t="shared" si="11"/>
        <v>0</v>
      </c>
      <c r="K278" s="1043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897"/>
      <c r="W278" s="897"/>
      <c r="X278" s="897"/>
      <c r="Y278" s="897"/>
      <c r="Z278" s="897"/>
    </row>
    <row r="279" ht="15.75" customHeight="1">
      <c r="A279" s="308"/>
      <c r="B279" s="1026">
        <v>255.0</v>
      </c>
      <c r="C279" s="1048">
        <f t="shared" si="12"/>
        <v>53418</v>
      </c>
      <c r="D279" s="1049">
        <f t="shared" si="6"/>
        <v>4</v>
      </c>
      <c r="E279" s="1050">
        <f t="shared" si="7"/>
        <v>2046</v>
      </c>
      <c r="F279" s="1050">
        <f t="shared" si="13"/>
        <v>0</v>
      </c>
      <c r="G279" s="1050">
        <f t="shared" si="8"/>
        <v>0</v>
      </c>
      <c r="H279" s="1050">
        <f t="shared" si="9"/>
        <v>0</v>
      </c>
      <c r="I279" s="1050">
        <f t="shared" si="10"/>
        <v>0</v>
      </c>
      <c r="J279" s="1051">
        <f t="shared" si="11"/>
        <v>0</v>
      </c>
      <c r="K279" s="1043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897"/>
      <c r="W279" s="897"/>
      <c r="X279" s="897"/>
      <c r="Y279" s="897"/>
      <c r="Z279" s="897"/>
    </row>
    <row r="280" ht="15.75" customHeight="1">
      <c r="A280" s="308"/>
      <c r="B280" s="1026">
        <v>256.0</v>
      </c>
      <c r="C280" s="1048">
        <f t="shared" si="12"/>
        <v>53448</v>
      </c>
      <c r="D280" s="1049">
        <f t="shared" si="6"/>
        <v>5</v>
      </c>
      <c r="E280" s="1050">
        <f t="shared" si="7"/>
        <v>2046</v>
      </c>
      <c r="F280" s="1050">
        <f t="shared" si="13"/>
        <v>0</v>
      </c>
      <c r="G280" s="1050">
        <f t="shared" si="8"/>
        <v>0</v>
      </c>
      <c r="H280" s="1050">
        <f t="shared" si="9"/>
        <v>0</v>
      </c>
      <c r="I280" s="1050">
        <f t="shared" si="10"/>
        <v>0</v>
      </c>
      <c r="J280" s="1051">
        <f t="shared" si="11"/>
        <v>0</v>
      </c>
      <c r="K280" s="1043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897"/>
      <c r="W280" s="897"/>
      <c r="X280" s="897"/>
      <c r="Y280" s="897"/>
      <c r="Z280" s="897"/>
    </row>
    <row r="281" ht="15.75" customHeight="1">
      <c r="A281" s="308"/>
      <c r="B281" s="1026">
        <v>257.0</v>
      </c>
      <c r="C281" s="1048">
        <f t="shared" si="12"/>
        <v>53479</v>
      </c>
      <c r="D281" s="1049">
        <f t="shared" si="6"/>
        <v>6</v>
      </c>
      <c r="E281" s="1050">
        <f t="shared" si="7"/>
        <v>2046</v>
      </c>
      <c r="F281" s="1050">
        <f t="shared" si="13"/>
        <v>0</v>
      </c>
      <c r="G281" s="1050">
        <f t="shared" si="8"/>
        <v>0</v>
      </c>
      <c r="H281" s="1050">
        <f t="shared" si="9"/>
        <v>0</v>
      </c>
      <c r="I281" s="1050">
        <f t="shared" si="10"/>
        <v>0</v>
      </c>
      <c r="J281" s="1051">
        <f t="shared" si="11"/>
        <v>0</v>
      </c>
      <c r="K281" s="1043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897"/>
      <c r="W281" s="897"/>
      <c r="X281" s="897"/>
      <c r="Y281" s="897"/>
      <c r="Z281" s="897"/>
    </row>
    <row r="282" ht="15.75" customHeight="1">
      <c r="A282" s="308"/>
      <c r="B282" s="1026">
        <v>258.0</v>
      </c>
      <c r="C282" s="1048">
        <f t="shared" si="12"/>
        <v>53509</v>
      </c>
      <c r="D282" s="1049">
        <f t="shared" si="6"/>
        <v>7</v>
      </c>
      <c r="E282" s="1050">
        <f t="shared" si="7"/>
        <v>2046</v>
      </c>
      <c r="F282" s="1050">
        <f t="shared" si="13"/>
        <v>0</v>
      </c>
      <c r="G282" s="1050">
        <f t="shared" si="8"/>
        <v>0</v>
      </c>
      <c r="H282" s="1050">
        <f t="shared" si="9"/>
        <v>0</v>
      </c>
      <c r="I282" s="1050">
        <f t="shared" si="10"/>
        <v>0</v>
      </c>
      <c r="J282" s="1051">
        <f t="shared" si="11"/>
        <v>0</v>
      </c>
      <c r="K282" s="1043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897"/>
      <c r="W282" s="897"/>
      <c r="X282" s="897"/>
      <c r="Y282" s="897"/>
      <c r="Z282" s="897"/>
    </row>
    <row r="283" ht="15.75" customHeight="1">
      <c r="A283" s="308"/>
      <c r="B283" s="1026">
        <v>259.0</v>
      </c>
      <c r="C283" s="1048">
        <f t="shared" si="12"/>
        <v>53540</v>
      </c>
      <c r="D283" s="1049">
        <f t="shared" si="6"/>
        <v>8</v>
      </c>
      <c r="E283" s="1050">
        <f t="shared" si="7"/>
        <v>2046</v>
      </c>
      <c r="F283" s="1050">
        <f t="shared" si="13"/>
        <v>0</v>
      </c>
      <c r="G283" s="1050">
        <f t="shared" si="8"/>
        <v>0</v>
      </c>
      <c r="H283" s="1050">
        <f t="shared" si="9"/>
        <v>0</v>
      </c>
      <c r="I283" s="1050">
        <f t="shared" si="10"/>
        <v>0</v>
      </c>
      <c r="J283" s="1051">
        <f t="shared" si="11"/>
        <v>0</v>
      </c>
      <c r="K283" s="1043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897"/>
      <c r="W283" s="897"/>
      <c r="X283" s="897"/>
      <c r="Y283" s="897"/>
      <c r="Z283" s="897"/>
    </row>
    <row r="284" ht="15.75" customHeight="1">
      <c r="A284" s="308"/>
      <c r="B284" s="1026">
        <v>260.0</v>
      </c>
      <c r="C284" s="1048">
        <f t="shared" si="12"/>
        <v>53571</v>
      </c>
      <c r="D284" s="1049">
        <f t="shared" si="6"/>
        <v>9</v>
      </c>
      <c r="E284" s="1050">
        <f t="shared" si="7"/>
        <v>2046</v>
      </c>
      <c r="F284" s="1050">
        <f t="shared" si="13"/>
        <v>0</v>
      </c>
      <c r="G284" s="1050">
        <f t="shared" si="8"/>
        <v>0</v>
      </c>
      <c r="H284" s="1050">
        <f t="shared" si="9"/>
        <v>0</v>
      </c>
      <c r="I284" s="1050">
        <f t="shared" si="10"/>
        <v>0</v>
      </c>
      <c r="J284" s="1051">
        <f t="shared" si="11"/>
        <v>0</v>
      </c>
      <c r="K284" s="1043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897"/>
      <c r="W284" s="897"/>
      <c r="X284" s="897"/>
      <c r="Y284" s="897"/>
      <c r="Z284" s="897"/>
    </row>
    <row r="285" ht="15.75" customHeight="1">
      <c r="A285" s="308"/>
      <c r="B285" s="1026">
        <v>261.0</v>
      </c>
      <c r="C285" s="1048">
        <f t="shared" si="12"/>
        <v>53601</v>
      </c>
      <c r="D285" s="1049">
        <f t="shared" si="6"/>
        <v>10</v>
      </c>
      <c r="E285" s="1050">
        <f t="shared" si="7"/>
        <v>2046</v>
      </c>
      <c r="F285" s="1050">
        <f t="shared" si="13"/>
        <v>0</v>
      </c>
      <c r="G285" s="1050">
        <f t="shared" si="8"/>
        <v>0</v>
      </c>
      <c r="H285" s="1050">
        <f t="shared" si="9"/>
        <v>0</v>
      </c>
      <c r="I285" s="1050">
        <f t="shared" si="10"/>
        <v>0</v>
      </c>
      <c r="J285" s="1051">
        <f t="shared" si="11"/>
        <v>0</v>
      </c>
      <c r="K285" s="1043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897"/>
      <c r="W285" s="897"/>
      <c r="X285" s="897"/>
      <c r="Y285" s="897"/>
      <c r="Z285" s="897"/>
    </row>
    <row r="286" ht="15.75" customHeight="1">
      <c r="A286" s="308"/>
      <c r="B286" s="1026">
        <v>262.0</v>
      </c>
      <c r="C286" s="1048">
        <f t="shared" si="12"/>
        <v>53632</v>
      </c>
      <c r="D286" s="1049">
        <f t="shared" si="6"/>
        <v>11</v>
      </c>
      <c r="E286" s="1050">
        <f t="shared" si="7"/>
        <v>2046</v>
      </c>
      <c r="F286" s="1050">
        <f t="shared" si="13"/>
        <v>0</v>
      </c>
      <c r="G286" s="1050">
        <f t="shared" si="8"/>
        <v>0</v>
      </c>
      <c r="H286" s="1050">
        <f t="shared" si="9"/>
        <v>0</v>
      </c>
      <c r="I286" s="1050">
        <f t="shared" si="10"/>
        <v>0</v>
      </c>
      <c r="J286" s="1051">
        <f t="shared" si="11"/>
        <v>0</v>
      </c>
      <c r="K286" s="1043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897"/>
      <c r="W286" s="897"/>
      <c r="X286" s="897"/>
      <c r="Y286" s="897"/>
      <c r="Z286" s="897"/>
    </row>
    <row r="287" ht="15.75" customHeight="1">
      <c r="A287" s="308"/>
      <c r="B287" s="1026">
        <v>263.0</v>
      </c>
      <c r="C287" s="1048">
        <f t="shared" si="12"/>
        <v>53662</v>
      </c>
      <c r="D287" s="1049">
        <f t="shared" si="6"/>
        <v>12</v>
      </c>
      <c r="E287" s="1050">
        <f t="shared" si="7"/>
        <v>2046</v>
      </c>
      <c r="F287" s="1050">
        <f t="shared" si="13"/>
        <v>0</v>
      </c>
      <c r="G287" s="1050">
        <f t="shared" si="8"/>
        <v>0</v>
      </c>
      <c r="H287" s="1050">
        <f t="shared" si="9"/>
        <v>0</v>
      </c>
      <c r="I287" s="1050">
        <f t="shared" si="10"/>
        <v>0</v>
      </c>
      <c r="J287" s="1051">
        <f t="shared" si="11"/>
        <v>0</v>
      </c>
      <c r="K287" s="1043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897"/>
      <c r="W287" s="897"/>
      <c r="X287" s="897"/>
      <c r="Y287" s="897"/>
      <c r="Z287" s="897"/>
    </row>
    <row r="288" ht="15.75" customHeight="1">
      <c r="A288" s="308"/>
      <c r="B288" s="1026">
        <v>264.0</v>
      </c>
      <c r="C288" s="1048">
        <f t="shared" si="12"/>
        <v>53693</v>
      </c>
      <c r="D288" s="1049">
        <f t="shared" si="6"/>
        <v>1</v>
      </c>
      <c r="E288" s="1050">
        <f t="shared" si="7"/>
        <v>2047</v>
      </c>
      <c r="F288" s="1050">
        <f t="shared" si="13"/>
        <v>0</v>
      </c>
      <c r="G288" s="1050">
        <f t="shared" si="8"/>
        <v>0</v>
      </c>
      <c r="H288" s="1050">
        <f t="shared" si="9"/>
        <v>0</v>
      </c>
      <c r="I288" s="1050">
        <f t="shared" si="10"/>
        <v>0</v>
      </c>
      <c r="J288" s="1051">
        <f t="shared" si="11"/>
        <v>0</v>
      </c>
      <c r="K288" s="1043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897"/>
      <c r="W288" s="897"/>
      <c r="X288" s="897"/>
      <c r="Y288" s="897"/>
      <c r="Z288" s="897"/>
    </row>
    <row r="289" ht="15.75" customHeight="1">
      <c r="A289" s="308"/>
      <c r="B289" s="1026">
        <v>265.0</v>
      </c>
      <c r="C289" s="1048">
        <f t="shared" si="12"/>
        <v>53724</v>
      </c>
      <c r="D289" s="1049">
        <f t="shared" si="6"/>
        <v>2</v>
      </c>
      <c r="E289" s="1050">
        <f t="shared" si="7"/>
        <v>2047</v>
      </c>
      <c r="F289" s="1050">
        <f t="shared" si="13"/>
        <v>0</v>
      </c>
      <c r="G289" s="1050">
        <f t="shared" si="8"/>
        <v>0</v>
      </c>
      <c r="H289" s="1050">
        <f t="shared" si="9"/>
        <v>0</v>
      </c>
      <c r="I289" s="1050">
        <f t="shared" si="10"/>
        <v>0</v>
      </c>
      <c r="J289" s="1051">
        <f t="shared" si="11"/>
        <v>0</v>
      </c>
      <c r="K289" s="1043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897"/>
      <c r="W289" s="897"/>
      <c r="X289" s="897"/>
      <c r="Y289" s="897"/>
      <c r="Z289" s="897"/>
    </row>
    <row r="290" ht="15.75" customHeight="1">
      <c r="A290" s="308"/>
      <c r="B290" s="1026">
        <v>266.0</v>
      </c>
      <c r="C290" s="1048">
        <f t="shared" si="12"/>
        <v>53752</v>
      </c>
      <c r="D290" s="1049">
        <f t="shared" si="6"/>
        <v>3</v>
      </c>
      <c r="E290" s="1050">
        <f t="shared" si="7"/>
        <v>2047</v>
      </c>
      <c r="F290" s="1050">
        <f t="shared" si="13"/>
        <v>0</v>
      </c>
      <c r="G290" s="1050">
        <f t="shared" si="8"/>
        <v>0</v>
      </c>
      <c r="H290" s="1050">
        <f t="shared" si="9"/>
        <v>0</v>
      </c>
      <c r="I290" s="1050">
        <f t="shared" si="10"/>
        <v>0</v>
      </c>
      <c r="J290" s="1051">
        <f t="shared" si="11"/>
        <v>0</v>
      </c>
      <c r="K290" s="1043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897"/>
      <c r="W290" s="897"/>
      <c r="X290" s="897"/>
      <c r="Y290" s="897"/>
      <c r="Z290" s="897"/>
    </row>
    <row r="291" ht="15.75" customHeight="1">
      <c r="A291" s="308"/>
      <c r="B291" s="1026">
        <v>267.0</v>
      </c>
      <c r="C291" s="1048">
        <f t="shared" si="12"/>
        <v>53783</v>
      </c>
      <c r="D291" s="1049">
        <f t="shared" si="6"/>
        <v>4</v>
      </c>
      <c r="E291" s="1050">
        <f t="shared" si="7"/>
        <v>2047</v>
      </c>
      <c r="F291" s="1050">
        <f t="shared" si="13"/>
        <v>0</v>
      </c>
      <c r="G291" s="1050">
        <f t="shared" si="8"/>
        <v>0</v>
      </c>
      <c r="H291" s="1050">
        <f t="shared" si="9"/>
        <v>0</v>
      </c>
      <c r="I291" s="1050">
        <f t="shared" si="10"/>
        <v>0</v>
      </c>
      <c r="J291" s="1051">
        <f t="shared" si="11"/>
        <v>0</v>
      </c>
      <c r="K291" s="1043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897"/>
      <c r="W291" s="897"/>
      <c r="X291" s="897"/>
      <c r="Y291" s="897"/>
      <c r="Z291" s="897"/>
    </row>
    <row r="292" ht="15.75" customHeight="1">
      <c r="A292" s="308"/>
      <c r="B292" s="1026">
        <v>268.0</v>
      </c>
      <c r="C292" s="1048">
        <f t="shared" si="12"/>
        <v>53813</v>
      </c>
      <c r="D292" s="1049">
        <f t="shared" si="6"/>
        <v>5</v>
      </c>
      <c r="E292" s="1050">
        <f t="shared" si="7"/>
        <v>2047</v>
      </c>
      <c r="F292" s="1050">
        <f t="shared" si="13"/>
        <v>0</v>
      </c>
      <c r="G292" s="1050">
        <f t="shared" si="8"/>
        <v>0</v>
      </c>
      <c r="H292" s="1050">
        <f t="shared" si="9"/>
        <v>0</v>
      </c>
      <c r="I292" s="1050">
        <f t="shared" si="10"/>
        <v>0</v>
      </c>
      <c r="J292" s="1051">
        <f t="shared" si="11"/>
        <v>0</v>
      </c>
      <c r="K292" s="1043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897"/>
      <c r="W292" s="897"/>
      <c r="X292" s="897"/>
      <c r="Y292" s="897"/>
      <c r="Z292" s="897"/>
    </row>
    <row r="293" ht="15.75" customHeight="1">
      <c r="A293" s="308"/>
      <c r="B293" s="1026">
        <v>269.0</v>
      </c>
      <c r="C293" s="1048">
        <f t="shared" si="12"/>
        <v>53844</v>
      </c>
      <c r="D293" s="1049">
        <f t="shared" si="6"/>
        <v>6</v>
      </c>
      <c r="E293" s="1050">
        <f t="shared" si="7"/>
        <v>2047</v>
      </c>
      <c r="F293" s="1050">
        <f t="shared" si="13"/>
        <v>0</v>
      </c>
      <c r="G293" s="1050">
        <f t="shared" si="8"/>
        <v>0</v>
      </c>
      <c r="H293" s="1050">
        <f t="shared" si="9"/>
        <v>0</v>
      </c>
      <c r="I293" s="1050">
        <f t="shared" si="10"/>
        <v>0</v>
      </c>
      <c r="J293" s="1051">
        <f t="shared" si="11"/>
        <v>0</v>
      </c>
      <c r="K293" s="1043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897"/>
      <c r="W293" s="897"/>
      <c r="X293" s="897"/>
      <c r="Y293" s="897"/>
      <c r="Z293" s="897"/>
    </row>
    <row r="294" ht="15.75" customHeight="1">
      <c r="A294" s="308"/>
      <c r="B294" s="1026">
        <v>270.0</v>
      </c>
      <c r="C294" s="1048">
        <f t="shared" si="12"/>
        <v>53874</v>
      </c>
      <c r="D294" s="1049">
        <f t="shared" si="6"/>
        <v>7</v>
      </c>
      <c r="E294" s="1050">
        <f t="shared" si="7"/>
        <v>2047</v>
      </c>
      <c r="F294" s="1050">
        <f t="shared" si="13"/>
        <v>0</v>
      </c>
      <c r="G294" s="1050">
        <f t="shared" si="8"/>
        <v>0</v>
      </c>
      <c r="H294" s="1050">
        <f t="shared" si="9"/>
        <v>0</v>
      </c>
      <c r="I294" s="1050">
        <f t="shared" si="10"/>
        <v>0</v>
      </c>
      <c r="J294" s="1051">
        <f t="shared" si="11"/>
        <v>0</v>
      </c>
      <c r="K294" s="1043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897"/>
      <c r="W294" s="897"/>
      <c r="X294" s="897"/>
      <c r="Y294" s="897"/>
      <c r="Z294" s="897"/>
    </row>
    <row r="295" ht="15.75" customHeight="1">
      <c r="A295" s="308"/>
      <c r="B295" s="1026">
        <v>271.0</v>
      </c>
      <c r="C295" s="1048">
        <f t="shared" si="12"/>
        <v>53905</v>
      </c>
      <c r="D295" s="1049">
        <f t="shared" si="6"/>
        <v>8</v>
      </c>
      <c r="E295" s="1050">
        <f t="shared" si="7"/>
        <v>2047</v>
      </c>
      <c r="F295" s="1050">
        <f t="shared" si="13"/>
        <v>0</v>
      </c>
      <c r="G295" s="1050">
        <f t="shared" si="8"/>
        <v>0</v>
      </c>
      <c r="H295" s="1050">
        <f t="shared" si="9"/>
        <v>0</v>
      </c>
      <c r="I295" s="1050">
        <f t="shared" si="10"/>
        <v>0</v>
      </c>
      <c r="J295" s="1051">
        <f t="shared" si="11"/>
        <v>0</v>
      </c>
      <c r="K295" s="1043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897"/>
      <c r="W295" s="897"/>
      <c r="X295" s="897"/>
      <c r="Y295" s="897"/>
      <c r="Z295" s="897"/>
    </row>
    <row r="296" ht="15.75" customHeight="1">
      <c r="A296" s="308"/>
      <c r="B296" s="1026">
        <v>272.0</v>
      </c>
      <c r="C296" s="1048">
        <f t="shared" si="12"/>
        <v>53936</v>
      </c>
      <c r="D296" s="1049">
        <f t="shared" si="6"/>
        <v>9</v>
      </c>
      <c r="E296" s="1050">
        <f t="shared" si="7"/>
        <v>2047</v>
      </c>
      <c r="F296" s="1050">
        <f t="shared" si="13"/>
        <v>0</v>
      </c>
      <c r="G296" s="1050">
        <f t="shared" si="8"/>
        <v>0</v>
      </c>
      <c r="H296" s="1050">
        <f t="shared" si="9"/>
        <v>0</v>
      </c>
      <c r="I296" s="1050">
        <f t="shared" si="10"/>
        <v>0</v>
      </c>
      <c r="J296" s="1051">
        <f t="shared" si="11"/>
        <v>0</v>
      </c>
      <c r="K296" s="1043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897"/>
      <c r="W296" s="897"/>
      <c r="X296" s="897"/>
      <c r="Y296" s="897"/>
      <c r="Z296" s="897"/>
    </row>
    <row r="297" ht="15.75" customHeight="1">
      <c r="A297" s="308"/>
      <c r="B297" s="1026">
        <v>273.0</v>
      </c>
      <c r="C297" s="1048">
        <f t="shared" si="12"/>
        <v>53966</v>
      </c>
      <c r="D297" s="1049">
        <f t="shared" si="6"/>
        <v>10</v>
      </c>
      <c r="E297" s="1050">
        <f t="shared" si="7"/>
        <v>2047</v>
      </c>
      <c r="F297" s="1050">
        <f t="shared" si="13"/>
        <v>0</v>
      </c>
      <c r="G297" s="1050">
        <f t="shared" si="8"/>
        <v>0</v>
      </c>
      <c r="H297" s="1050">
        <f t="shared" si="9"/>
        <v>0</v>
      </c>
      <c r="I297" s="1050">
        <f t="shared" si="10"/>
        <v>0</v>
      </c>
      <c r="J297" s="1051">
        <f t="shared" si="11"/>
        <v>0</v>
      </c>
      <c r="K297" s="1043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897"/>
      <c r="W297" s="897"/>
      <c r="X297" s="897"/>
      <c r="Y297" s="897"/>
      <c r="Z297" s="897"/>
    </row>
    <row r="298" ht="15.75" customHeight="1">
      <c r="A298" s="308"/>
      <c r="B298" s="1026">
        <v>274.0</v>
      </c>
      <c r="C298" s="1048">
        <f t="shared" si="12"/>
        <v>53997</v>
      </c>
      <c r="D298" s="1049">
        <f t="shared" si="6"/>
        <v>11</v>
      </c>
      <c r="E298" s="1050">
        <f t="shared" si="7"/>
        <v>2047</v>
      </c>
      <c r="F298" s="1050">
        <f t="shared" si="13"/>
        <v>0</v>
      </c>
      <c r="G298" s="1050">
        <f t="shared" si="8"/>
        <v>0</v>
      </c>
      <c r="H298" s="1050">
        <f t="shared" si="9"/>
        <v>0</v>
      </c>
      <c r="I298" s="1050">
        <f t="shared" si="10"/>
        <v>0</v>
      </c>
      <c r="J298" s="1051">
        <f t="shared" si="11"/>
        <v>0</v>
      </c>
      <c r="K298" s="1043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897"/>
      <c r="W298" s="897"/>
      <c r="X298" s="897"/>
      <c r="Y298" s="897"/>
      <c r="Z298" s="897"/>
    </row>
    <row r="299" ht="15.75" customHeight="1">
      <c r="A299" s="308"/>
      <c r="B299" s="1026">
        <v>275.0</v>
      </c>
      <c r="C299" s="1048">
        <f t="shared" si="12"/>
        <v>54027</v>
      </c>
      <c r="D299" s="1049">
        <f t="shared" si="6"/>
        <v>12</v>
      </c>
      <c r="E299" s="1050">
        <f t="shared" si="7"/>
        <v>2047</v>
      </c>
      <c r="F299" s="1050">
        <f t="shared" si="13"/>
        <v>0</v>
      </c>
      <c r="G299" s="1050">
        <f t="shared" si="8"/>
        <v>0</v>
      </c>
      <c r="H299" s="1050">
        <f t="shared" si="9"/>
        <v>0</v>
      </c>
      <c r="I299" s="1050">
        <f t="shared" si="10"/>
        <v>0</v>
      </c>
      <c r="J299" s="1051">
        <f t="shared" si="11"/>
        <v>0</v>
      </c>
      <c r="K299" s="1043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897"/>
      <c r="W299" s="897"/>
      <c r="X299" s="897"/>
      <c r="Y299" s="897"/>
      <c r="Z299" s="897"/>
    </row>
    <row r="300" ht="15.75" customHeight="1">
      <c r="A300" s="308"/>
      <c r="B300" s="1026">
        <v>276.0</v>
      </c>
      <c r="C300" s="1048">
        <f t="shared" si="12"/>
        <v>54058</v>
      </c>
      <c r="D300" s="1049">
        <f t="shared" si="6"/>
        <v>1</v>
      </c>
      <c r="E300" s="1050">
        <f t="shared" si="7"/>
        <v>2048</v>
      </c>
      <c r="F300" s="1050">
        <f t="shared" si="13"/>
        <v>0</v>
      </c>
      <c r="G300" s="1050">
        <f t="shared" si="8"/>
        <v>0</v>
      </c>
      <c r="H300" s="1050">
        <f t="shared" si="9"/>
        <v>0</v>
      </c>
      <c r="I300" s="1050">
        <f t="shared" si="10"/>
        <v>0</v>
      </c>
      <c r="J300" s="1051">
        <f t="shared" si="11"/>
        <v>0</v>
      </c>
      <c r="K300" s="1043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897"/>
      <c r="W300" s="897"/>
      <c r="X300" s="897"/>
      <c r="Y300" s="897"/>
      <c r="Z300" s="897"/>
    </row>
    <row r="301" ht="15.75" customHeight="1">
      <c r="A301" s="308"/>
      <c r="B301" s="1026">
        <v>277.0</v>
      </c>
      <c r="C301" s="1048">
        <f t="shared" si="12"/>
        <v>54089</v>
      </c>
      <c r="D301" s="1049">
        <f t="shared" si="6"/>
        <v>2</v>
      </c>
      <c r="E301" s="1050">
        <f t="shared" si="7"/>
        <v>2048</v>
      </c>
      <c r="F301" s="1050">
        <f t="shared" si="13"/>
        <v>0</v>
      </c>
      <c r="G301" s="1050">
        <f t="shared" si="8"/>
        <v>0</v>
      </c>
      <c r="H301" s="1050">
        <f t="shared" si="9"/>
        <v>0</v>
      </c>
      <c r="I301" s="1050">
        <f t="shared" si="10"/>
        <v>0</v>
      </c>
      <c r="J301" s="1051">
        <f t="shared" si="11"/>
        <v>0</v>
      </c>
      <c r="K301" s="1043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897"/>
      <c r="W301" s="897"/>
      <c r="X301" s="897"/>
      <c r="Y301" s="897"/>
      <c r="Z301" s="897"/>
    </row>
    <row r="302" ht="15.75" customHeight="1">
      <c r="A302" s="308"/>
      <c r="B302" s="1026">
        <v>278.0</v>
      </c>
      <c r="C302" s="1048">
        <f t="shared" si="12"/>
        <v>54118</v>
      </c>
      <c r="D302" s="1049">
        <f t="shared" si="6"/>
        <v>3</v>
      </c>
      <c r="E302" s="1050">
        <f t="shared" si="7"/>
        <v>2048</v>
      </c>
      <c r="F302" s="1050">
        <f t="shared" si="13"/>
        <v>0</v>
      </c>
      <c r="G302" s="1050">
        <f t="shared" si="8"/>
        <v>0</v>
      </c>
      <c r="H302" s="1050">
        <f t="shared" si="9"/>
        <v>0</v>
      </c>
      <c r="I302" s="1050">
        <f t="shared" si="10"/>
        <v>0</v>
      </c>
      <c r="J302" s="1051">
        <f t="shared" si="11"/>
        <v>0</v>
      </c>
      <c r="K302" s="1043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897"/>
      <c r="W302" s="897"/>
      <c r="X302" s="897"/>
      <c r="Y302" s="897"/>
      <c r="Z302" s="897"/>
    </row>
    <row r="303" ht="15.75" customHeight="1">
      <c r="A303" s="308"/>
      <c r="B303" s="1026">
        <v>279.0</v>
      </c>
      <c r="C303" s="1048">
        <f t="shared" si="12"/>
        <v>54149</v>
      </c>
      <c r="D303" s="1049">
        <f t="shared" si="6"/>
        <v>4</v>
      </c>
      <c r="E303" s="1050">
        <f t="shared" si="7"/>
        <v>2048</v>
      </c>
      <c r="F303" s="1050">
        <f t="shared" si="13"/>
        <v>0</v>
      </c>
      <c r="G303" s="1050">
        <f t="shared" si="8"/>
        <v>0</v>
      </c>
      <c r="H303" s="1050">
        <f t="shared" si="9"/>
        <v>0</v>
      </c>
      <c r="I303" s="1050">
        <f t="shared" si="10"/>
        <v>0</v>
      </c>
      <c r="J303" s="1051">
        <f t="shared" si="11"/>
        <v>0</v>
      </c>
      <c r="K303" s="1043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897"/>
      <c r="W303" s="897"/>
      <c r="X303" s="897"/>
      <c r="Y303" s="897"/>
      <c r="Z303" s="897"/>
    </row>
    <row r="304" ht="15.75" customHeight="1">
      <c r="A304" s="308"/>
      <c r="B304" s="1026">
        <v>280.0</v>
      </c>
      <c r="C304" s="1048">
        <f t="shared" si="12"/>
        <v>54179</v>
      </c>
      <c r="D304" s="1049">
        <f t="shared" si="6"/>
        <v>5</v>
      </c>
      <c r="E304" s="1050">
        <f t="shared" si="7"/>
        <v>2048</v>
      </c>
      <c r="F304" s="1050">
        <f t="shared" si="13"/>
        <v>0</v>
      </c>
      <c r="G304" s="1050">
        <f t="shared" si="8"/>
        <v>0</v>
      </c>
      <c r="H304" s="1050">
        <f t="shared" si="9"/>
        <v>0</v>
      </c>
      <c r="I304" s="1050">
        <f t="shared" si="10"/>
        <v>0</v>
      </c>
      <c r="J304" s="1051">
        <f t="shared" si="11"/>
        <v>0</v>
      </c>
      <c r="K304" s="1043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897"/>
      <c r="W304" s="897"/>
      <c r="X304" s="897"/>
      <c r="Y304" s="897"/>
      <c r="Z304" s="897"/>
    </row>
    <row r="305" ht="15.75" customHeight="1">
      <c r="A305" s="308"/>
      <c r="B305" s="1026">
        <v>281.0</v>
      </c>
      <c r="C305" s="1048">
        <f t="shared" si="12"/>
        <v>54210</v>
      </c>
      <c r="D305" s="1049">
        <f t="shared" si="6"/>
        <v>6</v>
      </c>
      <c r="E305" s="1050">
        <f t="shared" si="7"/>
        <v>2048</v>
      </c>
      <c r="F305" s="1050">
        <f t="shared" si="13"/>
        <v>0</v>
      </c>
      <c r="G305" s="1050">
        <f t="shared" si="8"/>
        <v>0</v>
      </c>
      <c r="H305" s="1050">
        <f t="shared" si="9"/>
        <v>0</v>
      </c>
      <c r="I305" s="1050">
        <f t="shared" si="10"/>
        <v>0</v>
      </c>
      <c r="J305" s="1051">
        <f t="shared" si="11"/>
        <v>0</v>
      </c>
      <c r="K305" s="1043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897"/>
      <c r="W305" s="897"/>
      <c r="X305" s="897"/>
      <c r="Y305" s="897"/>
      <c r="Z305" s="897"/>
    </row>
    <row r="306" ht="15.75" customHeight="1">
      <c r="A306" s="308"/>
      <c r="B306" s="1026">
        <v>282.0</v>
      </c>
      <c r="C306" s="1048">
        <f t="shared" si="12"/>
        <v>54240</v>
      </c>
      <c r="D306" s="1049">
        <f t="shared" si="6"/>
        <v>7</v>
      </c>
      <c r="E306" s="1050">
        <f t="shared" si="7"/>
        <v>2048</v>
      </c>
      <c r="F306" s="1050">
        <f t="shared" si="13"/>
        <v>0</v>
      </c>
      <c r="G306" s="1050">
        <f t="shared" si="8"/>
        <v>0</v>
      </c>
      <c r="H306" s="1050">
        <f t="shared" si="9"/>
        <v>0</v>
      </c>
      <c r="I306" s="1050">
        <f t="shared" si="10"/>
        <v>0</v>
      </c>
      <c r="J306" s="1051">
        <f t="shared" si="11"/>
        <v>0</v>
      </c>
      <c r="K306" s="1043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897"/>
      <c r="W306" s="897"/>
      <c r="X306" s="897"/>
      <c r="Y306" s="897"/>
      <c r="Z306" s="897"/>
    </row>
    <row r="307" ht="15.75" customHeight="1">
      <c r="A307" s="308"/>
      <c r="B307" s="1026">
        <v>283.0</v>
      </c>
      <c r="C307" s="1048">
        <f t="shared" si="12"/>
        <v>54271</v>
      </c>
      <c r="D307" s="1049">
        <f t="shared" si="6"/>
        <v>8</v>
      </c>
      <c r="E307" s="1050">
        <f t="shared" si="7"/>
        <v>2048</v>
      </c>
      <c r="F307" s="1050">
        <f t="shared" si="13"/>
        <v>0</v>
      </c>
      <c r="G307" s="1050">
        <f t="shared" si="8"/>
        <v>0</v>
      </c>
      <c r="H307" s="1050">
        <f t="shared" si="9"/>
        <v>0</v>
      </c>
      <c r="I307" s="1050">
        <f t="shared" si="10"/>
        <v>0</v>
      </c>
      <c r="J307" s="1051">
        <f t="shared" si="11"/>
        <v>0</v>
      </c>
      <c r="K307" s="1043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897"/>
      <c r="W307" s="897"/>
      <c r="X307" s="897"/>
      <c r="Y307" s="897"/>
      <c r="Z307" s="897"/>
    </row>
    <row r="308" ht="15.75" customHeight="1">
      <c r="A308" s="308"/>
      <c r="B308" s="1026">
        <v>284.0</v>
      </c>
      <c r="C308" s="1048">
        <f t="shared" si="12"/>
        <v>54302</v>
      </c>
      <c r="D308" s="1049">
        <f t="shared" si="6"/>
        <v>9</v>
      </c>
      <c r="E308" s="1050">
        <f t="shared" si="7"/>
        <v>2048</v>
      </c>
      <c r="F308" s="1050">
        <f t="shared" si="13"/>
        <v>0</v>
      </c>
      <c r="G308" s="1050">
        <f t="shared" si="8"/>
        <v>0</v>
      </c>
      <c r="H308" s="1050">
        <f t="shared" si="9"/>
        <v>0</v>
      </c>
      <c r="I308" s="1050">
        <f t="shared" si="10"/>
        <v>0</v>
      </c>
      <c r="J308" s="1051">
        <f t="shared" si="11"/>
        <v>0</v>
      </c>
      <c r="K308" s="1043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897"/>
      <c r="W308" s="897"/>
      <c r="X308" s="897"/>
      <c r="Y308" s="897"/>
      <c r="Z308" s="897"/>
    </row>
    <row r="309" ht="15.75" customHeight="1">
      <c r="A309" s="308"/>
      <c r="B309" s="1026">
        <v>285.0</v>
      </c>
      <c r="C309" s="1048">
        <f t="shared" si="12"/>
        <v>54332</v>
      </c>
      <c r="D309" s="1049">
        <f t="shared" si="6"/>
        <v>10</v>
      </c>
      <c r="E309" s="1050">
        <f t="shared" si="7"/>
        <v>2048</v>
      </c>
      <c r="F309" s="1050">
        <f t="shared" si="13"/>
        <v>0</v>
      </c>
      <c r="G309" s="1050">
        <f t="shared" si="8"/>
        <v>0</v>
      </c>
      <c r="H309" s="1050">
        <f t="shared" si="9"/>
        <v>0</v>
      </c>
      <c r="I309" s="1050">
        <f t="shared" si="10"/>
        <v>0</v>
      </c>
      <c r="J309" s="1051">
        <f t="shared" si="11"/>
        <v>0</v>
      </c>
      <c r="K309" s="1043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897"/>
      <c r="W309" s="897"/>
      <c r="X309" s="897"/>
      <c r="Y309" s="897"/>
      <c r="Z309" s="897"/>
    </row>
    <row r="310" ht="15.75" customHeight="1">
      <c r="A310" s="308"/>
      <c r="B310" s="1026">
        <v>286.0</v>
      </c>
      <c r="C310" s="1048">
        <f t="shared" si="12"/>
        <v>54363</v>
      </c>
      <c r="D310" s="1049">
        <f t="shared" si="6"/>
        <v>11</v>
      </c>
      <c r="E310" s="1050">
        <f t="shared" si="7"/>
        <v>2048</v>
      </c>
      <c r="F310" s="1050">
        <f t="shared" si="13"/>
        <v>0</v>
      </c>
      <c r="G310" s="1050">
        <f t="shared" si="8"/>
        <v>0</v>
      </c>
      <c r="H310" s="1050">
        <f t="shared" si="9"/>
        <v>0</v>
      </c>
      <c r="I310" s="1050">
        <f t="shared" si="10"/>
        <v>0</v>
      </c>
      <c r="J310" s="1051">
        <f t="shared" si="11"/>
        <v>0</v>
      </c>
      <c r="K310" s="1043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897"/>
      <c r="W310" s="897"/>
      <c r="X310" s="897"/>
      <c r="Y310" s="897"/>
      <c r="Z310" s="897"/>
    </row>
    <row r="311" ht="15.75" customHeight="1">
      <c r="A311" s="308"/>
      <c r="B311" s="1026">
        <v>287.0</v>
      </c>
      <c r="C311" s="1048">
        <f t="shared" si="12"/>
        <v>54393</v>
      </c>
      <c r="D311" s="1049">
        <f t="shared" si="6"/>
        <v>12</v>
      </c>
      <c r="E311" s="1050">
        <f t="shared" si="7"/>
        <v>2048</v>
      </c>
      <c r="F311" s="1050">
        <f t="shared" si="13"/>
        <v>0</v>
      </c>
      <c r="G311" s="1050">
        <f t="shared" si="8"/>
        <v>0</v>
      </c>
      <c r="H311" s="1050">
        <f t="shared" si="9"/>
        <v>0</v>
      </c>
      <c r="I311" s="1050">
        <f t="shared" si="10"/>
        <v>0</v>
      </c>
      <c r="J311" s="1051">
        <f t="shared" si="11"/>
        <v>0</v>
      </c>
      <c r="K311" s="1043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897"/>
      <c r="W311" s="897"/>
      <c r="X311" s="897"/>
      <c r="Y311" s="897"/>
      <c r="Z311" s="897"/>
    </row>
    <row r="312" ht="15.75" customHeight="1">
      <c r="A312" s="308"/>
      <c r="B312" s="1026">
        <v>288.0</v>
      </c>
      <c r="C312" s="1048">
        <f t="shared" si="12"/>
        <v>54424</v>
      </c>
      <c r="D312" s="1049">
        <f t="shared" si="6"/>
        <v>1</v>
      </c>
      <c r="E312" s="1050">
        <f t="shared" si="7"/>
        <v>2049</v>
      </c>
      <c r="F312" s="1050">
        <f t="shared" si="13"/>
        <v>0</v>
      </c>
      <c r="G312" s="1050">
        <f t="shared" si="8"/>
        <v>0</v>
      </c>
      <c r="H312" s="1050">
        <f t="shared" si="9"/>
        <v>0</v>
      </c>
      <c r="I312" s="1050">
        <f t="shared" si="10"/>
        <v>0</v>
      </c>
      <c r="J312" s="1051">
        <f t="shared" si="11"/>
        <v>0</v>
      </c>
      <c r="K312" s="1043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897"/>
      <c r="W312" s="897"/>
      <c r="X312" s="897"/>
      <c r="Y312" s="897"/>
      <c r="Z312" s="897"/>
    </row>
    <row r="313" ht="15.75" customHeight="1">
      <c r="A313" s="308"/>
      <c r="B313" s="1026">
        <v>289.0</v>
      </c>
      <c r="C313" s="1048">
        <f t="shared" si="12"/>
        <v>54455</v>
      </c>
      <c r="D313" s="1049">
        <f t="shared" si="6"/>
        <v>2</v>
      </c>
      <c r="E313" s="1050">
        <f t="shared" si="7"/>
        <v>2049</v>
      </c>
      <c r="F313" s="1050">
        <f t="shared" si="13"/>
        <v>0</v>
      </c>
      <c r="G313" s="1050">
        <f t="shared" si="8"/>
        <v>0</v>
      </c>
      <c r="H313" s="1050">
        <f t="shared" si="9"/>
        <v>0</v>
      </c>
      <c r="I313" s="1050">
        <f t="shared" si="10"/>
        <v>0</v>
      </c>
      <c r="J313" s="1051">
        <f t="shared" si="11"/>
        <v>0</v>
      </c>
      <c r="K313" s="1043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897"/>
      <c r="W313" s="897"/>
      <c r="X313" s="897"/>
      <c r="Y313" s="897"/>
      <c r="Z313" s="897"/>
    </row>
    <row r="314" ht="15.75" customHeight="1">
      <c r="A314" s="308"/>
      <c r="B314" s="1026">
        <v>290.0</v>
      </c>
      <c r="C314" s="1048">
        <f t="shared" si="12"/>
        <v>54483</v>
      </c>
      <c r="D314" s="1049">
        <f t="shared" si="6"/>
        <v>3</v>
      </c>
      <c r="E314" s="1050">
        <f t="shared" si="7"/>
        <v>2049</v>
      </c>
      <c r="F314" s="1050">
        <f t="shared" si="13"/>
        <v>0</v>
      </c>
      <c r="G314" s="1050">
        <f t="shared" si="8"/>
        <v>0</v>
      </c>
      <c r="H314" s="1050">
        <f t="shared" si="9"/>
        <v>0</v>
      </c>
      <c r="I314" s="1050">
        <f t="shared" si="10"/>
        <v>0</v>
      </c>
      <c r="J314" s="1051">
        <f t="shared" si="11"/>
        <v>0</v>
      </c>
      <c r="K314" s="1043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897"/>
      <c r="W314" s="897"/>
      <c r="X314" s="897"/>
      <c r="Y314" s="897"/>
      <c r="Z314" s="897"/>
    </row>
    <row r="315" ht="15.75" customHeight="1">
      <c r="A315" s="308"/>
      <c r="B315" s="1026">
        <v>291.0</v>
      </c>
      <c r="C315" s="1048">
        <f t="shared" si="12"/>
        <v>54514</v>
      </c>
      <c r="D315" s="1049">
        <f t="shared" si="6"/>
        <v>4</v>
      </c>
      <c r="E315" s="1050">
        <f t="shared" si="7"/>
        <v>2049</v>
      </c>
      <c r="F315" s="1050">
        <f t="shared" si="13"/>
        <v>0</v>
      </c>
      <c r="G315" s="1050">
        <f t="shared" si="8"/>
        <v>0</v>
      </c>
      <c r="H315" s="1050">
        <f t="shared" si="9"/>
        <v>0</v>
      </c>
      <c r="I315" s="1050">
        <f t="shared" si="10"/>
        <v>0</v>
      </c>
      <c r="J315" s="1051">
        <f t="shared" si="11"/>
        <v>0</v>
      </c>
      <c r="K315" s="1043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897"/>
      <c r="W315" s="897"/>
      <c r="X315" s="897"/>
      <c r="Y315" s="897"/>
      <c r="Z315" s="897"/>
    </row>
    <row r="316" ht="15.75" customHeight="1">
      <c r="A316" s="308"/>
      <c r="B316" s="1026">
        <v>292.0</v>
      </c>
      <c r="C316" s="1048">
        <f t="shared" si="12"/>
        <v>54544</v>
      </c>
      <c r="D316" s="1049">
        <f t="shared" si="6"/>
        <v>5</v>
      </c>
      <c r="E316" s="1050">
        <f t="shared" si="7"/>
        <v>2049</v>
      </c>
      <c r="F316" s="1050">
        <f t="shared" si="13"/>
        <v>0</v>
      </c>
      <c r="G316" s="1050">
        <f t="shared" si="8"/>
        <v>0</v>
      </c>
      <c r="H316" s="1050">
        <f t="shared" si="9"/>
        <v>0</v>
      </c>
      <c r="I316" s="1050">
        <f t="shared" si="10"/>
        <v>0</v>
      </c>
      <c r="J316" s="1051">
        <f t="shared" si="11"/>
        <v>0</v>
      </c>
      <c r="K316" s="1043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897"/>
      <c r="W316" s="897"/>
      <c r="X316" s="897"/>
      <c r="Y316" s="897"/>
      <c r="Z316" s="897"/>
    </row>
    <row r="317" ht="15.75" customHeight="1">
      <c r="A317" s="308"/>
      <c r="B317" s="1026">
        <v>293.0</v>
      </c>
      <c r="C317" s="1048">
        <f t="shared" si="12"/>
        <v>54575</v>
      </c>
      <c r="D317" s="1049">
        <f t="shared" si="6"/>
        <v>6</v>
      </c>
      <c r="E317" s="1050">
        <f t="shared" si="7"/>
        <v>2049</v>
      </c>
      <c r="F317" s="1050">
        <f t="shared" si="13"/>
        <v>0</v>
      </c>
      <c r="G317" s="1050">
        <f t="shared" si="8"/>
        <v>0</v>
      </c>
      <c r="H317" s="1050">
        <f t="shared" si="9"/>
        <v>0</v>
      </c>
      <c r="I317" s="1050">
        <f t="shared" si="10"/>
        <v>0</v>
      </c>
      <c r="J317" s="1051">
        <f t="shared" si="11"/>
        <v>0</v>
      </c>
      <c r="K317" s="1043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897"/>
      <c r="W317" s="897"/>
      <c r="X317" s="897"/>
      <c r="Y317" s="897"/>
      <c r="Z317" s="897"/>
    </row>
    <row r="318" ht="15.75" customHeight="1">
      <c r="A318" s="308"/>
      <c r="B318" s="1026">
        <v>294.0</v>
      </c>
      <c r="C318" s="1048">
        <f t="shared" si="12"/>
        <v>54605</v>
      </c>
      <c r="D318" s="1049">
        <f t="shared" si="6"/>
        <v>7</v>
      </c>
      <c r="E318" s="1050">
        <f t="shared" si="7"/>
        <v>2049</v>
      </c>
      <c r="F318" s="1050">
        <f t="shared" si="13"/>
        <v>0</v>
      </c>
      <c r="G318" s="1050">
        <f t="shared" si="8"/>
        <v>0</v>
      </c>
      <c r="H318" s="1050">
        <f t="shared" si="9"/>
        <v>0</v>
      </c>
      <c r="I318" s="1050">
        <f t="shared" si="10"/>
        <v>0</v>
      </c>
      <c r="J318" s="1051">
        <f t="shared" si="11"/>
        <v>0</v>
      </c>
      <c r="K318" s="1043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897"/>
      <c r="W318" s="897"/>
      <c r="X318" s="897"/>
      <c r="Y318" s="897"/>
      <c r="Z318" s="897"/>
    </row>
    <row r="319" ht="15.75" customHeight="1">
      <c r="A319" s="308"/>
      <c r="B319" s="1026">
        <v>295.0</v>
      </c>
      <c r="C319" s="1048">
        <f t="shared" si="12"/>
        <v>54636</v>
      </c>
      <c r="D319" s="1049">
        <f t="shared" si="6"/>
        <v>8</v>
      </c>
      <c r="E319" s="1050">
        <f t="shared" si="7"/>
        <v>2049</v>
      </c>
      <c r="F319" s="1050">
        <f t="shared" si="13"/>
        <v>0</v>
      </c>
      <c r="G319" s="1050">
        <f t="shared" si="8"/>
        <v>0</v>
      </c>
      <c r="H319" s="1050">
        <f t="shared" si="9"/>
        <v>0</v>
      </c>
      <c r="I319" s="1050">
        <f t="shared" si="10"/>
        <v>0</v>
      </c>
      <c r="J319" s="1051">
        <f t="shared" si="11"/>
        <v>0</v>
      </c>
      <c r="K319" s="1043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897"/>
      <c r="W319" s="897"/>
      <c r="X319" s="897"/>
      <c r="Y319" s="897"/>
      <c r="Z319" s="897"/>
    </row>
    <row r="320" ht="15.75" customHeight="1">
      <c r="A320" s="308"/>
      <c r="B320" s="1026">
        <v>296.0</v>
      </c>
      <c r="C320" s="1048">
        <f t="shared" si="12"/>
        <v>54667</v>
      </c>
      <c r="D320" s="1049">
        <f t="shared" si="6"/>
        <v>9</v>
      </c>
      <c r="E320" s="1050">
        <f t="shared" si="7"/>
        <v>2049</v>
      </c>
      <c r="F320" s="1050">
        <f t="shared" si="13"/>
        <v>0</v>
      </c>
      <c r="G320" s="1050">
        <f t="shared" si="8"/>
        <v>0</v>
      </c>
      <c r="H320" s="1050">
        <f t="shared" si="9"/>
        <v>0</v>
      </c>
      <c r="I320" s="1050">
        <f t="shared" si="10"/>
        <v>0</v>
      </c>
      <c r="J320" s="1051">
        <f t="shared" si="11"/>
        <v>0</v>
      </c>
      <c r="K320" s="1043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897"/>
      <c r="W320" s="897"/>
      <c r="X320" s="897"/>
      <c r="Y320" s="897"/>
      <c r="Z320" s="897"/>
    </row>
    <row r="321" ht="15.75" customHeight="1">
      <c r="A321" s="308"/>
      <c r="B321" s="1026">
        <v>297.0</v>
      </c>
      <c r="C321" s="1048">
        <f t="shared" si="12"/>
        <v>54697</v>
      </c>
      <c r="D321" s="1049">
        <f t="shared" si="6"/>
        <v>10</v>
      </c>
      <c r="E321" s="1050">
        <f t="shared" si="7"/>
        <v>2049</v>
      </c>
      <c r="F321" s="1050">
        <f t="shared" si="13"/>
        <v>0</v>
      </c>
      <c r="G321" s="1050">
        <f t="shared" si="8"/>
        <v>0</v>
      </c>
      <c r="H321" s="1050">
        <f t="shared" si="9"/>
        <v>0</v>
      </c>
      <c r="I321" s="1050">
        <f t="shared" si="10"/>
        <v>0</v>
      </c>
      <c r="J321" s="1051">
        <f t="shared" si="11"/>
        <v>0</v>
      </c>
      <c r="K321" s="1043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897"/>
      <c r="W321" s="897"/>
      <c r="X321" s="897"/>
      <c r="Y321" s="897"/>
      <c r="Z321" s="897"/>
    </row>
    <row r="322" ht="15.75" customHeight="1">
      <c r="A322" s="308"/>
      <c r="B322" s="1026">
        <v>298.0</v>
      </c>
      <c r="C322" s="1048">
        <f t="shared" si="12"/>
        <v>54728</v>
      </c>
      <c r="D322" s="1049">
        <f t="shared" si="6"/>
        <v>11</v>
      </c>
      <c r="E322" s="1050">
        <f t="shared" si="7"/>
        <v>2049</v>
      </c>
      <c r="F322" s="1050">
        <f t="shared" si="13"/>
        <v>0</v>
      </c>
      <c r="G322" s="1050">
        <f t="shared" si="8"/>
        <v>0</v>
      </c>
      <c r="H322" s="1050">
        <f t="shared" si="9"/>
        <v>0</v>
      </c>
      <c r="I322" s="1050">
        <f t="shared" si="10"/>
        <v>0</v>
      </c>
      <c r="J322" s="1051">
        <f t="shared" si="11"/>
        <v>0</v>
      </c>
      <c r="K322" s="1043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897"/>
      <c r="W322" s="897"/>
      <c r="X322" s="897"/>
      <c r="Y322" s="897"/>
      <c r="Z322" s="897"/>
    </row>
    <row r="323" ht="15.75" customHeight="1">
      <c r="A323" s="308"/>
      <c r="B323" s="1026">
        <v>299.0</v>
      </c>
      <c r="C323" s="1048">
        <f t="shared" si="12"/>
        <v>54758</v>
      </c>
      <c r="D323" s="1049">
        <f t="shared" si="6"/>
        <v>12</v>
      </c>
      <c r="E323" s="1050">
        <f t="shared" si="7"/>
        <v>2049</v>
      </c>
      <c r="F323" s="1050">
        <f t="shared" si="13"/>
        <v>0</v>
      </c>
      <c r="G323" s="1050">
        <f t="shared" si="8"/>
        <v>0</v>
      </c>
      <c r="H323" s="1050">
        <f t="shared" si="9"/>
        <v>0</v>
      </c>
      <c r="I323" s="1050">
        <f t="shared" si="10"/>
        <v>0</v>
      </c>
      <c r="J323" s="1051">
        <f t="shared" si="11"/>
        <v>0</v>
      </c>
      <c r="K323" s="1043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897"/>
      <c r="W323" s="897"/>
      <c r="X323" s="897"/>
      <c r="Y323" s="897"/>
      <c r="Z323" s="897"/>
    </row>
    <row r="324" ht="15.75" customHeight="1">
      <c r="A324" s="308"/>
      <c r="B324" s="1026">
        <v>300.0</v>
      </c>
      <c r="C324" s="1048">
        <f t="shared" si="12"/>
        <v>54789</v>
      </c>
      <c r="D324" s="1049">
        <f t="shared" si="6"/>
        <v>1</v>
      </c>
      <c r="E324" s="1050">
        <f t="shared" si="7"/>
        <v>2050</v>
      </c>
      <c r="F324" s="1050">
        <f t="shared" si="13"/>
        <v>0</v>
      </c>
      <c r="G324" s="1050">
        <f t="shared" si="8"/>
        <v>0</v>
      </c>
      <c r="H324" s="1050">
        <f t="shared" si="9"/>
        <v>0</v>
      </c>
      <c r="I324" s="1050">
        <f t="shared" si="10"/>
        <v>0</v>
      </c>
      <c r="J324" s="1051">
        <f t="shared" si="11"/>
        <v>0</v>
      </c>
      <c r="K324" s="1043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897"/>
      <c r="W324" s="897"/>
      <c r="X324" s="897"/>
      <c r="Y324" s="897"/>
      <c r="Z324" s="897"/>
    </row>
    <row r="325" ht="15.75" customHeight="1">
      <c r="A325" s="308"/>
      <c r="B325" s="1026">
        <v>301.0</v>
      </c>
      <c r="C325" s="1048">
        <f t="shared" si="12"/>
        <v>54820</v>
      </c>
      <c r="D325" s="1049">
        <f t="shared" si="6"/>
        <v>2</v>
      </c>
      <c r="E325" s="1050">
        <f t="shared" si="7"/>
        <v>2050</v>
      </c>
      <c r="F325" s="1050">
        <f t="shared" si="13"/>
        <v>0</v>
      </c>
      <c r="G325" s="1050">
        <f t="shared" si="8"/>
        <v>0</v>
      </c>
      <c r="H325" s="1050">
        <f t="shared" si="9"/>
        <v>0</v>
      </c>
      <c r="I325" s="1050">
        <f t="shared" si="10"/>
        <v>0</v>
      </c>
      <c r="J325" s="1051">
        <f t="shared" si="11"/>
        <v>0</v>
      </c>
      <c r="K325" s="1043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897"/>
      <c r="W325" s="897"/>
      <c r="X325" s="897"/>
      <c r="Y325" s="897"/>
      <c r="Z325" s="897"/>
    </row>
    <row r="326" ht="15.75" customHeight="1">
      <c r="A326" s="308"/>
      <c r="B326" s="1026">
        <v>302.0</v>
      </c>
      <c r="C326" s="1048">
        <f t="shared" si="12"/>
        <v>54848</v>
      </c>
      <c r="D326" s="1049">
        <f t="shared" si="6"/>
        <v>3</v>
      </c>
      <c r="E326" s="1050">
        <f t="shared" si="7"/>
        <v>2050</v>
      </c>
      <c r="F326" s="1050">
        <f t="shared" si="13"/>
        <v>0</v>
      </c>
      <c r="G326" s="1050">
        <f t="shared" si="8"/>
        <v>0</v>
      </c>
      <c r="H326" s="1050">
        <f t="shared" si="9"/>
        <v>0</v>
      </c>
      <c r="I326" s="1050">
        <f t="shared" si="10"/>
        <v>0</v>
      </c>
      <c r="J326" s="1051">
        <f t="shared" si="11"/>
        <v>0</v>
      </c>
      <c r="K326" s="1043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897"/>
      <c r="W326" s="897"/>
      <c r="X326" s="897"/>
      <c r="Y326" s="897"/>
      <c r="Z326" s="897"/>
    </row>
    <row r="327" ht="15.75" customHeight="1">
      <c r="A327" s="308"/>
      <c r="B327" s="1026">
        <v>303.0</v>
      </c>
      <c r="C327" s="1048">
        <f t="shared" si="12"/>
        <v>54879</v>
      </c>
      <c r="D327" s="1049">
        <f t="shared" si="6"/>
        <v>4</v>
      </c>
      <c r="E327" s="1050">
        <f t="shared" si="7"/>
        <v>2050</v>
      </c>
      <c r="F327" s="1050">
        <f t="shared" si="13"/>
        <v>0</v>
      </c>
      <c r="G327" s="1050">
        <f t="shared" si="8"/>
        <v>0</v>
      </c>
      <c r="H327" s="1050">
        <f t="shared" si="9"/>
        <v>0</v>
      </c>
      <c r="I327" s="1050">
        <f t="shared" si="10"/>
        <v>0</v>
      </c>
      <c r="J327" s="1051">
        <f t="shared" si="11"/>
        <v>0</v>
      </c>
      <c r="K327" s="1043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897"/>
      <c r="W327" s="897"/>
      <c r="X327" s="897"/>
      <c r="Y327" s="897"/>
      <c r="Z327" s="897"/>
    </row>
    <row r="328" ht="15.75" customHeight="1">
      <c r="A328" s="308"/>
      <c r="B328" s="1026">
        <v>304.0</v>
      </c>
      <c r="C328" s="1048">
        <f t="shared" si="12"/>
        <v>54909</v>
      </c>
      <c r="D328" s="1049">
        <f t="shared" si="6"/>
        <v>5</v>
      </c>
      <c r="E328" s="1050">
        <f t="shared" si="7"/>
        <v>2050</v>
      </c>
      <c r="F328" s="1050">
        <f t="shared" si="13"/>
        <v>0</v>
      </c>
      <c r="G328" s="1050">
        <f t="shared" si="8"/>
        <v>0</v>
      </c>
      <c r="H328" s="1050">
        <f t="shared" si="9"/>
        <v>0</v>
      </c>
      <c r="I328" s="1050">
        <f t="shared" si="10"/>
        <v>0</v>
      </c>
      <c r="J328" s="1051">
        <f t="shared" si="11"/>
        <v>0</v>
      </c>
      <c r="K328" s="1043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897"/>
      <c r="W328" s="897"/>
      <c r="X328" s="897"/>
      <c r="Y328" s="897"/>
      <c r="Z328" s="897"/>
    </row>
    <row r="329" ht="15.75" customHeight="1">
      <c r="A329" s="308"/>
      <c r="B329" s="1026">
        <v>305.0</v>
      </c>
      <c r="C329" s="1048">
        <f t="shared" si="12"/>
        <v>54940</v>
      </c>
      <c r="D329" s="1049">
        <f t="shared" si="6"/>
        <v>6</v>
      </c>
      <c r="E329" s="1050">
        <f t="shared" si="7"/>
        <v>2050</v>
      </c>
      <c r="F329" s="1050">
        <f t="shared" si="13"/>
        <v>0</v>
      </c>
      <c r="G329" s="1050">
        <f t="shared" si="8"/>
        <v>0</v>
      </c>
      <c r="H329" s="1050">
        <f t="shared" si="9"/>
        <v>0</v>
      </c>
      <c r="I329" s="1050">
        <f t="shared" si="10"/>
        <v>0</v>
      </c>
      <c r="J329" s="1051">
        <f t="shared" si="11"/>
        <v>0</v>
      </c>
      <c r="K329" s="1043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897"/>
      <c r="W329" s="897"/>
      <c r="X329" s="897"/>
      <c r="Y329" s="897"/>
      <c r="Z329" s="897"/>
    </row>
    <row r="330" ht="15.75" customHeight="1">
      <c r="A330" s="308"/>
      <c r="B330" s="1026">
        <v>306.0</v>
      </c>
      <c r="C330" s="1048">
        <f t="shared" si="12"/>
        <v>54970</v>
      </c>
      <c r="D330" s="1049">
        <f t="shared" si="6"/>
        <v>7</v>
      </c>
      <c r="E330" s="1050">
        <f t="shared" si="7"/>
        <v>2050</v>
      </c>
      <c r="F330" s="1050">
        <f t="shared" si="13"/>
        <v>0</v>
      </c>
      <c r="G330" s="1050">
        <f t="shared" si="8"/>
        <v>0</v>
      </c>
      <c r="H330" s="1050">
        <f t="shared" si="9"/>
        <v>0</v>
      </c>
      <c r="I330" s="1050">
        <f t="shared" si="10"/>
        <v>0</v>
      </c>
      <c r="J330" s="1051">
        <f t="shared" si="11"/>
        <v>0</v>
      </c>
      <c r="K330" s="1043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897"/>
      <c r="W330" s="897"/>
      <c r="X330" s="897"/>
      <c r="Y330" s="897"/>
      <c r="Z330" s="897"/>
    </row>
    <row r="331" ht="15.75" customHeight="1">
      <c r="A331" s="308"/>
      <c r="B331" s="1026">
        <v>307.0</v>
      </c>
      <c r="C331" s="1048">
        <f t="shared" si="12"/>
        <v>55001</v>
      </c>
      <c r="D331" s="1049">
        <f t="shared" si="6"/>
        <v>8</v>
      </c>
      <c r="E331" s="1050">
        <f t="shared" si="7"/>
        <v>2050</v>
      </c>
      <c r="F331" s="1050">
        <f t="shared" si="13"/>
        <v>0</v>
      </c>
      <c r="G331" s="1050">
        <f t="shared" si="8"/>
        <v>0</v>
      </c>
      <c r="H331" s="1050">
        <f t="shared" si="9"/>
        <v>0</v>
      </c>
      <c r="I331" s="1050">
        <f t="shared" si="10"/>
        <v>0</v>
      </c>
      <c r="J331" s="1051">
        <f t="shared" si="11"/>
        <v>0</v>
      </c>
      <c r="K331" s="1043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897"/>
      <c r="W331" s="897"/>
      <c r="X331" s="897"/>
      <c r="Y331" s="897"/>
      <c r="Z331" s="897"/>
    </row>
    <row r="332" ht="15.75" customHeight="1">
      <c r="A332" s="308"/>
      <c r="B332" s="1026">
        <v>308.0</v>
      </c>
      <c r="C332" s="1048">
        <f t="shared" si="12"/>
        <v>55032</v>
      </c>
      <c r="D332" s="1049">
        <f t="shared" si="6"/>
        <v>9</v>
      </c>
      <c r="E332" s="1050">
        <f t="shared" si="7"/>
        <v>2050</v>
      </c>
      <c r="F332" s="1050">
        <f t="shared" si="13"/>
        <v>0</v>
      </c>
      <c r="G332" s="1050">
        <f t="shared" si="8"/>
        <v>0</v>
      </c>
      <c r="H332" s="1050">
        <f t="shared" si="9"/>
        <v>0</v>
      </c>
      <c r="I332" s="1050">
        <f t="shared" si="10"/>
        <v>0</v>
      </c>
      <c r="J332" s="1051">
        <f t="shared" si="11"/>
        <v>0</v>
      </c>
      <c r="K332" s="1043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897"/>
      <c r="W332" s="897"/>
      <c r="X332" s="897"/>
      <c r="Y332" s="897"/>
      <c r="Z332" s="897"/>
    </row>
    <row r="333" ht="15.75" customHeight="1">
      <c r="A333" s="308"/>
      <c r="B333" s="1026">
        <v>309.0</v>
      </c>
      <c r="C333" s="1048">
        <f t="shared" si="12"/>
        <v>55062</v>
      </c>
      <c r="D333" s="1049">
        <f t="shared" si="6"/>
        <v>10</v>
      </c>
      <c r="E333" s="1050">
        <f t="shared" si="7"/>
        <v>2050</v>
      </c>
      <c r="F333" s="1050">
        <f t="shared" si="13"/>
        <v>0</v>
      </c>
      <c r="G333" s="1050">
        <f t="shared" si="8"/>
        <v>0</v>
      </c>
      <c r="H333" s="1050">
        <f t="shared" si="9"/>
        <v>0</v>
      </c>
      <c r="I333" s="1050">
        <f t="shared" si="10"/>
        <v>0</v>
      </c>
      <c r="J333" s="1051">
        <f t="shared" si="11"/>
        <v>0</v>
      </c>
      <c r="K333" s="1043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897"/>
      <c r="W333" s="897"/>
      <c r="X333" s="897"/>
      <c r="Y333" s="897"/>
      <c r="Z333" s="897"/>
    </row>
    <row r="334" ht="15.75" customHeight="1">
      <c r="A334" s="308"/>
      <c r="B334" s="1026">
        <v>310.0</v>
      </c>
      <c r="C334" s="1048">
        <f t="shared" si="12"/>
        <v>55093</v>
      </c>
      <c r="D334" s="1049">
        <f t="shared" si="6"/>
        <v>11</v>
      </c>
      <c r="E334" s="1050">
        <f t="shared" si="7"/>
        <v>2050</v>
      </c>
      <c r="F334" s="1050">
        <f t="shared" si="13"/>
        <v>0</v>
      </c>
      <c r="G334" s="1050">
        <f t="shared" si="8"/>
        <v>0</v>
      </c>
      <c r="H334" s="1050">
        <f t="shared" si="9"/>
        <v>0</v>
      </c>
      <c r="I334" s="1050">
        <f t="shared" si="10"/>
        <v>0</v>
      </c>
      <c r="J334" s="1051">
        <f t="shared" si="11"/>
        <v>0</v>
      </c>
      <c r="K334" s="1043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897"/>
      <c r="W334" s="897"/>
      <c r="X334" s="897"/>
      <c r="Y334" s="897"/>
      <c r="Z334" s="897"/>
    </row>
    <row r="335" ht="15.75" customHeight="1">
      <c r="A335" s="308"/>
      <c r="B335" s="1026">
        <v>311.0</v>
      </c>
      <c r="C335" s="1048">
        <f t="shared" si="12"/>
        <v>55123</v>
      </c>
      <c r="D335" s="1049">
        <f t="shared" si="6"/>
        <v>12</v>
      </c>
      <c r="E335" s="1050">
        <f t="shared" si="7"/>
        <v>2050</v>
      </c>
      <c r="F335" s="1050">
        <f t="shared" si="13"/>
        <v>0</v>
      </c>
      <c r="G335" s="1050">
        <f t="shared" si="8"/>
        <v>0</v>
      </c>
      <c r="H335" s="1050">
        <f t="shared" si="9"/>
        <v>0</v>
      </c>
      <c r="I335" s="1050">
        <f t="shared" si="10"/>
        <v>0</v>
      </c>
      <c r="J335" s="1051">
        <f t="shared" si="11"/>
        <v>0</v>
      </c>
      <c r="K335" s="1043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897"/>
      <c r="W335" s="897"/>
      <c r="X335" s="897"/>
      <c r="Y335" s="897"/>
      <c r="Z335" s="897"/>
    </row>
    <row r="336" ht="15.75" customHeight="1">
      <c r="A336" s="308"/>
      <c r="B336" s="1026">
        <v>312.0</v>
      </c>
      <c r="C336" s="1048">
        <f t="shared" si="12"/>
        <v>55154</v>
      </c>
      <c r="D336" s="1049">
        <f t="shared" si="6"/>
        <v>1</v>
      </c>
      <c r="E336" s="1050">
        <f t="shared" si="7"/>
        <v>2051</v>
      </c>
      <c r="F336" s="1050">
        <f t="shared" si="13"/>
        <v>0</v>
      </c>
      <c r="G336" s="1050">
        <f t="shared" si="8"/>
        <v>0</v>
      </c>
      <c r="H336" s="1050">
        <f t="shared" si="9"/>
        <v>0</v>
      </c>
      <c r="I336" s="1050">
        <f t="shared" si="10"/>
        <v>0</v>
      </c>
      <c r="J336" s="1051">
        <f t="shared" si="11"/>
        <v>0</v>
      </c>
      <c r="K336" s="1043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897"/>
      <c r="W336" s="897"/>
      <c r="X336" s="897"/>
      <c r="Y336" s="897"/>
      <c r="Z336" s="897"/>
    </row>
    <row r="337" ht="15.75" customHeight="1">
      <c r="A337" s="308"/>
      <c r="B337" s="1026">
        <v>313.0</v>
      </c>
      <c r="C337" s="1048">
        <f t="shared" si="12"/>
        <v>55185</v>
      </c>
      <c r="D337" s="1049">
        <f t="shared" si="6"/>
        <v>2</v>
      </c>
      <c r="E337" s="1050">
        <f t="shared" si="7"/>
        <v>2051</v>
      </c>
      <c r="F337" s="1050">
        <f t="shared" si="13"/>
        <v>0</v>
      </c>
      <c r="G337" s="1050">
        <f t="shared" si="8"/>
        <v>0</v>
      </c>
      <c r="H337" s="1050">
        <f t="shared" si="9"/>
        <v>0</v>
      </c>
      <c r="I337" s="1050">
        <f t="shared" si="10"/>
        <v>0</v>
      </c>
      <c r="J337" s="1051">
        <f t="shared" si="11"/>
        <v>0</v>
      </c>
      <c r="K337" s="1043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897"/>
      <c r="W337" s="897"/>
      <c r="X337" s="897"/>
      <c r="Y337" s="897"/>
      <c r="Z337" s="897"/>
    </row>
    <row r="338" ht="15.75" customHeight="1">
      <c r="A338" s="308"/>
      <c r="B338" s="1026">
        <v>314.0</v>
      </c>
      <c r="C338" s="1048">
        <f t="shared" si="12"/>
        <v>55213</v>
      </c>
      <c r="D338" s="1049">
        <f t="shared" si="6"/>
        <v>3</v>
      </c>
      <c r="E338" s="1050">
        <f t="shared" si="7"/>
        <v>2051</v>
      </c>
      <c r="F338" s="1050">
        <f t="shared" si="13"/>
        <v>0</v>
      </c>
      <c r="G338" s="1050">
        <f t="shared" si="8"/>
        <v>0</v>
      </c>
      <c r="H338" s="1050">
        <f t="shared" si="9"/>
        <v>0</v>
      </c>
      <c r="I338" s="1050">
        <f t="shared" si="10"/>
        <v>0</v>
      </c>
      <c r="J338" s="1051">
        <f t="shared" si="11"/>
        <v>0</v>
      </c>
      <c r="K338" s="1043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897"/>
      <c r="W338" s="897"/>
      <c r="X338" s="897"/>
      <c r="Y338" s="897"/>
      <c r="Z338" s="897"/>
    </row>
    <row r="339" ht="15.75" customHeight="1">
      <c r="A339" s="308"/>
      <c r="B339" s="1026">
        <v>315.0</v>
      </c>
      <c r="C339" s="1048">
        <f t="shared" si="12"/>
        <v>55244</v>
      </c>
      <c r="D339" s="1049">
        <f t="shared" si="6"/>
        <v>4</v>
      </c>
      <c r="E339" s="1050">
        <f t="shared" si="7"/>
        <v>2051</v>
      </c>
      <c r="F339" s="1050">
        <f t="shared" si="13"/>
        <v>0</v>
      </c>
      <c r="G339" s="1050">
        <f t="shared" si="8"/>
        <v>0</v>
      </c>
      <c r="H339" s="1050">
        <f t="shared" si="9"/>
        <v>0</v>
      </c>
      <c r="I339" s="1050">
        <f t="shared" si="10"/>
        <v>0</v>
      </c>
      <c r="J339" s="1051">
        <f t="shared" si="11"/>
        <v>0</v>
      </c>
      <c r="K339" s="1043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897"/>
      <c r="W339" s="897"/>
      <c r="X339" s="897"/>
      <c r="Y339" s="897"/>
      <c r="Z339" s="897"/>
    </row>
    <row r="340" ht="15.75" customHeight="1">
      <c r="A340" s="308"/>
      <c r="B340" s="1026">
        <v>316.0</v>
      </c>
      <c r="C340" s="1048">
        <f t="shared" si="12"/>
        <v>55274</v>
      </c>
      <c r="D340" s="1049">
        <f t="shared" si="6"/>
        <v>5</v>
      </c>
      <c r="E340" s="1050">
        <f t="shared" si="7"/>
        <v>2051</v>
      </c>
      <c r="F340" s="1050">
        <f t="shared" si="13"/>
        <v>0</v>
      </c>
      <c r="G340" s="1050">
        <f t="shared" si="8"/>
        <v>0</v>
      </c>
      <c r="H340" s="1050">
        <f t="shared" si="9"/>
        <v>0</v>
      </c>
      <c r="I340" s="1050">
        <f t="shared" si="10"/>
        <v>0</v>
      </c>
      <c r="J340" s="1051">
        <f t="shared" si="11"/>
        <v>0</v>
      </c>
      <c r="K340" s="1043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897"/>
      <c r="W340" s="897"/>
      <c r="X340" s="897"/>
      <c r="Y340" s="897"/>
      <c r="Z340" s="897"/>
    </row>
    <row r="341" ht="15.75" customHeight="1">
      <c r="A341" s="308"/>
      <c r="B341" s="1026">
        <v>317.0</v>
      </c>
      <c r="C341" s="1048">
        <f t="shared" si="12"/>
        <v>55305</v>
      </c>
      <c r="D341" s="1049">
        <f t="shared" si="6"/>
        <v>6</v>
      </c>
      <c r="E341" s="1050">
        <f t="shared" si="7"/>
        <v>2051</v>
      </c>
      <c r="F341" s="1050">
        <f t="shared" si="13"/>
        <v>0</v>
      </c>
      <c r="G341" s="1050">
        <f t="shared" si="8"/>
        <v>0</v>
      </c>
      <c r="H341" s="1050">
        <f t="shared" si="9"/>
        <v>0</v>
      </c>
      <c r="I341" s="1050">
        <f t="shared" si="10"/>
        <v>0</v>
      </c>
      <c r="J341" s="1051">
        <f t="shared" si="11"/>
        <v>0</v>
      </c>
      <c r="K341" s="1043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897"/>
      <c r="W341" s="897"/>
      <c r="X341" s="897"/>
      <c r="Y341" s="897"/>
      <c r="Z341" s="897"/>
    </row>
    <row r="342" ht="15.75" customHeight="1">
      <c r="A342" s="308"/>
      <c r="B342" s="1026">
        <v>318.0</v>
      </c>
      <c r="C342" s="1048">
        <f t="shared" si="12"/>
        <v>55335</v>
      </c>
      <c r="D342" s="1049">
        <f t="shared" si="6"/>
        <v>7</v>
      </c>
      <c r="E342" s="1050">
        <f t="shared" si="7"/>
        <v>2051</v>
      </c>
      <c r="F342" s="1050">
        <f t="shared" si="13"/>
        <v>0</v>
      </c>
      <c r="G342" s="1050">
        <f t="shared" si="8"/>
        <v>0</v>
      </c>
      <c r="H342" s="1050">
        <f t="shared" si="9"/>
        <v>0</v>
      </c>
      <c r="I342" s="1050">
        <f t="shared" si="10"/>
        <v>0</v>
      </c>
      <c r="J342" s="1051">
        <f t="shared" si="11"/>
        <v>0</v>
      </c>
      <c r="K342" s="1043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897"/>
      <c r="W342" s="897"/>
      <c r="X342" s="897"/>
      <c r="Y342" s="897"/>
      <c r="Z342" s="897"/>
    </row>
    <row r="343" ht="15.75" customHeight="1">
      <c r="A343" s="308"/>
      <c r="B343" s="1026">
        <v>319.0</v>
      </c>
      <c r="C343" s="1048">
        <f t="shared" si="12"/>
        <v>55366</v>
      </c>
      <c r="D343" s="1049">
        <f t="shared" si="6"/>
        <v>8</v>
      </c>
      <c r="E343" s="1050">
        <f t="shared" si="7"/>
        <v>2051</v>
      </c>
      <c r="F343" s="1050">
        <f t="shared" si="13"/>
        <v>0</v>
      </c>
      <c r="G343" s="1050">
        <f t="shared" si="8"/>
        <v>0</v>
      </c>
      <c r="H343" s="1050">
        <f t="shared" si="9"/>
        <v>0</v>
      </c>
      <c r="I343" s="1050">
        <f t="shared" si="10"/>
        <v>0</v>
      </c>
      <c r="J343" s="1051">
        <f t="shared" si="11"/>
        <v>0</v>
      </c>
      <c r="K343" s="1043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897"/>
      <c r="W343" s="897"/>
      <c r="X343" s="897"/>
      <c r="Y343" s="897"/>
      <c r="Z343" s="897"/>
    </row>
    <row r="344" ht="15.75" customHeight="1">
      <c r="A344" s="308"/>
      <c r="B344" s="1026">
        <v>320.0</v>
      </c>
      <c r="C344" s="1048">
        <f t="shared" si="12"/>
        <v>55397</v>
      </c>
      <c r="D344" s="1049">
        <f t="shared" si="6"/>
        <v>9</v>
      </c>
      <c r="E344" s="1050">
        <f t="shared" si="7"/>
        <v>2051</v>
      </c>
      <c r="F344" s="1050">
        <f t="shared" si="13"/>
        <v>0</v>
      </c>
      <c r="G344" s="1050">
        <f t="shared" si="8"/>
        <v>0</v>
      </c>
      <c r="H344" s="1050">
        <f t="shared" si="9"/>
        <v>0</v>
      </c>
      <c r="I344" s="1050">
        <f t="shared" si="10"/>
        <v>0</v>
      </c>
      <c r="J344" s="1051">
        <f t="shared" si="11"/>
        <v>0</v>
      </c>
      <c r="K344" s="1043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897"/>
      <c r="W344" s="897"/>
      <c r="X344" s="897"/>
      <c r="Y344" s="897"/>
      <c r="Z344" s="897"/>
    </row>
    <row r="345" ht="15.75" customHeight="1">
      <c r="A345" s="308"/>
      <c r="B345" s="1026">
        <v>321.0</v>
      </c>
      <c r="C345" s="1048">
        <f t="shared" si="12"/>
        <v>55427</v>
      </c>
      <c r="D345" s="1049">
        <f t="shared" si="6"/>
        <v>10</v>
      </c>
      <c r="E345" s="1050">
        <f t="shared" si="7"/>
        <v>2051</v>
      </c>
      <c r="F345" s="1050">
        <f t="shared" si="13"/>
        <v>0</v>
      </c>
      <c r="G345" s="1050">
        <f t="shared" si="8"/>
        <v>0</v>
      </c>
      <c r="H345" s="1050">
        <f t="shared" si="9"/>
        <v>0</v>
      </c>
      <c r="I345" s="1050">
        <f t="shared" si="10"/>
        <v>0</v>
      </c>
      <c r="J345" s="1051">
        <f t="shared" si="11"/>
        <v>0</v>
      </c>
      <c r="K345" s="1043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897"/>
      <c r="W345" s="897"/>
      <c r="X345" s="897"/>
      <c r="Y345" s="897"/>
      <c r="Z345" s="897"/>
    </row>
    <row r="346" ht="15.75" customHeight="1">
      <c r="A346" s="308"/>
      <c r="B346" s="1026">
        <v>322.0</v>
      </c>
      <c r="C346" s="1048">
        <f t="shared" si="12"/>
        <v>55458</v>
      </c>
      <c r="D346" s="1049">
        <f t="shared" si="6"/>
        <v>11</v>
      </c>
      <c r="E346" s="1050">
        <f t="shared" si="7"/>
        <v>2051</v>
      </c>
      <c r="F346" s="1050">
        <f t="shared" si="13"/>
        <v>0</v>
      </c>
      <c r="G346" s="1050">
        <f t="shared" si="8"/>
        <v>0</v>
      </c>
      <c r="H346" s="1050">
        <f t="shared" si="9"/>
        <v>0</v>
      </c>
      <c r="I346" s="1050">
        <f t="shared" si="10"/>
        <v>0</v>
      </c>
      <c r="J346" s="1051">
        <f t="shared" si="11"/>
        <v>0</v>
      </c>
      <c r="K346" s="1043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897"/>
      <c r="W346" s="897"/>
      <c r="X346" s="897"/>
      <c r="Y346" s="897"/>
      <c r="Z346" s="897"/>
    </row>
    <row r="347" ht="15.75" customHeight="1">
      <c r="A347" s="308"/>
      <c r="B347" s="1026">
        <v>323.0</v>
      </c>
      <c r="C347" s="1048">
        <f t="shared" si="12"/>
        <v>55488</v>
      </c>
      <c r="D347" s="1049">
        <f t="shared" si="6"/>
        <v>12</v>
      </c>
      <c r="E347" s="1050">
        <f t="shared" si="7"/>
        <v>2051</v>
      </c>
      <c r="F347" s="1050">
        <f t="shared" si="13"/>
        <v>0</v>
      </c>
      <c r="G347" s="1050">
        <f t="shared" si="8"/>
        <v>0</v>
      </c>
      <c r="H347" s="1050">
        <f t="shared" si="9"/>
        <v>0</v>
      </c>
      <c r="I347" s="1050">
        <f t="shared" si="10"/>
        <v>0</v>
      </c>
      <c r="J347" s="1051">
        <f t="shared" si="11"/>
        <v>0</v>
      </c>
      <c r="K347" s="1043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897"/>
      <c r="W347" s="897"/>
      <c r="X347" s="897"/>
      <c r="Y347" s="897"/>
      <c r="Z347" s="897"/>
    </row>
    <row r="348" ht="15.75" customHeight="1">
      <c r="A348" s="308"/>
      <c r="B348" s="1026">
        <v>324.0</v>
      </c>
      <c r="C348" s="1048">
        <f t="shared" si="12"/>
        <v>55519</v>
      </c>
      <c r="D348" s="1049">
        <f t="shared" si="6"/>
        <v>1</v>
      </c>
      <c r="E348" s="1050">
        <f t="shared" si="7"/>
        <v>2052</v>
      </c>
      <c r="F348" s="1050">
        <f t="shared" si="13"/>
        <v>0</v>
      </c>
      <c r="G348" s="1050">
        <f t="shared" si="8"/>
        <v>0</v>
      </c>
      <c r="H348" s="1050">
        <f t="shared" si="9"/>
        <v>0</v>
      </c>
      <c r="I348" s="1050">
        <f t="shared" si="10"/>
        <v>0</v>
      </c>
      <c r="J348" s="1051">
        <f t="shared" si="11"/>
        <v>0</v>
      </c>
      <c r="K348" s="1043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897"/>
      <c r="W348" s="897"/>
      <c r="X348" s="897"/>
      <c r="Y348" s="897"/>
      <c r="Z348" s="897"/>
    </row>
    <row r="349" ht="15.75" customHeight="1">
      <c r="A349" s="308"/>
      <c r="B349" s="1026">
        <v>325.0</v>
      </c>
      <c r="C349" s="1048">
        <f t="shared" si="12"/>
        <v>55550</v>
      </c>
      <c r="D349" s="1049">
        <f t="shared" si="6"/>
        <v>2</v>
      </c>
      <c r="E349" s="1050">
        <f t="shared" si="7"/>
        <v>2052</v>
      </c>
      <c r="F349" s="1050">
        <f t="shared" si="13"/>
        <v>0</v>
      </c>
      <c r="G349" s="1050">
        <f t="shared" si="8"/>
        <v>0</v>
      </c>
      <c r="H349" s="1050">
        <f t="shared" si="9"/>
        <v>0</v>
      </c>
      <c r="I349" s="1050">
        <f t="shared" si="10"/>
        <v>0</v>
      </c>
      <c r="J349" s="1051">
        <f t="shared" si="11"/>
        <v>0</v>
      </c>
      <c r="K349" s="1043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897"/>
      <c r="W349" s="897"/>
      <c r="X349" s="897"/>
      <c r="Y349" s="897"/>
      <c r="Z349" s="897"/>
    </row>
    <row r="350" ht="15.75" customHeight="1">
      <c r="A350" s="308"/>
      <c r="B350" s="1026">
        <v>326.0</v>
      </c>
      <c r="C350" s="1048">
        <f t="shared" si="12"/>
        <v>55579</v>
      </c>
      <c r="D350" s="1049">
        <f t="shared" si="6"/>
        <v>3</v>
      </c>
      <c r="E350" s="1050">
        <f t="shared" si="7"/>
        <v>2052</v>
      </c>
      <c r="F350" s="1050">
        <f t="shared" si="13"/>
        <v>0</v>
      </c>
      <c r="G350" s="1050">
        <f t="shared" si="8"/>
        <v>0</v>
      </c>
      <c r="H350" s="1050">
        <f t="shared" si="9"/>
        <v>0</v>
      </c>
      <c r="I350" s="1050">
        <f t="shared" si="10"/>
        <v>0</v>
      </c>
      <c r="J350" s="1051">
        <f t="shared" si="11"/>
        <v>0</v>
      </c>
      <c r="K350" s="1043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897"/>
      <c r="W350" s="897"/>
      <c r="X350" s="897"/>
      <c r="Y350" s="897"/>
      <c r="Z350" s="897"/>
    </row>
    <row r="351" ht="15.75" customHeight="1">
      <c r="A351" s="308"/>
      <c r="B351" s="1026">
        <v>327.0</v>
      </c>
      <c r="C351" s="1048">
        <f t="shared" si="12"/>
        <v>55610</v>
      </c>
      <c r="D351" s="1049">
        <f t="shared" si="6"/>
        <v>4</v>
      </c>
      <c r="E351" s="1050">
        <f t="shared" si="7"/>
        <v>2052</v>
      </c>
      <c r="F351" s="1050">
        <f t="shared" si="13"/>
        <v>0</v>
      </c>
      <c r="G351" s="1050">
        <f t="shared" si="8"/>
        <v>0</v>
      </c>
      <c r="H351" s="1050">
        <f t="shared" si="9"/>
        <v>0</v>
      </c>
      <c r="I351" s="1050">
        <f t="shared" si="10"/>
        <v>0</v>
      </c>
      <c r="J351" s="1051">
        <f t="shared" si="11"/>
        <v>0</v>
      </c>
      <c r="K351" s="1043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897"/>
      <c r="W351" s="897"/>
      <c r="X351" s="897"/>
      <c r="Y351" s="897"/>
      <c r="Z351" s="897"/>
    </row>
    <row r="352" ht="15.75" customHeight="1">
      <c r="A352" s="308"/>
      <c r="B352" s="1026">
        <v>328.0</v>
      </c>
      <c r="C352" s="1048">
        <f t="shared" si="12"/>
        <v>55640</v>
      </c>
      <c r="D352" s="1049">
        <f t="shared" si="6"/>
        <v>5</v>
      </c>
      <c r="E352" s="1050">
        <f t="shared" si="7"/>
        <v>2052</v>
      </c>
      <c r="F352" s="1050">
        <f t="shared" si="13"/>
        <v>0</v>
      </c>
      <c r="G352" s="1050">
        <f t="shared" si="8"/>
        <v>0</v>
      </c>
      <c r="H352" s="1050">
        <f t="shared" si="9"/>
        <v>0</v>
      </c>
      <c r="I352" s="1050">
        <f t="shared" si="10"/>
        <v>0</v>
      </c>
      <c r="J352" s="1051">
        <f t="shared" si="11"/>
        <v>0</v>
      </c>
      <c r="K352" s="1043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897"/>
      <c r="W352" s="897"/>
      <c r="X352" s="897"/>
      <c r="Y352" s="897"/>
      <c r="Z352" s="897"/>
    </row>
    <row r="353" ht="15.75" customHeight="1">
      <c r="A353" s="308"/>
      <c r="B353" s="1026">
        <v>329.0</v>
      </c>
      <c r="C353" s="1048">
        <f t="shared" si="12"/>
        <v>55671</v>
      </c>
      <c r="D353" s="1049">
        <f t="shared" si="6"/>
        <v>6</v>
      </c>
      <c r="E353" s="1050">
        <f t="shared" si="7"/>
        <v>2052</v>
      </c>
      <c r="F353" s="1050">
        <f t="shared" si="13"/>
        <v>0</v>
      </c>
      <c r="G353" s="1050">
        <f t="shared" si="8"/>
        <v>0</v>
      </c>
      <c r="H353" s="1050">
        <f t="shared" si="9"/>
        <v>0</v>
      </c>
      <c r="I353" s="1050">
        <f t="shared" si="10"/>
        <v>0</v>
      </c>
      <c r="J353" s="1051">
        <f t="shared" si="11"/>
        <v>0</v>
      </c>
      <c r="K353" s="1043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897"/>
      <c r="W353" s="897"/>
      <c r="X353" s="897"/>
      <c r="Y353" s="897"/>
      <c r="Z353" s="897"/>
    </row>
    <row r="354" ht="15.75" customHeight="1">
      <c r="A354" s="308"/>
      <c r="B354" s="1026">
        <v>330.0</v>
      </c>
      <c r="C354" s="1048">
        <f t="shared" si="12"/>
        <v>55701</v>
      </c>
      <c r="D354" s="1049">
        <f t="shared" si="6"/>
        <v>7</v>
      </c>
      <c r="E354" s="1050">
        <f t="shared" si="7"/>
        <v>2052</v>
      </c>
      <c r="F354" s="1050">
        <f t="shared" si="13"/>
        <v>0</v>
      </c>
      <c r="G354" s="1050">
        <f t="shared" si="8"/>
        <v>0</v>
      </c>
      <c r="H354" s="1050">
        <f t="shared" si="9"/>
        <v>0</v>
      </c>
      <c r="I354" s="1050">
        <f t="shared" si="10"/>
        <v>0</v>
      </c>
      <c r="J354" s="1051">
        <f t="shared" si="11"/>
        <v>0</v>
      </c>
      <c r="K354" s="1043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897"/>
      <c r="W354" s="897"/>
      <c r="X354" s="897"/>
      <c r="Y354" s="897"/>
      <c r="Z354" s="897"/>
    </row>
    <row r="355" ht="15.75" customHeight="1">
      <c r="A355" s="308"/>
      <c r="B355" s="1026">
        <v>331.0</v>
      </c>
      <c r="C355" s="1048">
        <f t="shared" si="12"/>
        <v>55732</v>
      </c>
      <c r="D355" s="1049">
        <f t="shared" si="6"/>
        <v>8</v>
      </c>
      <c r="E355" s="1050">
        <f t="shared" si="7"/>
        <v>2052</v>
      </c>
      <c r="F355" s="1050">
        <f t="shared" si="13"/>
        <v>0</v>
      </c>
      <c r="G355" s="1050">
        <f t="shared" si="8"/>
        <v>0</v>
      </c>
      <c r="H355" s="1050">
        <f t="shared" si="9"/>
        <v>0</v>
      </c>
      <c r="I355" s="1050">
        <f t="shared" si="10"/>
        <v>0</v>
      </c>
      <c r="J355" s="1051">
        <f t="shared" si="11"/>
        <v>0</v>
      </c>
      <c r="K355" s="1043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897"/>
      <c r="W355" s="897"/>
      <c r="X355" s="897"/>
      <c r="Y355" s="897"/>
      <c r="Z355" s="897"/>
    </row>
    <row r="356" ht="15.75" customHeight="1">
      <c r="A356" s="308"/>
      <c r="B356" s="1026">
        <v>332.0</v>
      </c>
      <c r="C356" s="1048">
        <f t="shared" si="12"/>
        <v>55763</v>
      </c>
      <c r="D356" s="1049">
        <f t="shared" si="6"/>
        <v>9</v>
      </c>
      <c r="E356" s="1050">
        <f t="shared" si="7"/>
        <v>2052</v>
      </c>
      <c r="F356" s="1050">
        <f t="shared" si="13"/>
        <v>0</v>
      </c>
      <c r="G356" s="1050">
        <f t="shared" si="8"/>
        <v>0</v>
      </c>
      <c r="H356" s="1050">
        <f t="shared" si="9"/>
        <v>0</v>
      </c>
      <c r="I356" s="1050">
        <f t="shared" si="10"/>
        <v>0</v>
      </c>
      <c r="J356" s="1051">
        <f t="shared" si="11"/>
        <v>0</v>
      </c>
      <c r="K356" s="1043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897"/>
      <c r="W356" s="897"/>
      <c r="X356" s="897"/>
      <c r="Y356" s="897"/>
      <c r="Z356" s="897"/>
    </row>
    <row r="357" ht="15.75" customHeight="1">
      <c r="A357" s="308"/>
      <c r="B357" s="1026">
        <v>333.0</v>
      </c>
      <c r="C357" s="1048">
        <f t="shared" si="12"/>
        <v>55793</v>
      </c>
      <c r="D357" s="1049">
        <f t="shared" si="6"/>
        <v>10</v>
      </c>
      <c r="E357" s="1050">
        <f t="shared" si="7"/>
        <v>2052</v>
      </c>
      <c r="F357" s="1050">
        <f t="shared" si="13"/>
        <v>0</v>
      </c>
      <c r="G357" s="1050">
        <f t="shared" si="8"/>
        <v>0</v>
      </c>
      <c r="H357" s="1050">
        <f t="shared" si="9"/>
        <v>0</v>
      </c>
      <c r="I357" s="1050">
        <f t="shared" si="10"/>
        <v>0</v>
      </c>
      <c r="J357" s="1051">
        <f t="shared" si="11"/>
        <v>0</v>
      </c>
      <c r="K357" s="1043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897"/>
      <c r="W357" s="897"/>
      <c r="X357" s="897"/>
      <c r="Y357" s="897"/>
      <c r="Z357" s="897"/>
    </row>
    <row r="358" ht="15.75" customHeight="1">
      <c r="A358" s="308"/>
      <c r="B358" s="1026">
        <v>334.0</v>
      </c>
      <c r="C358" s="1048">
        <f t="shared" si="12"/>
        <v>55824</v>
      </c>
      <c r="D358" s="1049">
        <f t="shared" si="6"/>
        <v>11</v>
      </c>
      <c r="E358" s="1050">
        <f t="shared" si="7"/>
        <v>2052</v>
      </c>
      <c r="F358" s="1050">
        <f t="shared" si="13"/>
        <v>0</v>
      </c>
      <c r="G358" s="1050">
        <f t="shared" si="8"/>
        <v>0</v>
      </c>
      <c r="H358" s="1050">
        <f t="shared" si="9"/>
        <v>0</v>
      </c>
      <c r="I358" s="1050">
        <f t="shared" si="10"/>
        <v>0</v>
      </c>
      <c r="J358" s="1051">
        <f t="shared" si="11"/>
        <v>0</v>
      </c>
      <c r="K358" s="1043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897"/>
      <c r="W358" s="897"/>
      <c r="X358" s="897"/>
      <c r="Y358" s="897"/>
      <c r="Z358" s="897"/>
    </row>
    <row r="359" ht="15.75" customHeight="1">
      <c r="A359" s="308"/>
      <c r="B359" s="1026">
        <v>335.0</v>
      </c>
      <c r="C359" s="1048">
        <f t="shared" si="12"/>
        <v>55854</v>
      </c>
      <c r="D359" s="1049">
        <f t="shared" si="6"/>
        <v>12</v>
      </c>
      <c r="E359" s="1050">
        <f t="shared" si="7"/>
        <v>2052</v>
      </c>
      <c r="F359" s="1050">
        <f t="shared" si="13"/>
        <v>0</v>
      </c>
      <c r="G359" s="1050">
        <f t="shared" si="8"/>
        <v>0</v>
      </c>
      <c r="H359" s="1050">
        <f t="shared" si="9"/>
        <v>0</v>
      </c>
      <c r="I359" s="1050">
        <f t="shared" si="10"/>
        <v>0</v>
      </c>
      <c r="J359" s="1051">
        <f t="shared" si="11"/>
        <v>0</v>
      </c>
      <c r="K359" s="1043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897"/>
      <c r="W359" s="897"/>
      <c r="X359" s="897"/>
      <c r="Y359" s="897"/>
      <c r="Z359" s="897"/>
    </row>
    <row r="360" ht="15.75" customHeight="1">
      <c r="A360" s="308"/>
      <c r="B360" s="1026">
        <v>336.0</v>
      </c>
      <c r="C360" s="1048">
        <f t="shared" si="12"/>
        <v>55885</v>
      </c>
      <c r="D360" s="1049">
        <f t="shared" si="6"/>
        <v>1</v>
      </c>
      <c r="E360" s="1050">
        <f t="shared" si="7"/>
        <v>2053</v>
      </c>
      <c r="F360" s="1050">
        <f t="shared" si="13"/>
        <v>0</v>
      </c>
      <c r="G360" s="1050">
        <f t="shared" si="8"/>
        <v>0</v>
      </c>
      <c r="H360" s="1050">
        <f t="shared" si="9"/>
        <v>0</v>
      </c>
      <c r="I360" s="1050">
        <f t="shared" si="10"/>
        <v>0</v>
      </c>
      <c r="J360" s="1051">
        <f t="shared" si="11"/>
        <v>0</v>
      </c>
      <c r="K360" s="1043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897"/>
      <c r="W360" s="897"/>
      <c r="X360" s="897"/>
      <c r="Y360" s="897"/>
      <c r="Z360" s="897"/>
    </row>
    <row r="361" ht="15.75" customHeight="1">
      <c r="A361" s="308"/>
      <c r="B361" s="1026">
        <v>337.0</v>
      </c>
      <c r="C361" s="1048">
        <f t="shared" si="12"/>
        <v>55916</v>
      </c>
      <c r="D361" s="1049">
        <f t="shared" si="6"/>
        <v>2</v>
      </c>
      <c r="E361" s="1050">
        <f t="shared" si="7"/>
        <v>2053</v>
      </c>
      <c r="F361" s="1050">
        <f t="shared" si="13"/>
        <v>0</v>
      </c>
      <c r="G361" s="1050">
        <f t="shared" si="8"/>
        <v>0</v>
      </c>
      <c r="H361" s="1050">
        <f t="shared" si="9"/>
        <v>0</v>
      </c>
      <c r="I361" s="1050">
        <f t="shared" si="10"/>
        <v>0</v>
      </c>
      <c r="J361" s="1051">
        <f t="shared" si="11"/>
        <v>0</v>
      </c>
      <c r="K361" s="1043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897"/>
      <c r="W361" s="897"/>
      <c r="X361" s="897"/>
      <c r="Y361" s="897"/>
      <c r="Z361" s="897"/>
    </row>
    <row r="362" ht="15.75" customHeight="1">
      <c r="A362" s="308"/>
      <c r="B362" s="1026">
        <v>338.0</v>
      </c>
      <c r="C362" s="1048">
        <f t="shared" si="12"/>
        <v>55944</v>
      </c>
      <c r="D362" s="1049">
        <f t="shared" si="6"/>
        <v>3</v>
      </c>
      <c r="E362" s="1050">
        <f t="shared" si="7"/>
        <v>2053</v>
      </c>
      <c r="F362" s="1050">
        <f t="shared" si="13"/>
        <v>0</v>
      </c>
      <c r="G362" s="1050">
        <f t="shared" si="8"/>
        <v>0</v>
      </c>
      <c r="H362" s="1050">
        <f t="shared" si="9"/>
        <v>0</v>
      </c>
      <c r="I362" s="1050">
        <f t="shared" si="10"/>
        <v>0</v>
      </c>
      <c r="J362" s="1051">
        <f t="shared" si="11"/>
        <v>0</v>
      </c>
      <c r="K362" s="1043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897"/>
      <c r="W362" s="897"/>
      <c r="X362" s="897"/>
      <c r="Y362" s="897"/>
      <c r="Z362" s="897"/>
    </row>
    <row r="363" ht="15.75" customHeight="1">
      <c r="A363" s="308"/>
      <c r="B363" s="1026">
        <v>339.0</v>
      </c>
      <c r="C363" s="1048">
        <f t="shared" si="12"/>
        <v>55975</v>
      </c>
      <c r="D363" s="1049">
        <f t="shared" si="6"/>
        <v>4</v>
      </c>
      <c r="E363" s="1050">
        <f t="shared" si="7"/>
        <v>2053</v>
      </c>
      <c r="F363" s="1050">
        <f t="shared" si="13"/>
        <v>0</v>
      </c>
      <c r="G363" s="1050">
        <f t="shared" si="8"/>
        <v>0</v>
      </c>
      <c r="H363" s="1050">
        <f t="shared" si="9"/>
        <v>0</v>
      </c>
      <c r="I363" s="1050">
        <f t="shared" si="10"/>
        <v>0</v>
      </c>
      <c r="J363" s="1051">
        <f t="shared" si="11"/>
        <v>0</v>
      </c>
      <c r="K363" s="1043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897"/>
      <c r="W363" s="897"/>
      <c r="X363" s="897"/>
      <c r="Y363" s="897"/>
      <c r="Z363" s="897"/>
    </row>
    <row r="364" ht="15.75" customHeight="1">
      <c r="A364" s="308"/>
      <c r="B364" s="1026">
        <v>340.0</v>
      </c>
      <c r="C364" s="1048">
        <f t="shared" si="12"/>
        <v>56005</v>
      </c>
      <c r="D364" s="1049">
        <f t="shared" si="6"/>
        <v>5</v>
      </c>
      <c r="E364" s="1050">
        <f t="shared" si="7"/>
        <v>2053</v>
      </c>
      <c r="F364" s="1050">
        <f t="shared" si="13"/>
        <v>0</v>
      </c>
      <c r="G364" s="1050">
        <f t="shared" si="8"/>
        <v>0</v>
      </c>
      <c r="H364" s="1050">
        <f t="shared" si="9"/>
        <v>0</v>
      </c>
      <c r="I364" s="1050">
        <f t="shared" si="10"/>
        <v>0</v>
      </c>
      <c r="J364" s="1051">
        <f t="shared" si="11"/>
        <v>0</v>
      </c>
      <c r="K364" s="1043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897"/>
      <c r="W364" s="897"/>
      <c r="X364" s="897"/>
      <c r="Y364" s="897"/>
      <c r="Z364" s="897"/>
    </row>
    <row r="365" ht="15.75" customHeight="1">
      <c r="A365" s="308"/>
      <c r="B365" s="1026">
        <v>341.0</v>
      </c>
      <c r="C365" s="1048">
        <f t="shared" si="12"/>
        <v>56036</v>
      </c>
      <c r="D365" s="1049">
        <f t="shared" si="6"/>
        <v>6</v>
      </c>
      <c r="E365" s="1050">
        <f t="shared" si="7"/>
        <v>2053</v>
      </c>
      <c r="F365" s="1050">
        <f t="shared" si="13"/>
        <v>0</v>
      </c>
      <c r="G365" s="1050">
        <f t="shared" si="8"/>
        <v>0</v>
      </c>
      <c r="H365" s="1050">
        <f t="shared" si="9"/>
        <v>0</v>
      </c>
      <c r="I365" s="1050">
        <f t="shared" si="10"/>
        <v>0</v>
      </c>
      <c r="J365" s="1051">
        <f t="shared" si="11"/>
        <v>0</v>
      </c>
      <c r="K365" s="1043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897"/>
      <c r="W365" s="897"/>
      <c r="X365" s="897"/>
      <c r="Y365" s="897"/>
      <c r="Z365" s="897"/>
    </row>
    <row r="366" ht="15.75" customHeight="1">
      <c r="A366" s="308"/>
      <c r="B366" s="1026">
        <v>342.0</v>
      </c>
      <c r="C366" s="1048">
        <f t="shared" si="12"/>
        <v>56066</v>
      </c>
      <c r="D366" s="1049">
        <f t="shared" si="6"/>
        <v>7</v>
      </c>
      <c r="E366" s="1050">
        <f t="shared" si="7"/>
        <v>2053</v>
      </c>
      <c r="F366" s="1050">
        <f t="shared" si="13"/>
        <v>0</v>
      </c>
      <c r="G366" s="1050">
        <f t="shared" si="8"/>
        <v>0</v>
      </c>
      <c r="H366" s="1050">
        <f t="shared" si="9"/>
        <v>0</v>
      </c>
      <c r="I366" s="1050">
        <f t="shared" si="10"/>
        <v>0</v>
      </c>
      <c r="J366" s="1051">
        <f t="shared" si="11"/>
        <v>0</v>
      </c>
      <c r="K366" s="1043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897"/>
      <c r="W366" s="897"/>
      <c r="X366" s="897"/>
      <c r="Y366" s="897"/>
      <c r="Z366" s="897"/>
    </row>
    <row r="367" ht="15.75" customHeight="1">
      <c r="A367" s="308"/>
      <c r="B367" s="1026">
        <v>343.0</v>
      </c>
      <c r="C367" s="1048">
        <f t="shared" si="12"/>
        <v>56097</v>
      </c>
      <c r="D367" s="1049">
        <f t="shared" si="6"/>
        <v>8</v>
      </c>
      <c r="E367" s="1050">
        <f t="shared" si="7"/>
        <v>2053</v>
      </c>
      <c r="F367" s="1050">
        <f t="shared" si="13"/>
        <v>0</v>
      </c>
      <c r="G367" s="1050">
        <f t="shared" si="8"/>
        <v>0</v>
      </c>
      <c r="H367" s="1050">
        <f t="shared" si="9"/>
        <v>0</v>
      </c>
      <c r="I367" s="1050">
        <f t="shared" si="10"/>
        <v>0</v>
      </c>
      <c r="J367" s="1051">
        <f t="shared" si="11"/>
        <v>0</v>
      </c>
      <c r="K367" s="1043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897"/>
      <c r="W367" s="897"/>
      <c r="X367" s="897"/>
      <c r="Y367" s="897"/>
      <c r="Z367" s="897"/>
    </row>
    <row r="368" ht="15.75" customHeight="1">
      <c r="A368" s="308"/>
      <c r="B368" s="1026">
        <v>344.0</v>
      </c>
      <c r="C368" s="1048">
        <f t="shared" si="12"/>
        <v>56128</v>
      </c>
      <c r="D368" s="1049">
        <f t="shared" si="6"/>
        <v>9</v>
      </c>
      <c r="E368" s="1050">
        <f t="shared" si="7"/>
        <v>2053</v>
      </c>
      <c r="F368" s="1050">
        <f t="shared" si="13"/>
        <v>0</v>
      </c>
      <c r="G368" s="1050">
        <f t="shared" si="8"/>
        <v>0</v>
      </c>
      <c r="H368" s="1050">
        <f t="shared" si="9"/>
        <v>0</v>
      </c>
      <c r="I368" s="1050">
        <f t="shared" si="10"/>
        <v>0</v>
      </c>
      <c r="J368" s="1051">
        <f t="shared" si="11"/>
        <v>0</v>
      </c>
      <c r="K368" s="1043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897"/>
      <c r="W368" s="897"/>
      <c r="X368" s="897"/>
      <c r="Y368" s="897"/>
      <c r="Z368" s="897"/>
    </row>
    <row r="369" ht="15.75" customHeight="1">
      <c r="A369" s="308"/>
      <c r="B369" s="1026">
        <v>345.0</v>
      </c>
      <c r="C369" s="1048">
        <f t="shared" si="12"/>
        <v>56158</v>
      </c>
      <c r="D369" s="1049">
        <f t="shared" si="6"/>
        <v>10</v>
      </c>
      <c r="E369" s="1050">
        <f t="shared" si="7"/>
        <v>2053</v>
      </c>
      <c r="F369" s="1050">
        <f t="shared" si="13"/>
        <v>0</v>
      </c>
      <c r="G369" s="1050">
        <f t="shared" si="8"/>
        <v>0</v>
      </c>
      <c r="H369" s="1050">
        <f t="shared" si="9"/>
        <v>0</v>
      </c>
      <c r="I369" s="1050">
        <f t="shared" si="10"/>
        <v>0</v>
      </c>
      <c r="J369" s="1051">
        <f t="shared" si="11"/>
        <v>0</v>
      </c>
      <c r="K369" s="1043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897"/>
      <c r="W369" s="897"/>
      <c r="X369" s="897"/>
      <c r="Y369" s="897"/>
      <c r="Z369" s="897"/>
    </row>
    <row r="370" ht="15.75" customHeight="1">
      <c r="A370" s="308"/>
      <c r="B370" s="1026">
        <v>346.0</v>
      </c>
      <c r="C370" s="1048">
        <f t="shared" si="12"/>
        <v>56189</v>
      </c>
      <c r="D370" s="1049">
        <f t="shared" si="6"/>
        <v>11</v>
      </c>
      <c r="E370" s="1050">
        <f t="shared" si="7"/>
        <v>2053</v>
      </c>
      <c r="F370" s="1050">
        <f t="shared" si="13"/>
        <v>0</v>
      </c>
      <c r="G370" s="1050">
        <f t="shared" si="8"/>
        <v>0</v>
      </c>
      <c r="H370" s="1050">
        <f t="shared" si="9"/>
        <v>0</v>
      </c>
      <c r="I370" s="1050">
        <f t="shared" si="10"/>
        <v>0</v>
      </c>
      <c r="J370" s="1051">
        <f t="shared" si="11"/>
        <v>0</v>
      </c>
      <c r="K370" s="1043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897"/>
      <c r="W370" s="897"/>
      <c r="X370" s="897"/>
      <c r="Y370" s="897"/>
      <c r="Z370" s="897"/>
    </row>
    <row r="371" ht="15.75" customHeight="1">
      <c r="A371" s="308"/>
      <c r="B371" s="1026">
        <v>347.0</v>
      </c>
      <c r="C371" s="1048">
        <f t="shared" si="12"/>
        <v>56219</v>
      </c>
      <c r="D371" s="1049">
        <f t="shared" si="6"/>
        <v>12</v>
      </c>
      <c r="E371" s="1050">
        <f t="shared" si="7"/>
        <v>2053</v>
      </c>
      <c r="F371" s="1050">
        <f t="shared" si="13"/>
        <v>0</v>
      </c>
      <c r="G371" s="1050">
        <f t="shared" si="8"/>
        <v>0</v>
      </c>
      <c r="H371" s="1050">
        <f t="shared" si="9"/>
        <v>0</v>
      </c>
      <c r="I371" s="1050">
        <f t="shared" si="10"/>
        <v>0</v>
      </c>
      <c r="J371" s="1051">
        <f t="shared" si="11"/>
        <v>0</v>
      </c>
      <c r="K371" s="1043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897"/>
      <c r="W371" s="897"/>
      <c r="X371" s="897"/>
      <c r="Y371" s="897"/>
      <c r="Z371" s="897"/>
    </row>
    <row r="372" ht="15.75" customHeight="1">
      <c r="A372" s="308"/>
      <c r="B372" s="1026">
        <v>348.0</v>
      </c>
      <c r="C372" s="1048">
        <f t="shared" si="12"/>
        <v>56250</v>
      </c>
      <c r="D372" s="1049">
        <f t="shared" si="6"/>
        <v>1</v>
      </c>
      <c r="E372" s="1050">
        <f t="shared" si="7"/>
        <v>2054</v>
      </c>
      <c r="F372" s="1050">
        <f t="shared" si="13"/>
        <v>0</v>
      </c>
      <c r="G372" s="1050">
        <f t="shared" si="8"/>
        <v>0</v>
      </c>
      <c r="H372" s="1050">
        <f t="shared" si="9"/>
        <v>0</v>
      </c>
      <c r="I372" s="1050">
        <f t="shared" si="10"/>
        <v>0</v>
      </c>
      <c r="J372" s="1051">
        <f t="shared" si="11"/>
        <v>0</v>
      </c>
      <c r="K372" s="1043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897"/>
      <c r="W372" s="897"/>
      <c r="X372" s="897"/>
      <c r="Y372" s="897"/>
      <c r="Z372" s="897"/>
    </row>
    <row r="373" ht="15.75" customHeight="1">
      <c r="A373" s="308"/>
      <c r="B373" s="1026">
        <v>349.0</v>
      </c>
      <c r="C373" s="1048">
        <f t="shared" si="12"/>
        <v>56281</v>
      </c>
      <c r="D373" s="1049">
        <f t="shared" si="6"/>
        <v>2</v>
      </c>
      <c r="E373" s="1050">
        <f t="shared" si="7"/>
        <v>2054</v>
      </c>
      <c r="F373" s="1050">
        <f t="shared" si="13"/>
        <v>0</v>
      </c>
      <c r="G373" s="1050">
        <f t="shared" si="8"/>
        <v>0</v>
      </c>
      <c r="H373" s="1050">
        <f t="shared" si="9"/>
        <v>0</v>
      </c>
      <c r="I373" s="1050">
        <f t="shared" si="10"/>
        <v>0</v>
      </c>
      <c r="J373" s="1051">
        <f t="shared" si="11"/>
        <v>0</v>
      </c>
      <c r="K373" s="1043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897"/>
      <c r="W373" s="897"/>
      <c r="X373" s="897"/>
      <c r="Y373" s="897"/>
      <c r="Z373" s="897"/>
    </row>
    <row r="374" ht="15.75" customHeight="1">
      <c r="A374" s="308"/>
      <c r="B374" s="1026">
        <v>350.0</v>
      </c>
      <c r="C374" s="1048">
        <f t="shared" si="12"/>
        <v>56309</v>
      </c>
      <c r="D374" s="1049">
        <f t="shared" si="6"/>
        <v>3</v>
      </c>
      <c r="E374" s="1050">
        <f t="shared" si="7"/>
        <v>2054</v>
      </c>
      <c r="F374" s="1050">
        <f t="shared" si="13"/>
        <v>0</v>
      </c>
      <c r="G374" s="1050">
        <f t="shared" si="8"/>
        <v>0</v>
      </c>
      <c r="H374" s="1050">
        <f t="shared" si="9"/>
        <v>0</v>
      </c>
      <c r="I374" s="1050">
        <f t="shared" si="10"/>
        <v>0</v>
      </c>
      <c r="J374" s="1051">
        <f t="shared" si="11"/>
        <v>0</v>
      </c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897"/>
      <c r="W374" s="897"/>
      <c r="X374" s="897"/>
      <c r="Y374" s="897"/>
      <c r="Z374" s="897"/>
    </row>
    <row r="375" ht="15.75" customHeight="1">
      <c r="A375" s="308"/>
      <c r="B375" s="308"/>
      <c r="C375" s="308"/>
      <c r="D375" s="308"/>
      <c r="E375" s="308"/>
      <c r="F375" s="308"/>
      <c r="G375" s="308"/>
      <c r="H375" s="308"/>
      <c r="I375" s="308"/>
      <c r="J375" s="308"/>
      <c r="K375" s="1009"/>
      <c r="L375" s="1009"/>
      <c r="M375" s="1009"/>
      <c r="N375" s="1009"/>
      <c r="O375" s="1009"/>
      <c r="P375" s="308"/>
      <c r="Q375" s="308"/>
      <c r="R375" s="308"/>
      <c r="S375" s="308"/>
      <c r="T375" s="308"/>
      <c r="U375" s="308"/>
      <c r="V375" s="897"/>
      <c r="W375" s="897"/>
      <c r="X375" s="897"/>
      <c r="Y375" s="897"/>
      <c r="Z375" s="897"/>
    </row>
    <row r="376" ht="15.75" customHeight="1">
      <c r="A376" s="1009"/>
      <c r="B376" s="1009"/>
      <c r="C376" s="1009"/>
      <c r="D376" s="1009"/>
      <c r="E376" s="1009"/>
      <c r="F376" s="1009"/>
      <c r="G376" s="1009"/>
      <c r="H376" s="1009"/>
      <c r="I376" s="1009"/>
      <c r="J376" s="1009"/>
      <c r="K376" s="1009"/>
      <c r="L376" s="1009"/>
      <c r="M376" s="1009"/>
      <c r="N376" s="1009"/>
      <c r="O376" s="1009"/>
      <c r="P376" s="1009"/>
      <c r="Q376" s="1009"/>
      <c r="R376" s="1009"/>
      <c r="S376" s="1009"/>
      <c r="T376" s="1009"/>
      <c r="U376" s="1009"/>
      <c r="V376" s="1012"/>
      <c r="W376" s="1012"/>
      <c r="X376" s="1012"/>
      <c r="Y376" s="1012"/>
      <c r="Z376" s="1012"/>
    </row>
    <row r="377" ht="15.75" customHeight="1">
      <c r="A377" s="1009"/>
      <c r="B377" s="1052"/>
      <c r="C377" s="1009"/>
      <c r="D377" s="1009"/>
      <c r="E377" s="1009"/>
      <c r="F377" s="1009"/>
      <c r="G377" s="1009"/>
      <c r="H377" s="1009"/>
      <c r="I377" s="1009"/>
      <c r="J377" s="1009"/>
      <c r="K377" s="1009"/>
      <c r="L377" s="1009"/>
      <c r="M377" s="1009"/>
      <c r="N377" s="1009"/>
      <c r="O377" s="1009"/>
      <c r="P377" s="1009"/>
      <c r="Q377" s="1009"/>
      <c r="R377" s="1009"/>
      <c r="S377" s="1009"/>
      <c r="T377" s="1009"/>
      <c r="U377" s="1009"/>
      <c r="V377" s="1012"/>
      <c r="W377" s="1012"/>
      <c r="X377" s="1012"/>
      <c r="Y377" s="1012"/>
      <c r="Z377" s="1012"/>
    </row>
    <row r="378" ht="7.5" customHeight="1">
      <c r="A378" s="1009"/>
      <c r="B378" s="1009"/>
      <c r="C378" s="1009"/>
      <c r="D378" s="1009"/>
      <c r="E378" s="1009"/>
      <c r="F378" s="1009"/>
      <c r="G378" s="1009"/>
      <c r="H378" s="1009"/>
      <c r="I378" s="1009"/>
      <c r="J378" s="1009"/>
      <c r="K378" s="1009"/>
      <c r="L378" s="1009"/>
      <c r="M378" s="1009"/>
      <c r="N378" s="1009"/>
      <c r="O378" s="1009"/>
      <c r="P378" s="1009"/>
      <c r="Q378" s="1009"/>
      <c r="R378" s="1009"/>
      <c r="S378" s="1009"/>
      <c r="T378" s="1009"/>
      <c r="U378" s="1009"/>
      <c r="V378" s="1012"/>
      <c r="W378" s="1012"/>
      <c r="X378" s="1012"/>
      <c r="Y378" s="1012"/>
      <c r="Z378" s="1012"/>
    </row>
    <row r="379" ht="8.25" customHeight="1">
      <c r="A379" s="1009"/>
      <c r="B379" s="1009"/>
      <c r="C379" s="1009"/>
      <c r="D379" s="1009"/>
      <c r="E379" s="1009"/>
      <c r="F379" s="1009"/>
      <c r="G379" s="1009"/>
      <c r="H379" s="1009"/>
      <c r="I379" s="1009"/>
      <c r="J379" s="1009"/>
      <c r="K379" s="1009"/>
      <c r="L379" s="1009"/>
      <c r="M379" s="1009"/>
      <c r="N379" s="1009"/>
      <c r="O379" s="1009"/>
      <c r="P379" s="1009"/>
      <c r="Q379" s="1009"/>
      <c r="R379" s="1009"/>
      <c r="S379" s="1009"/>
      <c r="T379" s="1009"/>
      <c r="U379" s="1009"/>
      <c r="V379" s="1012"/>
      <c r="W379" s="1012"/>
      <c r="X379" s="1012"/>
      <c r="Y379" s="1012"/>
      <c r="Z379" s="1012"/>
    </row>
    <row r="380" ht="15.75" customHeight="1">
      <c r="A380" s="1009"/>
      <c r="B380" s="1009"/>
      <c r="C380" s="1009"/>
      <c r="D380" s="1009"/>
      <c r="E380" s="1009"/>
      <c r="F380" s="1009"/>
      <c r="G380" s="1009"/>
      <c r="H380" s="1009"/>
      <c r="I380" s="1009"/>
      <c r="J380" s="1009"/>
      <c r="K380" s="1009"/>
      <c r="L380" s="1009"/>
      <c r="M380" s="1009"/>
      <c r="N380" s="1009"/>
      <c r="O380" s="1009"/>
      <c r="P380" s="1009"/>
      <c r="Q380" s="1009"/>
      <c r="R380" s="1009"/>
      <c r="S380" s="1009"/>
      <c r="T380" s="1009"/>
      <c r="U380" s="1009"/>
      <c r="V380" s="1012"/>
      <c r="W380" s="1012"/>
      <c r="X380" s="1012"/>
      <c r="Y380" s="1012"/>
      <c r="Z380" s="1012"/>
    </row>
    <row r="381" ht="15.75" customHeight="1">
      <c r="A381" s="1009"/>
      <c r="B381" s="1009"/>
      <c r="C381" s="1009"/>
      <c r="D381" s="1009"/>
      <c r="E381" s="1009"/>
      <c r="F381" s="1009"/>
      <c r="G381" s="1009"/>
      <c r="H381" s="1009"/>
      <c r="I381" s="1009"/>
      <c r="J381" s="1009"/>
      <c r="K381" s="1012"/>
      <c r="L381" s="1012"/>
      <c r="M381" s="1012"/>
      <c r="N381" s="1012"/>
      <c r="O381" s="1012"/>
      <c r="P381" s="1009"/>
      <c r="Q381" s="1009"/>
      <c r="R381" s="1009"/>
      <c r="S381" s="1009"/>
      <c r="T381" s="1009"/>
      <c r="U381" s="1009"/>
      <c r="V381" s="1012"/>
      <c r="W381" s="1012"/>
      <c r="X381" s="1012"/>
      <c r="Y381" s="1012"/>
      <c r="Z381" s="1012"/>
    </row>
    <row r="382" ht="15.75" customHeight="1">
      <c r="A382" s="1012"/>
      <c r="B382" s="1012"/>
      <c r="C382" s="1012"/>
      <c r="D382" s="1012"/>
      <c r="E382" s="1012"/>
      <c r="F382" s="1012"/>
      <c r="G382" s="1012"/>
      <c r="H382" s="1012"/>
      <c r="I382" s="1012"/>
      <c r="J382" s="1012"/>
      <c r="K382" s="1012"/>
      <c r="L382" s="1012"/>
      <c r="M382" s="1012"/>
      <c r="N382" s="1012"/>
      <c r="O382" s="1012"/>
      <c r="P382" s="1012"/>
      <c r="Q382" s="1012"/>
      <c r="R382" s="1012"/>
      <c r="S382" s="1012"/>
      <c r="T382" s="1012"/>
      <c r="U382" s="1012"/>
      <c r="V382" s="1012"/>
      <c r="W382" s="1012"/>
      <c r="X382" s="1012"/>
      <c r="Y382" s="1012"/>
      <c r="Z382" s="1012"/>
    </row>
    <row r="383" ht="15.75" customHeight="1">
      <c r="A383" s="1012"/>
      <c r="B383" s="1012"/>
      <c r="C383" s="1012"/>
      <c r="D383" s="1012"/>
      <c r="E383" s="1012"/>
      <c r="F383" s="1012"/>
      <c r="G383" s="1012"/>
      <c r="H383" s="1012"/>
      <c r="I383" s="1012"/>
      <c r="J383" s="1012"/>
      <c r="K383" s="1012"/>
      <c r="L383" s="1012"/>
      <c r="M383" s="1012"/>
      <c r="N383" s="1012"/>
      <c r="O383" s="1012"/>
      <c r="P383" s="1012"/>
      <c r="Q383" s="1012"/>
      <c r="R383" s="1012"/>
      <c r="S383" s="1012"/>
      <c r="T383" s="1012"/>
      <c r="U383" s="1012"/>
      <c r="V383" s="1012"/>
      <c r="W383" s="1012"/>
      <c r="X383" s="1012"/>
      <c r="Y383" s="1012"/>
      <c r="Z383" s="1012"/>
    </row>
    <row r="384" ht="15.75" customHeight="1">
      <c r="A384" s="1012"/>
      <c r="B384" s="1012"/>
      <c r="C384" s="1012"/>
      <c r="D384" s="1012"/>
      <c r="E384" s="1012"/>
      <c r="F384" s="1012"/>
      <c r="G384" s="1012"/>
      <c r="H384" s="1012"/>
      <c r="I384" s="1012"/>
      <c r="J384" s="1012"/>
      <c r="K384" s="1012"/>
      <c r="L384" s="1012"/>
      <c r="M384" s="1012"/>
      <c r="N384" s="1012"/>
      <c r="O384" s="1012"/>
      <c r="P384" s="1012"/>
      <c r="Q384" s="1012"/>
      <c r="R384" s="1012"/>
      <c r="S384" s="1012"/>
      <c r="T384" s="1012"/>
      <c r="U384" s="1012"/>
      <c r="V384" s="1012"/>
      <c r="W384" s="1012"/>
      <c r="X384" s="1012"/>
      <c r="Y384" s="1012"/>
      <c r="Z384" s="1012"/>
    </row>
    <row r="385" ht="15.75" customHeight="1">
      <c r="A385" s="1012"/>
      <c r="B385" s="1012"/>
      <c r="C385" s="1012"/>
      <c r="D385" s="1012"/>
      <c r="E385" s="1012"/>
      <c r="F385" s="1012"/>
      <c r="G385" s="1012"/>
      <c r="H385" s="1012"/>
      <c r="I385" s="1012"/>
      <c r="J385" s="1012"/>
      <c r="K385" s="1012"/>
      <c r="L385" s="1012"/>
      <c r="M385" s="1012"/>
      <c r="N385" s="1012"/>
      <c r="O385" s="1012"/>
      <c r="P385" s="1012"/>
      <c r="Q385" s="1012"/>
      <c r="R385" s="1012"/>
      <c r="S385" s="1012"/>
      <c r="T385" s="1012"/>
      <c r="U385" s="1012"/>
      <c r="V385" s="1012"/>
      <c r="W385" s="1012"/>
      <c r="X385" s="1012"/>
      <c r="Y385" s="1012"/>
      <c r="Z385" s="1012"/>
    </row>
    <row r="386" ht="15.75" customHeight="1">
      <c r="A386" s="1012"/>
      <c r="B386" s="1012"/>
      <c r="C386" s="1012"/>
      <c r="D386" s="1012"/>
      <c r="E386" s="1012"/>
      <c r="F386" s="1012"/>
      <c r="G386" s="1012"/>
      <c r="H386" s="1012"/>
      <c r="I386" s="1012"/>
      <c r="J386" s="1012"/>
      <c r="K386" s="1012"/>
      <c r="L386" s="1012"/>
      <c r="M386" s="1012"/>
      <c r="N386" s="1012"/>
      <c r="O386" s="1012"/>
      <c r="P386" s="1012"/>
      <c r="Q386" s="1012"/>
      <c r="R386" s="1012"/>
      <c r="S386" s="1012"/>
      <c r="T386" s="1012"/>
      <c r="U386" s="1012"/>
      <c r="V386" s="1012"/>
      <c r="W386" s="1012"/>
      <c r="X386" s="1012"/>
      <c r="Y386" s="1012"/>
      <c r="Z386" s="1012"/>
    </row>
    <row r="387" ht="15.75" customHeight="1">
      <c r="A387" s="1012"/>
      <c r="B387" s="1012"/>
      <c r="C387" s="1012"/>
      <c r="D387" s="1012"/>
      <c r="E387" s="1012"/>
      <c r="F387" s="1012"/>
      <c r="G387" s="1012"/>
      <c r="H387" s="1012"/>
      <c r="I387" s="1012"/>
      <c r="J387" s="1012"/>
      <c r="K387" s="1012"/>
      <c r="L387" s="1012"/>
      <c r="M387" s="1012"/>
      <c r="N387" s="1012"/>
      <c r="O387" s="1012"/>
      <c r="P387" s="1012"/>
      <c r="Q387" s="1012"/>
      <c r="R387" s="1012"/>
      <c r="S387" s="1012"/>
      <c r="T387" s="1012"/>
      <c r="U387" s="1012"/>
      <c r="V387" s="1012"/>
      <c r="W387" s="1012"/>
      <c r="X387" s="1012"/>
      <c r="Y387" s="1012"/>
      <c r="Z387" s="1012"/>
    </row>
    <row r="388" ht="15.75" customHeight="1">
      <c r="A388" s="1012"/>
      <c r="B388" s="1012"/>
      <c r="C388" s="1012"/>
      <c r="D388" s="1012"/>
      <c r="E388" s="1012"/>
      <c r="F388" s="1012"/>
      <c r="G388" s="1012"/>
      <c r="H388" s="1012"/>
      <c r="I388" s="1012"/>
      <c r="J388" s="1012"/>
      <c r="K388" s="1012"/>
      <c r="L388" s="1012"/>
      <c r="M388" s="1012"/>
      <c r="N388" s="1012"/>
      <c r="O388" s="1012"/>
      <c r="P388" s="1012"/>
      <c r="Q388" s="1012"/>
      <c r="R388" s="1012"/>
      <c r="S388" s="1012"/>
      <c r="T388" s="1012"/>
      <c r="U388" s="1012"/>
      <c r="V388" s="1012"/>
      <c r="W388" s="1012"/>
      <c r="X388" s="1012"/>
      <c r="Y388" s="1012"/>
      <c r="Z388" s="1012"/>
    </row>
    <row r="389" ht="15.75" customHeight="1">
      <c r="A389" s="1012"/>
      <c r="B389" s="1012"/>
      <c r="C389" s="1012"/>
      <c r="D389" s="1012"/>
      <c r="E389" s="1012"/>
      <c r="F389" s="1012"/>
      <c r="G389" s="1012"/>
      <c r="H389" s="1012"/>
      <c r="I389" s="1012"/>
      <c r="J389" s="1012"/>
      <c r="K389" s="1012"/>
      <c r="L389" s="1012"/>
      <c r="M389" s="1012"/>
      <c r="N389" s="1012"/>
      <c r="O389" s="1012"/>
      <c r="P389" s="1012"/>
      <c r="Q389" s="1012"/>
      <c r="R389" s="1012"/>
      <c r="S389" s="1012"/>
      <c r="T389" s="1012"/>
      <c r="U389" s="1012"/>
      <c r="V389" s="1012"/>
      <c r="W389" s="1012"/>
      <c r="X389" s="1012"/>
      <c r="Y389" s="1012"/>
      <c r="Z389" s="1012"/>
    </row>
    <row r="390" ht="15.75" customHeight="1">
      <c r="A390" s="1012"/>
      <c r="B390" s="1012"/>
      <c r="C390" s="1012"/>
      <c r="D390" s="1012"/>
      <c r="E390" s="1012"/>
      <c r="F390" s="1012"/>
      <c r="G390" s="1012"/>
      <c r="H390" s="1012"/>
      <c r="I390" s="1012"/>
      <c r="J390" s="1012"/>
      <c r="K390" s="1012"/>
      <c r="L390" s="1012"/>
      <c r="M390" s="1012"/>
      <c r="N390" s="1012"/>
      <c r="O390" s="1012"/>
      <c r="P390" s="1012"/>
      <c r="Q390" s="1012"/>
      <c r="R390" s="1012"/>
      <c r="S390" s="1012"/>
      <c r="T390" s="1012"/>
      <c r="U390" s="1012"/>
      <c r="V390" s="1012"/>
      <c r="W390" s="1012"/>
      <c r="X390" s="1012"/>
      <c r="Y390" s="1012"/>
      <c r="Z390" s="1012"/>
    </row>
    <row r="391" ht="15.75" customHeight="1">
      <c r="A391" s="1012"/>
      <c r="B391" s="1012"/>
      <c r="C391" s="1012"/>
      <c r="D391" s="1012"/>
      <c r="E391" s="1012"/>
      <c r="F391" s="1012"/>
      <c r="G391" s="1012"/>
      <c r="H391" s="1012"/>
      <c r="I391" s="1012"/>
      <c r="J391" s="1012"/>
      <c r="K391" s="1012"/>
      <c r="L391" s="1012"/>
      <c r="M391" s="1012"/>
      <c r="N391" s="1012"/>
      <c r="O391" s="1012"/>
      <c r="P391" s="1012"/>
      <c r="Q391" s="1012"/>
      <c r="R391" s="1012"/>
      <c r="S391" s="1012"/>
      <c r="T391" s="1012"/>
      <c r="U391" s="1012"/>
      <c r="V391" s="1012"/>
      <c r="W391" s="1012"/>
      <c r="X391" s="1012"/>
      <c r="Y391" s="1012"/>
      <c r="Z391" s="1012"/>
    </row>
    <row r="392" ht="15.75" customHeight="1">
      <c r="A392" s="1012"/>
      <c r="B392" s="1012"/>
      <c r="C392" s="1012"/>
      <c r="D392" s="1012"/>
      <c r="E392" s="1012"/>
      <c r="F392" s="1012"/>
      <c r="G392" s="1012"/>
      <c r="H392" s="1012"/>
      <c r="I392" s="1012"/>
      <c r="J392" s="1012"/>
      <c r="K392" s="1012"/>
      <c r="L392" s="1012"/>
      <c r="M392" s="1012"/>
      <c r="N392" s="1012"/>
      <c r="O392" s="1012"/>
      <c r="P392" s="1012"/>
      <c r="Q392" s="1012"/>
      <c r="R392" s="1012"/>
      <c r="S392" s="1012"/>
      <c r="T392" s="1012"/>
      <c r="U392" s="1012"/>
      <c r="V392" s="1012"/>
      <c r="W392" s="1012"/>
      <c r="X392" s="1012"/>
      <c r="Y392" s="1012"/>
      <c r="Z392" s="1012"/>
    </row>
    <row r="393" ht="15.75" customHeight="1">
      <c r="A393" s="1012"/>
      <c r="B393" s="1012"/>
      <c r="C393" s="1012"/>
      <c r="D393" s="1012"/>
      <c r="E393" s="1012"/>
      <c r="F393" s="1012"/>
      <c r="G393" s="1012"/>
      <c r="H393" s="1012"/>
      <c r="I393" s="1012"/>
      <c r="J393" s="1012"/>
      <c r="K393" s="1012"/>
      <c r="L393" s="1012"/>
      <c r="M393" s="1012"/>
      <c r="N393" s="1012"/>
      <c r="O393" s="1012"/>
      <c r="P393" s="1012"/>
      <c r="Q393" s="1012"/>
      <c r="R393" s="1012"/>
      <c r="S393" s="1012"/>
      <c r="T393" s="1012"/>
      <c r="U393" s="1012"/>
      <c r="V393" s="1012"/>
      <c r="W393" s="1012"/>
      <c r="X393" s="1012"/>
      <c r="Y393" s="1012"/>
      <c r="Z393" s="1012"/>
    </row>
    <row r="394" ht="15.75" customHeight="1">
      <c r="A394" s="1012"/>
      <c r="B394" s="1012"/>
      <c r="C394" s="1012"/>
      <c r="D394" s="1012"/>
      <c r="E394" s="1012"/>
      <c r="F394" s="1012"/>
      <c r="G394" s="1012"/>
      <c r="H394" s="1012"/>
      <c r="I394" s="1012"/>
      <c r="J394" s="1012"/>
      <c r="K394" s="1012"/>
      <c r="L394" s="1012"/>
      <c r="M394" s="1012"/>
      <c r="N394" s="1012"/>
      <c r="O394" s="1012"/>
      <c r="P394" s="1012"/>
      <c r="Q394" s="1012"/>
      <c r="R394" s="1012"/>
      <c r="S394" s="1012"/>
      <c r="T394" s="1012"/>
      <c r="U394" s="1012"/>
      <c r="V394" s="1012"/>
      <c r="W394" s="1012"/>
      <c r="X394" s="1012"/>
      <c r="Y394" s="1012"/>
      <c r="Z394" s="1012"/>
    </row>
    <row r="395" ht="15.75" customHeight="1">
      <c r="A395" s="1012"/>
      <c r="B395" s="1012"/>
      <c r="C395" s="1012"/>
      <c r="D395" s="1012"/>
      <c r="E395" s="1012"/>
      <c r="F395" s="1012"/>
      <c r="G395" s="1012"/>
      <c r="H395" s="1012"/>
      <c r="I395" s="1012"/>
      <c r="J395" s="1012"/>
      <c r="K395" s="1012"/>
      <c r="L395" s="1012"/>
      <c r="M395" s="1012"/>
      <c r="N395" s="1012"/>
      <c r="O395" s="1012"/>
      <c r="P395" s="1012"/>
      <c r="Q395" s="1012"/>
      <c r="R395" s="1012"/>
      <c r="S395" s="1012"/>
      <c r="T395" s="1012"/>
      <c r="U395" s="1012"/>
      <c r="V395" s="1012"/>
      <c r="W395" s="1012"/>
      <c r="X395" s="1012"/>
      <c r="Y395" s="1012"/>
      <c r="Z395" s="1012"/>
    </row>
    <row r="396" ht="15.75" customHeight="1">
      <c r="A396" s="1012"/>
      <c r="B396" s="1012"/>
      <c r="C396" s="1012"/>
      <c r="D396" s="1012"/>
      <c r="E396" s="1012"/>
      <c r="F396" s="1012"/>
      <c r="G396" s="1012"/>
      <c r="H396" s="1012"/>
      <c r="I396" s="1012"/>
      <c r="J396" s="1012"/>
      <c r="K396" s="1012"/>
      <c r="L396" s="1012"/>
      <c r="M396" s="1012"/>
      <c r="N396" s="1012"/>
      <c r="O396" s="1012"/>
      <c r="P396" s="1012"/>
      <c r="Q396" s="1012"/>
      <c r="R396" s="1012"/>
      <c r="S396" s="1012"/>
      <c r="T396" s="1012"/>
      <c r="U396" s="1012"/>
      <c r="V396" s="1012"/>
      <c r="W396" s="1012"/>
      <c r="X396" s="1012"/>
      <c r="Y396" s="1012"/>
      <c r="Z396" s="1012"/>
    </row>
    <row r="397" ht="15.75" customHeight="1">
      <c r="A397" s="1012"/>
      <c r="B397" s="1012"/>
      <c r="C397" s="1012"/>
      <c r="D397" s="1012"/>
      <c r="E397" s="1012"/>
      <c r="F397" s="1012"/>
      <c r="G397" s="1012"/>
      <c r="H397" s="1012"/>
      <c r="I397" s="1012"/>
      <c r="J397" s="1012"/>
      <c r="K397" s="1012"/>
      <c r="L397" s="1012"/>
      <c r="M397" s="1012"/>
      <c r="N397" s="1012"/>
      <c r="O397" s="1012"/>
      <c r="P397" s="1012"/>
      <c r="Q397" s="1012"/>
      <c r="R397" s="1012"/>
      <c r="S397" s="1012"/>
      <c r="T397" s="1012"/>
      <c r="U397" s="1012"/>
      <c r="V397" s="1012"/>
      <c r="W397" s="1012"/>
      <c r="X397" s="1012"/>
      <c r="Y397" s="1012"/>
      <c r="Z397" s="1012"/>
    </row>
    <row r="398" ht="15.75" customHeight="1">
      <c r="A398" s="1012"/>
      <c r="B398" s="1012"/>
      <c r="C398" s="1012"/>
      <c r="D398" s="1012"/>
      <c r="E398" s="1012"/>
      <c r="F398" s="1012"/>
      <c r="G398" s="1012"/>
      <c r="H398" s="1012"/>
      <c r="I398" s="1012"/>
      <c r="J398" s="1012"/>
      <c r="K398" s="1012"/>
      <c r="L398" s="1012"/>
      <c r="M398" s="1012"/>
      <c r="N398" s="1012"/>
      <c r="O398" s="1012"/>
      <c r="P398" s="1012"/>
      <c r="Q398" s="1012"/>
      <c r="R398" s="1012"/>
      <c r="S398" s="1012"/>
      <c r="T398" s="1012"/>
      <c r="U398" s="1012"/>
      <c r="V398" s="1012"/>
      <c r="W398" s="1012"/>
      <c r="X398" s="1012"/>
      <c r="Y398" s="1012"/>
      <c r="Z398" s="1012"/>
    </row>
    <row r="399" ht="15.75" customHeight="1">
      <c r="A399" s="1012"/>
      <c r="B399" s="1012"/>
      <c r="C399" s="1012"/>
      <c r="D399" s="1012"/>
      <c r="E399" s="1012"/>
      <c r="F399" s="1012"/>
      <c r="G399" s="1012"/>
      <c r="H399" s="1012"/>
      <c r="I399" s="1012"/>
      <c r="J399" s="1012"/>
      <c r="K399" s="1012"/>
      <c r="L399" s="1012"/>
      <c r="M399" s="1012"/>
      <c r="N399" s="1012"/>
      <c r="O399" s="1012"/>
      <c r="P399" s="1012"/>
      <c r="Q399" s="1012"/>
      <c r="R399" s="1012"/>
      <c r="S399" s="1012"/>
      <c r="T399" s="1012"/>
      <c r="U399" s="1012"/>
      <c r="V399" s="1012"/>
      <c r="W399" s="1012"/>
      <c r="X399" s="1012"/>
      <c r="Y399" s="1012"/>
      <c r="Z399" s="1012"/>
    </row>
    <row r="400" ht="15.75" customHeight="1">
      <c r="A400" s="1012"/>
      <c r="B400" s="1012"/>
      <c r="C400" s="1012"/>
      <c r="D400" s="1012"/>
      <c r="E400" s="1012"/>
      <c r="F400" s="1012"/>
      <c r="G400" s="1012"/>
      <c r="H400" s="1012"/>
      <c r="I400" s="1012"/>
      <c r="J400" s="1012"/>
      <c r="K400" s="1012"/>
      <c r="L400" s="1012"/>
      <c r="M400" s="1012"/>
      <c r="N400" s="1012"/>
      <c r="O400" s="1012"/>
      <c r="P400" s="1012"/>
      <c r="Q400" s="1012"/>
      <c r="R400" s="1012"/>
      <c r="S400" s="1012"/>
      <c r="T400" s="1012"/>
      <c r="U400" s="1012"/>
      <c r="V400" s="1012"/>
      <c r="W400" s="1012"/>
      <c r="X400" s="1012"/>
      <c r="Y400" s="1012"/>
      <c r="Z400" s="1012"/>
    </row>
    <row r="401" ht="15.75" customHeight="1">
      <c r="A401" s="1012"/>
      <c r="B401" s="1012"/>
      <c r="C401" s="1012"/>
      <c r="D401" s="1012"/>
      <c r="E401" s="1012"/>
      <c r="F401" s="1012"/>
      <c r="G401" s="1012"/>
      <c r="H401" s="1012"/>
      <c r="I401" s="1012"/>
      <c r="J401" s="1012"/>
      <c r="K401" s="1012"/>
      <c r="L401" s="1012"/>
      <c r="M401" s="1012"/>
      <c r="N401" s="1012"/>
      <c r="O401" s="1012"/>
      <c r="P401" s="1012"/>
      <c r="Q401" s="1012"/>
      <c r="R401" s="1012"/>
      <c r="S401" s="1012"/>
      <c r="T401" s="1012"/>
      <c r="U401" s="1012"/>
      <c r="V401" s="1012"/>
      <c r="W401" s="1012"/>
      <c r="X401" s="1012"/>
      <c r="Y401" s="1012"/>
      <c r="Z401" s="1012"/>
    </row>
    <row r="402" ht="15.75" customHeight="1">
      <c r="A402" s="1012"/>
      <c r="B402" s="1012"/>
      <c r="C402" s="1012"/>
      <c r="D402" s="1012"/>
      <c r="E402" s="1012"/>
      <c r="F402" s="1012"/>
      <c r="G402" s="1012"/>
      <c r="H402" s="1012"/>
      <c r="I402" s="1012"/>
      <c r="J402" s="1012"/>
      <c r="K402" s="1012"/>
      <c r="L402" s="1012"/>
      <c r="M402" s="1012"/>
      <c r="N402" s="1012"/>
      <c r="O402" s="1012"/>
      <c r="P402" s="1012"/>
      <c r="Q402" s="1012"/>
      <c r="R402" s="1012"/>
      <c r="S402" s="1012"/>
      <c r="T402" s="1012"/>
      <c r="U402" s="1012"/>
      <c r="V402" s="1012"/>
      <c r="W402" s="1012"/>
      <c r="X402" s="1012"/>
      <c r="Y402" s="1012"/>
      <c r="Z402" s="1012"/>
    </row>
    <row r="403" ht="15.75" customHeight="1">
      <c r="A403" s="1012"/>
      <c r="B403" s="1012"/>
      <c r="C403" s="1012"/>
      <c r="D403" s="1012"/>
      <c r="E403" s="1012"/>
      <c r="F403" s="1012"/>
      <c r="G403" s="1012"/>
      <c r="H403" s="1012"/>
      <c r="I403" s="1012"/>
      <c r="J403" s="1012"/>
      <c r="K403" s="1012"/>
      <c r="L403" s="1012"/>
      <c r="M403" s="1012"/>
      <c r="N403" s="1012"/>
      <c r="O403" s="1012"/>
      <c r="P403" s="1012"/>
      <c r="Q403" s="1012"/>
      <c r="R403" s="1012"/>
      <c r="S403" s="1012"/>
      <c r="T403" s="1012"/>
      <c r="U403" s="1012"/>
      <c r="V403" s="1012"/>
      <c r="W403" s="1012"/>
      <c r="X403" s="1012"/>
      <c r="Y403" s="1012"/>
      <c r="Z403" s="1012"/>
    </row>
    <row r="404" ht="15.75" customHeight="1">
      <c r="A404" s="1012"/>
      <c r="B404" s="1012"/>
      <c r="C404" s="1012"/>
      <c r="D404" s="1012"/>
      <c r="E404" s="1012"/>
      <c r="F404" s="1012"/>
      <c r="G404" s="1012"/>
      <c r="H404" s="1012"/>
      <c r="I404" s="1012"/>
      <c r="J404" s="1012"/>
      <c r="K404" s="1012"/>
      <c r="L404" s="1012"/>
      <c r="M404" s="1012"/>
      <c r="N404" s="1012"/>
      <c r="O404" s="1012"/>
      <c r="P404" s="1012"/>
      <c r="Q404" s="1012"/>
      <c r="R404" s="1012"/>
      <c r="S404" s="1012"/>
      <c r="T404" s="1012"/>
      <c r="U404" s="1012"/>
      <c r="V404" s="1012"/>
      <c r="W404" s="1012"/>
      <c r="X404" s="1012"/>
      <c r="Y404" s="1012"/>
      <c r="Z404" s="1012"/>
    </row>
    <row r="405" ht="15.75" customHeight="1">
      <c r="A405" s="1012"/>
      <c r="B405" s="1012"/>
      <c r="C405" s="1012"/>
      <c r="D405" s="1012"/>
      <c r="E405" s="1012"/>
      <c r="F405" s="1012"/>
      <c r="G405" s="1012"/>
      <c r="H405" s="1012"/>
      <c r="I405" s="1012"/>
      <c r="J405" s="1012"/>
      <c r="K405" s="1012"/>
      <c r="L405" s="1012"/>
      <c r="M405" s="1012"/>
      <c r="N405" s="1012"/>
      <c r="O405" s="1012"/>
      <c r="P405" s="1012"/>
      <c r="Q405" s="1012"/>
      <c r="R405" s="1012"/>
      <c r="S405" s="1012"/>
      <c r="T405" s="1012"/>
      <c r="U405" s="1012"/>
      <c r="V405" s="1012"/>
      <c r="W405" s="1012"/>
      <c r="X405" s="1012"/>
      <c r="Y405" s="1012"/>
      <c r="Z405" s="1012"/>
    </row>
    <row r="406" ht="15.75" customHeight="1">
      <c r="A406" s="1012"/>
      <c r="B406" s="1012"/>
      <c r="C406" s="1012"/>
      <c r="D406" s="1012"/>
      <c r="E406" s="1012"/>
      <c r="F406" s="1012"/>
      <c r="G406" s="1012"/>
      <c r="H406" s="1012"/>
      <c r="I406" s="1012"/>
      <c r="J406" s="1012"/>
      <c r="K406" s="1012"/>
      <c r="L406" s="1012"/>
      <c r="M406" s="1012"/>
      <c r="N406" s="1012"/>
      <c r="O406" s="1012"/>
      <c r="P406" s="1012"/>
      <c r="Q406" s="1012"/>
      <c r="R406" s="1012"/>
      <c r="S406" s="1012"/>
      <c r="T406" s="1012"/>
      <c r="U406" s="1012"/>
      <c r="V406" s="1012"/>
      <c r="W406" s="1012"/>
      <c r="X406" s="1012"/>
      <c r="Y406" s="1012"/>
      <c r="Z406" s="1012"/>
    </row>
    <row r="407" ht="15.75" customHeight="1">
      <c r="A407" s="1012"/>
      <c r="B407" s="1012"/>
      <c r="C407" s="1012"/>
      <c r="D407" s="1012"/>
      <c r="E407" s="1012"/>
      <c r="F407" s="1012"/>
      <c r="G407" s="1012"/>
      <c r="H407" s="1012"/>
      <c r="I407" s="1012"/>
      <c r="J407" s="1012"/>
      <c r="K407" s="1012"/>
      <c r="L407" s="1012"/>
      <c r="M407" s="1012"/>
      <c r="N407" s="1012"/>
      <c r="O407" s="1012"/>
      <c r="P407" s="1012"/>
      <c r="Q407" s="1012"/>
      <c r="R407" s="1012"/>
      <c r="S407" s="1012"/>
      <c r="T407" s="1012"/>
      <c r="U407" s="1012"/>
      <c r="V407" s="1012"/>
      <c r="W407" s="1012"/>
      <c r="X407" s="1012"/>
      <c r="Y407" s="1012"/>
      <c r="Z407" s="1012"/>
    </row>
    <row r="408" ht="15.75" customHeight="1">
      <c r="A408" s="1012"/>
      <c r="B408" s="1012"/>
      <c r="C408" s="1012"/>
      <c r="D408" s="1012"/>
      <c r="E408" s="1012"/>
      <c r="F408" s="1012"/>
      <c r="G408" s="1012"/>
      <c r="H408" s="1012"/>
      <c r="I408" s="1012"/>
      <c r="J408" s="1012"/>
      <c r="K408" s="1012"/>
      <c r="L408" s="1012"/>
      <c r="M408" s="1012"/>
      <c r="N408" s="1012"/>
      <c r="O408" s="1012"/>
      <c r="P408" s="1012"/>
      <c r="Q408" s="1012"/>
      <c r="R408" s="1012"/>
      <c r="S408" s="1012"/>
      <c r="T408" s="1012"/>
      <c r="U408" s="1012"/>
      <c r="V408" s="1012"/>
      <c r="W408" s="1012"/>
      <c r="X408" s="1012"/>
      <c r="Y408" s="1012"/>
      <c r="Z408" s="1012"/>
    </row>
    <row r="409" ht="15.75" customHeight="1">
      <c r="A409" s="1012"/>
      <c r="B409" s="1012"/>
      <c r="C409" s="1012"/>
      <c r="D409" s="1012"/>
      <c r="E409" s="1012"/>
      <c r="F409" s="1012"/>
      <c r="G409" s="1012"/>
      <c r="H409" s="1012"/>
      <c r="I409" s="1012"/>
      <c r="J409" s="1012"/>
      <c r="K409" s="1012"/>
      <c r="L409" s="1012"/>
      <c r="M409" s="1012"/>
      <c r="N409" s="1012"/>
      <c r="O409" s="1012"/>
      <c r="P409" s="1012"/>
      <c r="Q409" s="1012"/>
      <c r="R409" s="1012"/>
      <c r="S409" s="1012"/>
      <c r="T409" s="1012"/>
      <c r="U409" s="1012"/>
      <c r="V409" s="1012"/>
      <c r="W409" s="1012"/>
      <c r="X409" s="1012"/>
      <c r="Y409" s="1012"/>
      <c r="Z409" s="1012"/>
    </row>
    <row r="410" ht="15.75" customHeight="1">
      <c r="A410" s="1012"/>
      <c r="B410" s="1012"/>
      <c r="C410" s="1012"/>
      <c r="D410" s="1012"/>
      <c r="E410" s="1012"/>
      <c r="F410" s="1012"/>
      <c r="G410" s="1012"/>
      <c r="H410" s="1012"/>
      <c r="I410" s="1012"/>
      <c r="J410" s="1012"/>
      <c r="K410" s="1012"/>
      <c r="L410" s="1012"/>
      <c r="M410" s="1012"/>
      <c r="N410" s="1012"/>
      <c r="O410" s="1012"/>
      <c r="P410" s="1012"/>
      <c r="Q410" s="1012"/>
      <c r="R410" s="1012"/>
      <c r="S410" s="1012"/>
      <c r="T410" s="1012"/>
      <c r="U410" s="1012"/>
      <c r="V410" s="1012"/>
      <c r="W410" s="1012"/>
      <c r="X410" s="1012"/>
      <c r="Y410" s="1012"/>
      <c r="Z410" s="1012"/>
    </row>
    <row r="411" ht="15.75" customHeight="1">
      <c r="A411" s="1012"/>
      <c r="B411" s="1012"/>
      <c r="C411" s="1012"/>
      <c r="D411" s="1012"/>
      <c r="E411" s="1012"/>
      <c r="F411" s="1012"/>
      <c r="G411" s="1012"/>
      <c r="H411" s="1012"/>
      <c r="I411" s="1012"/>
      <c r="J411" s="1012"/>
      <c r="K411" s="1012"/>
      <c r="L411" s="1012"/>
      <c r="M411" s="1012"/>
      <c r="N411" s="1012"/>
      <c r="O411" s="1012"/>
      <c r="P411" s="1012"/>
      <c r="Q411" s="1012"/>
      <c r="R411" s="1012"/>
      <c r="S411" s="1012"/>
      <c r="T411" s="1012"/>
      <c r="U411" s="1012"/>
      <c r="V411" s="1012"/>
      <c r="W411" s="1012"/>
      <c r="X411" s="1012"/>
      <c r="Y411" s="1012"/>
      <c r="Z411" s="1012"/>
    </row>
    <row r="412" ht="15.75" customHeight="1">
      <c r="A412" s="1012"/>
      <c r="B412" s="1012"/>
      <c r="C412" s="1012"/>
      <c r="D412" s="1012"/>
      <c r="E412" s="1012"/>
      <c r="F412" s="1012"/>
      <c r="G412" s="1012"/>
      <c r="H412" s="1012"/>
      <c r="I412" s="1012"/>
      <c r="J412" s="1012"/>
      <c r="K412" s="1012"/>
      <c r="L412" s="1012"/>
      <c r="M412" s="1012"/>
      <c r="N412" s="1012"/>
      <c r="O412" s="1012"/>
      <c r="P412" s="1012"/>
      <c r="Q412" s="1012"/>
      <c r="R412" s="1012"/>
      <c r="S412" s="1012"/>
      <c r="T412" s="1012"/>
      <c r="U412" s="1012"/>
      <c r="V412" s="1012"/>
      <c r="W412" s="1012"/>
      <c r="X412" s="1012"/>
      <c r="Y412" s="1012"/>
      <c r="Z412" s="1012"/>
    </row>
    <row r="413" ht="15.75" customHeight="1">
      <c r="A413" s="1012"/>
      <c r="B413" s="1012"/>
      <c r="C413" s="1012"/>
      <c r="D413" s="1012"/>
      <c r="E413" s="1012"/>
      <c r="F413" s="1012"/>
      <c r="G413" s="1012"/>
      <c r="H413" s="1012"/>
      <c r="I413" s="1012"/>
      <c r="J413" s="1012"/>
      <c r="K413" s="1012"/>
      <c r="L413" s="1012"/>
      <c r="M413" s="1012"/>
      <c r="N413" s="1012"/>
      <c r="O413" s="1012"/>
      <c r="P413" s="1012"/>
      <c r="Q413" s="1012"/>
      <c r="R413" s="1012"/>
      <c r="S413" s="1012"/>
      <c r="T413" s="1012"/>
      <c r="U413" s="1012"/>
      <c r="V413" s="1012"/>
      <c r="W413" s="1012"/>
      <c r="X413" s="1012"/>
      <c r="Y413" s="1012"/>
      <c r="Z413" s="1012"/>
    </row>
    <row r="414" ht="15.75" customHeight="1">
      <c r="A414" s="1012"/>
      <c r="B414" s="1012"/>
      <c r="C414" s="1012"/>
      <c r="D414" s="1012"/>
      <c r="E414" s="1012"/>
      <c r="F414" s="1012"/>
      <c r="G414" s="1012"/>
      <c r="H414" s="1012"/>
      <c r="I414" s="1012"/>
      <c r="J414" s="1012"/>
      <c r="K414" s="1012"/>
      <c r="L414" s="1012"/>
      <c r="M414" s="1012"/>
      <c r="N414" s="1012"/>
      <c r="O414" s="1012"/>
      <c r="P414" s="1012"/>
      <c r="Q414" s="1012"/>
      <c r="R414" s="1012"/>
      <c r="S414" s="1012"/>
      <c r="T414" s="1012"/>
      <c r="U414" s="1012"/>
      <c r="V414" s="1012"/>
      <c r="W414" s="1012"/>
      <c r="X414" s="1012"/>
      <c r="Y414" s="1012"/>
      <c r="Z414" s="1012"/>
    </row>
    <row r="415" ht="15.75" customHeight="1">
      <c r="A415" s="1012"/>
      <c r="B415" s="1012"/>
      <c r="C415" s="1012"/>
      <c r="D415" s="1012"/>
      <c r="E415" s="1012"/>
      <c r="F415" s="1012"/>
      <c r="G415" s="1012"/>
      <c r="H415" s="1012"/>
      <c r="I415" s="1012"/>
      <c r="J415" s="1012"/>
      <c r="K415" s="1012"/>
      <c r="L415" s="1012"/>
      <c r="M415" s="1012"/>
      <c r="N415" s="1012"/>
      <c r="O415" s="1012"/>
      <c r="P415" s="1012"/>
      <c r="Q415" s="1012"/>
      <c r="R415" s="1012"/>
      <c r="S415" s="1012"/>
      <c r="T415" s="1012"/>
      <c r="U415" s="1012"/>
      <c r="V415" s="1012"/>
      <c r="W415" s="1012"/>
      <c r="X415" s="1012"/>
      <c r="Y415" s="1012"/>
      <c r="Z415" s="1012"/>
    </row>
    <row r="416" ht="15.75" customHeight="1">
      <c r="A416" s="1012"/>
      <c r="B416" s="1012"/>
      <c r="C416" s="1012"/>
      <c r="D416" s="1012"/>
      <c r="E416" s="1012"/>
      <c r="F416" s="1012"/>
      <c r="G416" s="1012"/>
      <c r="H416" s="1012"/>
      <c r="I416" s="1012"/>
      <c r="J416" s="1012"/>
      <c r="K416" s="1012"/>
      <c r="L416" s="1012"/>
      <c r="M416" s="1012"/>
      <c r="N416" s="1012"/>
      <c r="O416" s="1012"/>
      <c r="P416" s="1012"/>
      <c r="Q416" s="1012"/>
      <c r="R416" s="1012"/>
      <c r="S416" s="1012"/>
      <c r="T416" s="1012"/>
      <c r="U416" s="1012"/>
      <c r="V416" s="1012"/>
      <c r="W416" s="1012"/>
      <c r="X416" s="1012"/>
      <c r="Y416" s="1012"/>
      <c r="Z416" s="1012"/>
    </row>
    <row r="417" ht="15.75" customHeight="1">
      <c r="A417" s="1012"/>
      <c r="B417" s="1012"/>
      <c r="C417" s="1012"/>
      <c r="D417" s="1012"/>
      <c r="E417" s="1012"/>
      <c r="F417" s="1012"/>
      <c r="G417" s="1012"/>
      <c r="H417" s="1012"/>
      <c r="I417" s="1012"/>
      <c r="J417" s="1012"/>
      <c r="K417" s="1012"/>
      <c r="L417" s="1012"/>
      <c r="M417" s="1012"/>
      <c r="N417" s="1012"/>
      <c r="O417" s="1012"/>
      <c r="P417" s="1012"/>
      <c r="Q417" s="1012"/>
      <c r="R417" s="1012"/>
      <c r="S417" s="1012"/>
      <c r="T417" s="1012"/>
      <c r="U417" s="1012"/>
      <c r="V417" s="1012"/>
      <c r="W417" s="1012"/>
      <c r="X417" s="1012"/>
      <c r="Y417" s="1012"/>
      <c r="Z417" s="1012"/>
    </row>
    <row r="418" ht="15.75" customHeight="1">
      <c r="A418" s="1012"/>
      <c r="B418" s="1012"/>
      <c r="C418" s="1012"/>
      <c r="D418" s="1012"/>
      <c r="E418" s="1012"/>
      <c r="F418" s="1012"/>
      <c r="G418" s="1012"/>
      <c r="H418" s="1012"/>
      <c r="I418" s="1012"/>
      <c r="J418" s="1012"/>
      <c r="K418" s="1012"/>
      <c r="L418" s="1012"/>
      <c r="M418" s="1012"/>
      <c r="N418" s="1012"/>
      <c r="O418" s="1012"/>
      <c r="P418" s="1012"/>
      <c r="Q418" s="1012"/>
      <c r="R418" s="1012"/>
      <c r="S418" s="1012"/>
      <c r="T418" s="1012"/>
      <c r="U418" s="1012"/>
      <c r="V418" s="1012"/>
      <c r="W418" s="1012"/>
      <c r="X418" s="1012"/>
      <c r="Y418" s="1012"/>
      <c r="Z418" s="1012"/>
    </row>
    <row r="419" ht="15.75" customHeight="1">
      <c r="A419" s="1012"/>
      <c r="B419" s="1012"/>
      <c r="C419" s="1012"/>
      <c r="D419" s="1012"/>
      <c r="E419" s="1012"/>
      <c r="F419" s="1012"/>
      <c r="G419" s="1012"/>
      <c r="H419" s="1012"/>
      <c r="I419" s="1012"/>
      <c r="J419" s="1012"/>
      <c r="K419" s="1012"/>
      <c r="L419" s="1012"/>
      <c r="M419" s="1012"/>
      <c r="N419" s="1012"/>
      <c r="O419" s="1012"/>
      <c r="P419" s="1012"/>
      <c r="Q419" s="1012"/>
      <c r="R419" s="1012"/>
      <c r="S419" s="1012"/>
      <c r="T419" s="1012"/>
      <c r="U419" s="1012"/>
      <c r="V419" s="1012"/>
      <c r="W419" s="1012"/>
      <c r="X419" s="1012"/>
      <c r="Y419" s="1012"/>
      <c r="Z419" s="1012"/>
    </row>
    <row r="420" ht="15.75" customHeight="1">
      <c r="A420" s="1012"/>
      <c r="B420" s="1012"/>
      <c r="C420" s="1012"/>
      <c r="D420" s="1012"/>
      <c r="E420" s="1012"/>
      <c r="F420" s="1012"/>
      <c r="G420" s="1012"/>
      <c r="H420" s="1012"/>
      <c r="I420" s="1012"/>
      <c r="J420" s="1012"/>
      <c r="K420" s="1012"/>
      <c r="L420" s="1012"/>
      <c r="M420" s="1012"/>
      <c r="N420" s="1012"/>
      <c r="O420" s="1012"/>
      <c r="P420" s="1012"/>
      <c r="Q420" s="1012"/>
      <c r="R420" s="1012"/>
      <c r="S420" s="1012"/>
      <c r="T420" s="1012"/>
      <c r="U420" s="1012"/>
      <c r="V420" s="1012"/>
      <c r="W420" s="1012"/>
      <c r="X420" s="1012"/>
      <c r="Y420" s="1012"/>
      <c r="Z420" s="1012"/>
    </row>
    <row r="421" ht="15.75" customHeight="1">
      <c r="A421" s="1012"/>
      <c r="B421" s="1012"/>
      <c r="C421" s="1012"/>
      <c r="D421" s="1012"/>
      <c r="E421" s="1012"/>
      <c r="F421" s="1012"/>
      <c r="G421" s="1012"/>
      <c r="H421" s="1012"/>
      <c r="I421" s="1012"/>
      <c r="J421" s="1012"/>
      <c r="K421" s="1012"/>
      <c r="L421" s="1012"/>
      <c r="M421" s="1012"/>
      <c r="N421" s="1012"/>
      <c r="O421" s="1012"/>
      <c r="P421" s="1012"/>
      <c r="Q421" s="1012"/>
      <c r="R421" s="1012"/>
      <c r="S421" s="1012"/>
      <c r="T421" s="1012"/>
      <c r="U421" s="1012"/>
      <c r="V421" s="1012"/>
      <c r="W421" s="1012"/>
      <c r="X421" s="1012"/>
      <c r="Y421" s="1012"/>
      <c r="Z421" s="1012"/>
    </row>
    <row r="422" ht="15.75" customHeight="1">
      <c r="A422" s="1012"/>
      <c r="B422" s="1012"/>
      <c r="C422" s="1012"/>
      <c r="D422" s="1012"/>
      <c r="E422" s="1012"/>
      <c r="F422" s="1012"/>
      <c r="G422" s="1012"/>
      <c r="H422" s="1012"/>
      <c r="I422" s="1012"/>
      <c r="J422" s="1012"/>
      <c r="K422" s="1012"/>
      <c r="L422" s="1012"/>
      <c r="M422" s="1012"/>
      <c r="N422" s="1012"/>
      <c r="O422" s="1012"/>
      <c r="P422" s="1012"/>
      <c r="Q422" s="1012"/>
      <c r="R422" s="1012"/>
      <c r="S422" s="1012"/>
      <c r="T422" s="1012"/>
      <c r="U422" s="1012"/>
      <c r="V422" s="1012"/>
      <c r="W422" s="1012"/>
      <c r="X422" s="1012"/>
      <c r="Y422" s="1012"/>
      <c r="Z422" s="1012"/>
    </row>
    <row r="423" ht="15.75" customHeight="1">
      <c r="A423" s="1012"/>
      <c r="B423" s="1012"/>
      <c r="C423" s="1012"/>
      <c r="D423" s="1012"/>
      <c r="E423" s="1012"/>
      <c r="F423" s="1012"/>
      <c r="G423" s="1012"/>
      <c r="H423" s="1012"/>
      <c r="I423" s="1012"/>
      <c r="J423" s="1012"/>
      <c r="K423" s="1012"/>
      <c r="L423" s="1012"/>
      <c r="M423" s="1012"/>
      <c r="N423" s="1012"/>
      <c r="O423" s="1012"/>
      <c r="P423" s="1012"/>
      <c r="Q423" s="1012"/>
      <c r="R423" s="1012"/>
      <c r="S423" s="1012"/>
      <c r="T423" s="1012"/>
      <c r="U423" s="1012"/>
      <c r="V423" s="1012"/>
      <c r="W423" s="1012"/>
      <c r="X423" s="1012"/>
      <c r="Y423" s="1012"/>
      <c r="Z423" s="1012"/>
    </row>
    <row r="424" ht="15.75" customHeight="1">
      <c r="A424" s="1012"/>
      <c r="B424" s="1012"/>
      <c r="C424" s="1012"/>
      <c r="D424" s="1012"/>
      <c r="E424" s="1012"/>
      <c r="F424" s="1012"/>
      <c r="G424" s="1012"/>
      <c r="H424" s="1012"/>
      <c r="I424" s="1012"/>
      <c r="J424" s="1012"/>
      <c r="K424" s="1012"/>
      <c r="L424" s="1012"/>
      <c r="M424" s="1012"/>
      <c r="N424" s="1012"/>
      <c r="O424" s="1012"/>
      <c r="P424" s="1012"/>
      <c r="Q424" s="1012"/>
      <c r="R424" s="1012"/>
      <c r="S424" s="1012"/>
      <c r="T424" s="1012"/>
      <c r="U424" s="1012"/>
      <c r="V424" s="1012"/>
      <c r="W424" s="1012"/>
      <c r="X424" s="1012"/>
      <c r="Y424" s="1012"/>
      <c r="Z424" s="1012"/>
    </row>
    <row r="425" ht="15.75" customHeight="1">
      <c r="A425" s="1012"/>
      <c r="B425" s="1012"/>
      <c r="C425" s="1012"/>
      <c r="D425" s="1012"/>
      <c r="E425" s="1012"/>
      <c r="F425" s="1012"/>
      <c r="G425" s="1012"/>
      <c r="H425" s="1012"/>
      <c r="I425" s="1012"/>
      <c r="J425" s="1012"/>
      <c r="K425" s="1012"/>
      <c r="L425" s="1012"/>
      <c r="M425" s="1012"/>
      <c r="N425" s="1012"/>
      <c r="O425" s="1012"/>
      <c r="P425" s="1012"/>
      <c r="Q425" s="1012"/>
      <c r="R425" s="1012"/>
      <c r="S425" s="1012"/>
      <c r="T425" s="1012"/>
      <c r="U425" s="1012"/>
      <c r="V425" s="1012"/>
      <c r="W425" s="1012"/>
      <c r="X425" s="1012"/>
      <c r="Y425" s="1012"/>
      <c r="Z425" s="1012"/>
    </row>
    <row r="426" ht="15.75" customHeight="1">
      <c r="A426" s="1012"/>
      <c r="B426" s="1012"/>
      <c r="C426" s="1012"/>
      <c r="D426" s="1012"/>
      <c r="E426" s="1012"/>
      <c r="F426" s="1012"/>
      <c r="G426" s="1012"/>
      <c r="H426" s="1012"/>
      <c r="I426" s="1012"/>
      <c r="J426" s="1012"/>
      <c r="K426" s="1012"/>
      <c r="L426" s="1012"/>
      <c r="M426" s="1012"/>
      <c r="N426" s="1012"/>
      <c r="O426" s="1012"/>
      <c r="P426" s="1012"/>
      <c r="Q426" s="1012"/>
      <c r="R426" s="1012"/>
      <c r="S426" s="1012"/>
      <c r="T426" s="1012"/>
      <c r="U426" s="1012"/>
      <c r="V426" s="1012"/>
      <c r="W426" s="1012"/>
      <c r="X426" s="1012"/>
      <c r="Y426" s="1012"/>
      <c r="Z426" s="1012"/>
    </row>
    <row r="427" ht="15.75" customHeight="1">
      <c r="A427" s="1012"/>
      <c r="B427" s="1012"/>
      <c r="C427" s="1012"/>
      <c r="D427" s="1012"/>
      <c r="E427" s="1012"/>
      <c r="F427" s="1012"/>
      <c r="G427" s="1012"/>
      <c r="H427" s="1012"/>
      <c r="I427" s="1012"/>
      <c r="J427" s="1012"/>
      <c r="K427" s="1012"/>
      <c r="L427" s="1012"/>
      <c r="M427" s="1012"/>
      <c r="N427" s="1012"/>
      <c r="O427" s="1012"/>
      <c r="P427" s="1012"/>
      <c r="Q427" s="1012"/>
      <c r="R427" s="1012"/>
      <c r="S427" s="1012"/>
      <c r="T427" s="1012"/>
      <c r="U427" s="1012"/>
      <c r="V427" s="1012"/>
      <c r="W427" s="1012"/>
      <c r="X427" s="1012"/>
      <c r="Y427" s="1012"/>
      <c r="Z427" s="1012"/>
    </row>
    <row r="428" ht="15.75" customHeight="1">
      <c r="A428" s="1012"/>
      <c r="B428" s="1012"/>
      <c r="C428" s="1012"/>
      <c r="D428" s="1012"/>
      <c r="E428" s="1012"/>
      <c r="F428" s="1012"/>
      <c r="G428" s="1012"/>
      <c r="H428" s="1012"/>
      <c r="I428" s="1012"/>
      <c r="J428" s="1012"/>
      <c r="K428" s="1012"/>
      <c r="L428" s="1012"/>
      <c r="M428" s="1012"/>
      <c r="N428" s="1012"/>
      <c r="O428" s="1012"/>
      <c r="P428" s="1012"/>
      <c r="Q428" s="1012"/>
      <c r="R428" s="1012"/>
      <c r="S428" s="1012"/>
      <c r="T428" s="1012"/>
      <c r="U428" s="1012"/>
      <c r="V428" s="1012"/>
      <c r="W428" s="1012"/>
      <c r="X428" s="1012"/>
      <c r="Y428" s="1012"/>
      <c r="Z428" s="1012"/>
    </row>
    <row r="429" ht="15.75" customHeight="1">
      <c r="A429" s="1012"/>
      <c r="B429" s="1012"/>
      <c r="C429" s="1012"/>
      <c r="D429" s="1012"/>
      <c r="E429" s="1012"/>
      <c r="F429" s="1012"/>
      <c r="G429" s="1012"/>
      <c r="H429" s="1012"/>
      <c r="I429" s="1012"/>
      <c r="J429" s="1012"/>
      <c r="K429" s="1012"/>
      <c r="L429" s="1012"/>
      <c r="M429" s="1012"/>
      <c r="N429" s="1012"/>
      <c r="O429" s="1012"/>
      <c r="P429" s="1012"/>
      <c r="Q429" s="1012"/>
      <c r="R429" s="1012"/>
      <c r="S429" s="1012"/>
      <c r="T429" s="1012"/>
      <c r="U429" s="1012"/>
      <c r="V429" s="1012"/>
      <c r="W429" s="1012"/>
      <c r="X429" s="1012"/>
      <c r="Y429" s="1012"/>
      <c r="Z429" s="1012"/>
    </row>
    <row r="430" ht="15.75" customHeight="1">
      <c r="A430" s="1012"/>
      <c r="B430" s="1012"/>
      <c r="C430" s="1012"/>
      <c r="D430" s="1012"/>
      <c r="E430" s="1012"/>
      <c r="F430" s="1012"/>
      <c r="G430" s="1012"/>
      <c r="H430" s="1012"/>
      <c r="I430" s="1012"/>
      <c r="J430" s="1012"/>
      <c r="K430" s="1012"/>
      <c r="L430" s="1012"/>
      <c r="M430" s="1012"/>
      <c r="N430" s="1012"/>
      <c r="O430" s="1012"/>
      <c r="P430" s="1012"/>
      <c r="Q430" s="1012"/>
      <c r="R430" s="1012"/>
      <c r="S430" s="1012"/>
      <c r="T430" s="1012"/>
      <c r="U430" s="1012"/>
      <c r="V430" s="1012"/>
      <c r="W430" s="1012"/>
      <c r="X430" s="1012"/>
      <c r="Y430" s="1012"/>
      <c r="Z430" s="1012"/>
    </row>
    <row r="431" ht="15.75" customHeight="1">
      <c r="A431" s="1012"/>
      <c r="B431" s="1012"/>
      <c r="C431" s="1012"/>
      <c r="D431" s="1012"/>
      <c r="E431" s="1012"/>
      <c r="F431" s="1012"/>
      <c r="G431" s="1012"/>
      <c r="H431" s="1012"/>
      <c r="I431" s="1012"/>
      <c r="J431" s="1012"/>
      <c r="K431" s="1012"/>
      <c r="L431" s="1012"/>
      <c r="M431" s="1012"/>
      <c r="N431" s="1012"/>
      <c r="O431" s="1012"/>
      <c r="P431" s="1012"/>
      <c r="Q431" s="1012"/>
      <c r="R431" s="1012"/>
      <c r="S431" s="1012"/>
      <c r="T431" s="1012"/>
      <c r="U431" s="1012"/>
      <c r="V431" s="1012"/>
      <c r="W431" s="1012"/>
      <c r="X431" s="1012"/>
      <c r="Y431" s="1012"/>
      <c r="Z431" s="1012"/>
    </row>
    <row r="432" ht="15.75" customHeight="1">
      <c r="A432" s="1012"/>
      <c r="B432" s="1012"/>
      <c r="C432" s="1012"/>
      <c r="D432" s="1012"/>
      <c r="E432" s="1012"/>
      <c r="F432" s="1012"/>
      <c r="G432" s="1012"/>
      <c r="H432" s="1012"/>
      <c r="I432" s="1012"/>
      <c r="J432" s="1012"/>
      <c r="K432" s="1012"/>
      <c r="L432" s="1012"/>
      <c r="M432" s="1012"/>
      <c r="N432" s="1012"/>
      <c r="O432" s="1012"/>
      <c r="P432" s="1012"/>
      <c r="Q432" s="1012"/>
      <c r="R432" s="1012"/>
      <c r="S432" s="1012"/>
      <c r="T432" s="1012"/>
      <c r="U432" s="1012"/>
      <c r="V432" s="1012"/>
      <c r="W432" s="1012"/>
      <c r="X432" s="1012"/>
      <c r="Y432" s="1012"/>
      <c r="Z432" s="1012"/>
    </row>
    <row r="433" ht="15.75" customHeight="1">
      <c r="A433" s="1012"/>
      <c r="B433" s="1012"/>
      <c r="C433" s="1012"/>
      <c r="D433" s="1012"/>
      <c r="E433" s="1012"/>
      <c r="F433" s="1012"/>
      <c r="G433" s="1012"/>
      <c r="H433" s="1012"/>
      <c r="I433" s="1012"/>
      <c r="J433" s="1012"/>
      <c r="K433" s="1012"/>
      <c r="L433" s="1012"/>
      <c r="M433" s="1012"/>
      <c r="N433" s="1012"/>
      <c r="O433" s="1012"/>
      <c r="P433" s="1012"/>
      <c r="Q433" s="1012"/>
      <c r="R433" s="1012"/>
      <c r="S433" s="1012"/>
      <c r="T433" s="1012"/>
      <c r="U433" s="1012"/>
      <c r="V433" s="1012"/>
      <c r="W433" s="1012"/>
      <c r="X433" s="1012"/>
      <c r="Y433" s="1012"/>
      <c r="Z433" s="1012"/>
    </row>
    <row r="434" ht="15.75" customHeight="1">
      <c r="A434" s="1012"/>
      <c r="B434" s="1012"/>
      <c r="C434" s="1012"/>
      <c r="D434" s="1012"/>
      <c r="E434" s="1012"/>
      <c r="F434" s="1012"/>
      <c r="G434" s="1012"/>
      <c r="H434" s="1012"/>
      <c r="I434" s="1012"/>
      <c r="J434" s="1012"/>
      <c r="K434" s="1012"/>
      <c r="L434" s="1012"/>
      <c r="M434" s="1012"/>
      <c r="N434" s="1012"/>
      <c r="O434" s="1012"/>
      <c r="P434" s="1012"/>
      <c r="Q434" s="1012"/>
      <c r="R434" s="1012"/>
      <c r="S434" s="1012"/>
      <c r="T434" s="1012"/>
      <c r="U434" s="1012"/>
      <c r="V434" s="1012"/>
      <c r="W434" s="1012"/>
      <c r="X434" s="1012"/>
      <c r="Y434" s="1012"/>
      <c r="Z434" s="1012"/>
    </row>
    <row r="435" ht="15.75" customHeight="1">
      <c r="A435" s="1012"/>
      <c r="B435" s="1012"/>
      <c r="C435" s="1012"/>
      <c r="D435" s="1012"/>
      <c r="E435" s="1012"/>
      <c r="F435" s="1012"/>
      <c r="G435" s="1012"/>
      <c r="H435" s="1012"/>
      <c r="I435" s="1012"/>
      <c r="J435" s="1012"/>
      <c r="K435" s="1012"/>
      <c r="L435" s="1012"/>
      <c r="M435" s="1012"/>
      <c r="N435" s="1012"/>
      <c r="O435" s="1012"/>
      <c r="P435" s="1012"/>
      <c r="Q435" s="1012"/>
      <c r="R435" s="1012"/>
      <c r="S435" s="1012"/>
      <c r="T435" s="1012"/>
      <c r="U435" s="1012"/>
      <c r="V435" s="1012"/>
      <c r="W435" s="1012"/>
      <c r="X435" s="1012"/>
      <c r="Y435" s="1012"/>
      <c r="Z435" s="1012"/>
    </row>
    <row r="436" ht="15.75" customHeight="1">
      <c r="A436" s="1012"/>
      <c r="B436" s="1012"/>
      <c r="C436" s="1012"/>
      <c r="D436" s="1012"/>
      <c r="E436" s="1012"/>
      <c r="F436" s="1012"/>
      <c r="G436" s="1012"/>
      <c r="H436" s="1012"/>
      <c r="I436" s="1012"/>
      <c r="J436" s="1012"/>
      <c r="K436" s="1012"/>
      <c r="L436" s="1012"/>
      <c r="M436" s="1012"/>
      <c r="N436" s="1012"/>
      <c r="O436" s="1012"/>
      <c r="P436" s="1012"/>
      <c r="Q436" s="1012"/>
      <c r="R436" s="1012"/>
      <c r="S436" s="1012"/>
      <c r="T436" s="1012"/>
      <c r="U436" s="1012"/>
      <c r="V436" s="1012"/>
      <c r="W436" s="1012"/>
      <c r="X436" s="1012"/>
      <c r="Y436" s="1012"/>
      <c r="Z436" s="1012"/>
    </row>
    <row r="437" ht="15.75" customHeight="1">
      <c r="A437" s="1012"/>
      <c r="B437" s="1012"/>
      <c r="C437" s="1012"/>
      <c r="D437" s="1012"/>
      <c r="E437" s="1012"/>
      <c r="F437" s="1012"/>
      <c r="G437" s="1012"/>
      <c r="H437" s="1012"/>
      <c r="I437" s="1012"/>
      <c r="J437" s="1012"/>
      <c r="K437" s="1012"/>
      <c r="L437" s="1012"/>
      <c r="M437" s="1012"/>
      <c r="N437" s="1012"/>
      <c r="O437" s="1012"/>
      <c r="P437" s="1012"/>
      <c r="Q437" s="1012"/>
      <c r="R437" s="1012"/>
      <c r="S437" s="1012"/>
      <c r="T437" s="1012"/>
      <c r="U437" s="1012"/>
      <c r="V437" s="1012"/>
      <c r="W437" s="1012"/>
      <c r="X437" s="1012"/>
      <c r="Y437" s="1012"/>
      <c r="Z437" s="1012"/>
    </row>
    <row r="438" ht="15.75" customHeight="1">
      <c r="A438" s="1012"/>
      <c r="B438" s="1012"/>
      <c r="C438" s="1012"/>
      <c r="D438" s="1012"/>
      <c r="E438" s="1012"/>
      <c r="F438" s="1012"/>
      <c r="G438" s="1012"/>
      <c r="H438" s="1012"/>
      <c r="I438" s="1012"/>
      <c r="J438" s="1012"/>
      <c r="K438" s="1012"/>
      <c r="L438" s="1012"/>
      <c r="M438" s="1012"/>
      <c r="N438" s="1012"/>
      <c r="O438" s="1012"/>
      <c r="P438" s="1012"/>
      <c r="Q438" s="1012"/>
      <c r="R438" s="1012"/>
      <c r="S438" s="1012"/>
      <c r="T438" s="1012"/>
      <c r="U438" s="1012"/>
      <c r="V438" s="1012"/>
      <c r="W438" s="1012"/>
      <c r="X438" s="1012"/>
      <c r="Y438" s="1012"/>
      <c r="Z438" s="1012"/>
    </row>
    <row r="439" ht="15.75" customHeight="1">
      <c r="A439" s="1012"/>
      <c r="B439" s="1012"/>
      <c r="C439" s="1012"/>
      <c r="D439" s="1012"/>
      <c r="E439" s="1012"/>
      <c r="F439" s="1012"/>
      <c r="G439" s="1012"/>
      <c r="H439" s="1012"/>
      <c r="I439" s="1012"/>
      <c r="J439" s="1012"/>
      <c r="K439" s="1012"/>
      <c r="L439" s="1012"/>
      <c r="M439" s="1012"/>
      <c r="N439" s="1012"/>
      <c r="O439" s="1012"/>
      <c r="P439" s="1012"/>
      <c r="Q439" s="1012"/>
      <c r="R439" s="1012"/>
      <c r="S439" s="1012"/>
      <c r="T439" s="1012"/>
      <c r="U439" s="1012"/>
      <c r="V439" s="1012"/>
      <c r="W439" s="1012"/>
      <c r="X439" s="1012"/>
      <c r="Y439" s="1012"/>
      <c r="Z439" s="1012"/>
    </row>
    <row r="440" ht="15.75" customHeight="1">
      <c r="A440" s="1012"/>
      <c r="B440" s="1012"/>
      <c r="C440" s="1012"/>
      <c r="D440" s="1012"/>
      <c r="E440" s="1012"/>
      <c r="F440" s="1012"/>
      <c r="G440" s="1012"/>
      <c r="H440" s="1012"/>
      <c r="I440" s="1012"/>
      <c r="J440" s="1012"/>
      <c r="K440" s="1012"/>
      <c r="L440" s="1012"/>
      <c r="M440" s="1012"/>
      <c r="N440" s="1012"/>
      <c r="O440" s="1012"/>
      <c r="P440" s="1012"/>
      <c r="Q440" s="1012"/>
      <c r="R440" s="1012"/>
      <c r="S440" s="1012"/>
      <c r="T440" s="1012"/>
      <c r="U440" s="1012"/>
      <c r="V440" s="1012"/>
      <c r="W440" s="1012"/>
      <c r="X440" s="1012"/>
      <c r="Y440" s="1012"/>
      <c r="Z440" s="1012"/>
    </row>
    <row r="441" ht="15.75" customHeight="1">
      <c r="A441" s="1012"/>
      <c r="B441" s="1012"/>
      <c r="C441" s="1012"/>
      <c r="D441" s="1012"/>
      <c r="E441" s="1012"/>
      <c r="F441" s="1012"/>
      <c r="G441" s="1012"/>
      <c r="H441" s="1012"/>
      <c r="I441" s="1012"/>
      <c r="J441" s="1012"/>
      <c r="K441" s="1012"/>
      <c r="L441" s="1012"/>
      <c r="M441" s="1012"/>
      <c r="N441" s="1012"/>
      <c r="O441" s="1012"/>
      <c r="P441" s="1012"/>
      <c r="Q441" s="1012"/>
      <c r="R441" s="1012"/>
      <c r="S441" s="1012"/>
      <c r="T441" s="1012"/>
      <c r="U441" s="1012"/>
      <c r="V441" s="1012"/>
      <c r="W441" s="1012"/>
      <c r="X441" s="1012"/>
      <c r="Y441" s="1012"/>
      <c r="Z441" s="1012"/>
    </row>
    <row r="442" ht="15.75" customHeight="1">
      <c r="A442" s="1012"/>
      <c r="B442" s="1012"/>
      <c r="C442" s="1012"/>
      <c r="D442" s="1012"/>
      <c r="E442" s="1012"/>
      <c r="F442" s="1012"/>
      <c r="G442" s="1012"/>
      <c r="H442" s="1012"/>
      <c r="I442" s="1012"/>
      <c r="J442" s="1012"/>
      <c r="K442" s="1012"/>
      <c r="L442" s="1012"/>
      <c r="M442" s="1012"/>
      <c r="N442" s="1012"/>
      <c r="O442" s="1012"/>
      <c r="P442" s="1012"/>
      <c r="Q442" s="1012"/>
      <c r="R442" s="1012"/>
      <c r="S442" s="1012"/>
      <c r="T442" s="1012"/>
      <c r="U442" s="1012"/>
      <c r="V442" s="1012"/>
      <c r="W442" s="1012"/>
      <c r="X442" s="1012"/>
      <c r="Y442" s="1012"/>
      <c r="Z442" s="1012"/>
    </row>
    <row r="443" ht="15.75" customHeight="1">
      <c r="A443" s="1012"/>
      <c r="B443" s="1012"/>
      <c r="C443" s="1012"/>
      <c r="D443" s="1012"/>
      <c r="E443" s="1012"/>
      <c r="F443" s="1012"/>
      <c r="G443" s="1012"/>
      <c r="H443" s="1012"/>
      <c r="I443" s="1012"/>
      <c r="J443" s="1012"/>
      <c r="K443" s="1012"/>
      <c r="L443" s="1012"/>
      <c r="M443" s="1012"/>
      <c r="N443" s="1012"/>
      <c r="O443" s="1012"/>
      <c r="P443" s="1012"/>
      <c r="Q443" s="1012"/>
      <c r="R443" s="1012"/>
      <c r="S443" s="1012"/>
      <c r="T443" s="1012"/>
      <c r="U443" s="1012"/>
      <c r="V443" s="1012"/>
      <c r="W443" s="1012"/>
      <c r="X443" s="1012"/>
      <c r="Y443" s="1012"/>
      <c r="Z443" s="1012"/>
    </row>
    <row r="444" ht="15.75" customHeight="1">
      <c r="A444" s="1012"/>
      <c r="B444" s="1012"/>
      <c r="C444" s="1012"/>
      <c r="D444" s="1012"/>
      <c r="E444" s="1012"/>
      <c r="F444" s="1012"/>
      <c r="G444" s="1012"/>
      <c r="H444" s="1012"/>
      <c r="I444" s="1012"/>
      <c r="J444" s="1012"/>
      <c r="K444" s="1012"/>
      <c r="L444" s="1012"/>
      <c r="M444" s="1012"/>
      <c r="N444" s="1012"/>
      <c r="O444" s="1012"/>
      <c r="P444" s="1012"/>
      <c r="Q444" s="1012"/>
      <c r="R444" s="1012"/>
      <c r="S444" s="1012"/>
      <c r="T444" s="1012"/>
      <c r="U444" s="1012"/>
      <c r="V444" s="1012"/>
      <c r="W444" s="1012"/>
      <c r="X444" s="1012"/>
      <c r="Y444" s="1012"/>
      <c r="Z444" s="1012"/>
    </row>
    <row r="445" ht="15.75" customHeight="1">
      <c r="A445" s="1012"/>
      <c r="B445" s="1012"/>
      <c r="C445" s="1012"/>
      <c r="D445" s="1012"/>
      <c r="E445" s="1012"/>
      <c r="F445" s="1012"/>
      <c r="G445" s="1012"/>
      <c r="H445" s="1012"/>
      <c r="I445" s="1012"/>
      <c r="J445" s="1012"/>
      <c r="K445" s="1012"/>
      <c r="L445" s="1012"/>
      <c r="M445" s="1012"/>
      <c r="N445" s="1012"/>
      <c r="O445" s="1012"/>
      <c r="P445" s="1012"/>
      <c r="Q445" s="1012"/>
      <c r="R445" s="1012"/>
      <c r="S445" s="1012"/>
      <c r="T445" s="1012"/>
      <c r="U445" s="1012"/>
      <c r="V445" s="1012"/>
      <c r="W445" s="1012"/>
      <c r="X445" s="1012"/>
      <c r="Y445" s="1012"/>
      <c r="Z445" s="1012"/>
    </row>
    <row r="446" ht="15.75" customHeight="1">
      <c r="A446" s="1012"/>
      <c r="B446" s="1012"/>
      <c r="C446" s="1012"/>
      <c r="D446" s="1012"/>
      <c r="E446" s="1012"/>
      <c r="F446" s="1012"/>
      <c r="G446" s="1012"/>
      <c r="H446" s="1012"/>
      <c r="I446" s="1012"/>
      <c r="J446" s="1012"/>
      <c r="K446" s="1012"/>
      <c r="L446" s="1012"/>
      <c r="M446" s="1012"/>
      <c r="N446" s="1012"/>
      <c r="O446" s="1012"/>
      <c r="P446" s="1012"/>
      <c r="Q446" s="1012"/>
      <c r="R446" s="1012"/>
      <c r="S446" s="1012"/>
      <c r="T446" s="1012"/>
      <c r="U446" s="1012"/>
      <c r="V446" s="1012"/>
      <c r="W446" s="1012"/>
      <c r="X446" s="1012"/>
      <c r="Y446" s="1012"/>
      <c r="Z446" s="1012"/>
    </row>
    <row r="447" ht="15.75" customHeight="1">
      <c r="A447" s="1012"/>
      <c r="B447" s="1012"/>
      <c r="C447" s="1012"/>
      <c r="D447" s="1012"/>
      <c r="E447" s="1012"/>
      <c r="F447" s="1012"/>
      <c r="G447" s="1012"/>
      <c r="H447" s="1012"/>
      <c r="I447" s="1012"/>
      <c r="J447" s="1012"/>
      <c r="K447" s="1012"/>
      <c r="L447" s="1012"/>
      <c r="M447" s="1012"/>
      <c r="N447" s="1012"/>
      <c r="O447" s="1012"/>
      <c r="P447" s="1012"/>
      <c r="Q447" s="1012"/>
      <c r="R447" s="1012"/>
      <c r="S447" s="1012"/>
      <c r="T447" s="1012"/>
      <c r="U447" s="1012"/>
      <c r="V447" s="1012"/>
      <c r="W447" s="1012"/>
      <c r="X447" s="1012"/>
      <c r="Y447" s="1012"/>
      <c r="Z447" s="1012"/>
    </row>
    <row r="448" ht="15.75" customHeight="1">
      <c r="A448" s="1012"/>
      <c r="B448" s="1012"/>
      <c r="C448" s="1012"/>
      <c r="D448" s="1012"/>
      <c r="E448" s="1012"/>
      <c r="F448" s="1012"/>
      <c r="G448" s="1012"/>
      <c r="H448" s="1012"/>
      <c r="I448" s="1012"/>
      <c r="J448" s="1012"/>
      <c r="K448" s="1012"/>
      <c r="L448" s="1012"/>
      <c r="M448" s="1012"/>
      <c r="N448" s="1012"/>
      <c r="O448" s="1012"/>
      <c r="P448" s="1012"/>
      <c r="Q448" s="1012"/>
      <c r="R448" s="1012"/>
      <c r="S448" s="1012"/>
      <c r="T448" s="1012"/>
      <c r="U448" s="1012"/>
      <c r="V448" s="1012"/>
      <c r="W448" s="1012"/>
      <c r="X448" s="1012"/>
      <c r="Y448" s="1012"/>
      <c r="Z448" s="1012"/>
    </row>
    <row r="449" ht="15.75" customHeight="1">
      <c r="A449" s="1012"/>
      <c r="B449" s="1012"/>
      <c r="C449" s="1012"/>
      <c r="D449" s="1012"/>
      <c r="E449" s="1012"/>
      <c r="F449" s="1012"/>
      <c r="G449" s="1012"/>
      <c r="H449" s="1012"/>
      <c r="I449" s="1012"/>
      <c r="J449" s="1012"/>
      <c r="K449" s="1012"/>
      <c r="L449" s="1012"/>
      <c r="M449" s="1012"/>
      <c r="N449" s="1012"/>
      <c r="O449" s="1012"/>
      <c r="P449" s="1012"/>
      <c r="Q449" s="1012"/>
      <c r="R449" s="1012"/>
      <c r="S449" s="1012"/>
      <c r="T449" s="1012"/>
      <c r="U449" s="1012"/>
      <c r="V449" s="1012"/>
      <c r="W449" s="1012"/>
      <c r="X449" s="1012"/>
      <c r="Y449" s="1012"/>
      <c r="Z449" s="1012"/>
    </row>
    <row r="450" ht="15.75" customHeight="1">
      <c r="A450" s="1012"/>
      <c r="B450" s="1012"/>
      <c r="C450" s="1012"/>
      <c r="D450" s="1012"/>
      <c r="E450" s="1012"/>
      <c r="F450" s="1012"/>
      <c r="G450" s="1012"/>
      <c r="H450" s="1012"/>
      <c r="I450" s="1012"/>
      <c r="J450" s="1012"/>
      <c r="K450" s="1012"/>
      <c r="L450" s="1012"/>
      <c r="M450" s="1012"/>
      <c r="N450" s="1012"/>
      <c r="O450" s="1012"/>
      <c r="P450" s="1012"/>
      <c r="Q450" s="1012"/>
      <c r="R450" s="1012"/>
      <c r="S450" s="1012"/>
      <c r="T450" s="1012"/>
      <c r="U450" s="1012"/>
      <c r="V450" s="1012"/>
      <c r="W450" s="1012"/>
      <c r="X450" s="1012"/>
      <c r="Y450" s="1012"/>
      <c r="Z450" s="1012"/>
    </row>
    <row r="451" ht="15.75" customHeight="1">
      <c r="A451" s="1012"/>
      <c r="B451" s="1012"/>
      <c r="C451" s="1012"/>
      <c r="D451" s="1012"/>
      <c r="E451" s="1012"/>
      <c r="F451" s="1012"/>
      <c r="G451" s="1012"/>
      <c r="H451" s="1012"/>
      <c r="I451" s="1012"/>
      <c r="J451" s="1012"/>
      <c r="K451" s="1012"/>
      <c r="L451" s="1012"/>
      <c r="M451" s="1012"/>
      <c r="N451" s="1012"/>
      <c r="O451" s="1012"/>
      <c r="P451" s="1012"/>
      <c r="Q451" s="1012"/>
      <c r="R451" s="1012"/>
      <c r="S451" s="1012"/>
      <c r="T451" s="1012"/>
      <c r="U451" s="1012"/>
      <c r="V451" s="1012"/>
      <c r="W451" s="1012"/>
      <c r="X451" s="1012"/>
      <c r="Y451" s="1012"/>
      <c r="Z451" s="1012"/>
    </row>
    <row r="452" ht="15.75" customHeight="1">
      <c r="A452" s="1012"/>
      <c r="B452" s="1012"/>
      <c r="C452" s="1012"/>
      <c r="D452" s="1012"/>
      <c r="E452" s="1012"/>
      <c r="F452" s="1012"/>
      <c r="G452" s="1012"/>
      <c r="H452" s="1012"/>
      <c r="I452" s="1012"/>
      <c r="J452" s="1012"/>
      <c r="K452" s="1012"/>
      <c r="L452" s="1012"/>
      <c r="M452" s="1012"/>
      <c r="N452" s="1012"/>
      <c r="O452" s="1012"/>
      <c r="P452" s="1012"/>
      <c r="Q452" s="1012"/>
      <c r="R452" s="1012"/>
      <c r="S452" s="1012"/>
      <c r="T452" s="1012"/>
      <c r="U452" s="1012"/>
      <c r="V452" s="1012"/>
      <c r="W452" s="1012"/>
      <c r="X452" s="1012"/>
      <c r="Y452" s="1012"/>
      <c r="Z452" s="1012"/>
    </row>
    <row r="453" ht="15.75" customHeight="1">
      <c r="A453" s="1012"/>
      <c r="B453" s="1012"/>
      <c r="C453" s="1012"/>
      <c r="D453" s="1012"/>
      <c r="E453" s="1012"/>
      <c r="F453" s="1012"/>
      <c r="G453" s="1012"/>
      <c r="H453" s="1012"/>
      <c r="I453" s="1012"/>
      <c r="J453" s="1012"/>
      <c r="K453" s="1012"/>
      <c r="L453" s="1012"/>
      <c r="M453" s="1012"/>
      <c r="N453" s="1012"/>
      <c r="O453" s="1012"/>
      <c r="P453" s="1012"/>
      <c r="Q453" s="1012"/>
      <c r="R453" s="1012"/>
      <c r="S453" s="1012"/>
      <c r="T453" s="1012"/>
      <c r="U453" s="1012"/>
      <c r="V453" s="1012"/>
      <c r="W453" s="1012"/>
      <c r="X453" s="1012"/>
      <c r="Y453" s="1012"/>
      <c r="Z453" s="1012"/>
    </row>
    <row r="454" ht="15.75" customHeight="1">
      <c r="A454" s="1012"/>
      <c r="B454" s="1012"/>
      <c r="C454" s="1012"/>
      <c r="D454" s="1012"/>
      <c r="E454" s="1012"/>
      <c r="F454" s="1012"/>
      <c r="G454" s="1012"/>
      <c r="H454" s="1012"/>
      <c r="I454" s="1012"/>
      <c r="J454" s="1012"/>
      <c r="K454" s="1012"/>
      <c r="L454" s="1012"/>
      <c r="M454" s="1012"/>
      <c r="N454" s="1012"/>
      <c r="O454" s="1012"/>
      <c r="P454" s="1012"/>
      <c r="Q454" s="1012"/>
      <c r="R454" s="1012"/>
      <c r="S454" s="1012"/>
      <c r="T454" s="1012"/>
      <c r="U454" s="1012"/>
      <c r="V454" s="1012"/>
      <c r="W454" s="1012"/>
      <c r="X454" s="1012"/>
      <c r="Y454" s="1012"/>
      <c r="Z454" s="1012"/>
    </row>
    <row r="455" ht="15.75" customHeight="1">
      <c r="A455" s="1012"/>
      <c r="B455" s="1012"/>
      <c r="C455" s="1012"/>
      <c r="D455" s="1012"/>
      <c r="E455" s="1012"/>
      <c r="F455" s="1012"/>
      <c r="G455" s="1012"/>
      <c r="H455" s="1012"/>
      <c r="I455" s="1012"/>
      <c r="J455" s="1012"/>
      <c r="K455" s="1012"/>
      <c r="L455" s="1012"/>
      <c r="M455" s="1012"/>
      <c r="N455" s="1012"/>
      <c r="O455" s="1012"/>
      <c r="P455" s="1012"/>
      <c r="Q455" s="1012"/>
      <c r="R455" s="1012"/>
      <c r="S455" s="1012"/>
      <c r="T455" s="1012"/>
      <c r="U455" s="1012"/>
      <c r="V455" s="1012"/>
      <c r="W455" s="1012"/>
      <c r="X455" s="1012"/>
      <c r="Y455" s="1012"/>
      <c r="Z455" s="1012"/>
    </row>
    <row r="456" ht="15.75" customHeight="1">
      <c r="A456" s="1012"/>
      <c r="B456" s="1012"/>
      <c r="C456" s="1012"/>
      <c r="D456" s="1012"/>
      <c r="E456" s="1012"/>
      <c r="F456" s="1012"/>
      <c r="G456" s="1012"/>
      <c r="H456" s="1012"/>
      <c r="I456" s="1012"/>
      <c r="J456" s="1012"/>
      <c r="K456" s="1012"/>
      <c r="L456" s="1012"/>
      <c r="M456" s="1012"/>
      <c r="N456" s="1012"/>
      <c r="O456" s="1012"/>
      <c r="P456" s="1012"/>
      <c r="Q456" s="1012"/>
      <c r="R456" s="1012"/>
      <c r="S456" s="1012"/>
      <c r="T456" s="1012"/>
      <c r="U456" s="1012"/>
      <c r="V456" s="1012"/>
      <c r="W456" s="1012"/>
      <c r="X456" s="1012"/>
      <c r="Y456" s="1012"/>
      <c r="Z456" s="1012"/>
    </row>
    <row r="457" ht="15.75" customHeight="1">
      <c r="A457" s="1012"/>
      <c r="B457" s="1012"/>
      <c r="C457" s="1012"/>
      <c r="D457" s="1012"/>
      <c r="E457" s="1012"/>
      <c r="F457" s="1012"/>
      <c r="G457" s="1012"/>
      <c r="H457" s="1012"/>
      <c r="I457" s="1012"/>
      <c r="J457" s="1012"/>
      <c r="K457" s="1012"/>
      <c r="L457" s="1012"/>
      <c r="M457" s="1012"/>
      <c r="N457" s="1012"/>
      <c r="O457" s="1012"/>
      <c r="P457" s="1012"/>
      <c r="Q457" s="1012"/>
      <c r="R457" s="1012"/>
      <c r="S457" s="1012"/>
      <c r="T457" s="1012"/>
      <c r="U457" s="1012"/>
      <c r="V457" s="1012"/>
      <c r="W457" s="1012"/>
      <c r="X457" s="1012"/>
      <c r="Y457" s="1012"/>
      <c r="Z457" s="1012"/>
    </row>
    <row r="458" ht="15.75" customHeight="1">
      <c r="A458" s="1012"/>
      <c r="B458" s="1012"/>
      <c r="C458" s="1012"/>
      <c r="D458" s="1012"/>
      <c r="E458" s="1012"/>
      <c r="F458" s="1012"/>
      <c r="G458" s="1012"/>
      <c r="H458" s="1012"/>
      <c r="I458" s="1012"/>
      <c r="J458" s="1012"/>
      <c r="K458" s="1012"/>
      <c r="L458" s="1012"/>
      <c r="M458" s="1012"/>
      <c r="N458" s="1012"/>
      <c r="O458" s="1012"/>
      <c r="P458" s="1012"/>
      <c r="Q458" s="1012"/>
      <c r="R458" s="1012"/>
      <c r="S458" s="1012"/>
      <c r="T458" s="1012"/>
      <c r="U458" s="1012"/>
      <c r="V458" s="1012"/>
      <c r="W458" s="1012"/>
      <c r="X458" s="1012"/>
      <c r="Y458" s="1012"/>
      <c r="Z458" s="1012"/>
    </row>
    <row r="459" ht="15.75" customHeight="1">
      <c r="A459" s="1012"/>
      <c r="B459" s="1012"/>
      <c r="C459" s="1012"/>
      <c r="D459" s="1012"/>
      <c r="E459" s="1012"/>
      <c r="F459" s="1012"/>
      <c r="G459" s="1012"/>
      <c r="H459" s="1012"/>
      <c r="I459" s="1012"/>
      <c r="J459" s="1012"/>
      <c r="K459" s="1012"/>
      <c r="L459" s="1012"/>
      <c r="M459" s="1012"/>
      <c r="N459" s="1012"/>
      <c r="O459" s="1012"/>
      <c r="P459" s="1012"/>
      <c r="Q459" s="1012"/>
      <c r="R459" s="1012"/>
      <c r="S459" s="1012"/>
      <c r="T459" s="1012"/>
      <c r="U459" s="1012"/>
      <c r="V459" s="1012"/>
      <c r="W459" s="1012"/>
      <c r="X459" s="1012"/>
      <c r="Y459" s="1012"/>
      <c r="Z459" s="1012"/>
    </row>
    <row r="460" ht="15.75" customHeight="1">
      <c r="A460" s="1012"/>
      <c r="B460" s="1012"/>
      <c r="C460" s="1012"/>
      <c r="D460" s="1012"/>
      <c r="E460" s="1012"/>
      <c r="F460" s="1012"/>
      <c r="G460" s="1012"/>
      <c r="H460" s="1012"/>
      <c r="I460" s="1012"/>
      <c r="J460" s="1012"/>
      <c r="K460" s="1012"/>
      <c r="L460" s="1012"/>
      <c r="M460" s="1012"/>
      <c r="N460" s="1012"/>
      <c r="O460" s="1012"/>
      <c r="P460" s="1012"/>
      <c r="Q460" s="1012"/>
      <c r="R460" s="1012"/>
      <c r="S460" s="1012"/>
      <c r="T460" s="1012"/>
      <c r="U460" s="1012"/>
      <c r="V460" s="1012"/>
      <c r="W460" s="1012"/>
      <c r="X460" s="1012"/>
      <c r="Y460" s="1012"/>
      <c r="Z460" s="1012"/>
    </row>
    <row r="461" ht="15.75" customHeight="1">
      <c r="A461" s="1012"/>
      <c r="B461" s="1012"/>
      <c r="C461" s="1012"/>
      <c r="D461" s="1012"/>
      <c r="E461" s="1012"/>
      <c r="F461" s="1012"/>
      <c r="G461" s="1012"/>
      <c r="H461" s="1012"/>
      <c r="I461" s="1012"/>
      <c r="J461" s="1012"/>
      <c r="K461" s="1012"/>
      <c r="L461" s="1012"/>
      <c r="M461" s="1012"/>
      <c r="N461" s="1012"/>
      <c r="O461" s="1012"/>
      <c r="P461" s="1012"/>
      <c r="Q461" s="1012"/>
      <c r="R461" s="1012"/>
      <c r="S461" s="1012"/>
      <c r="T461" s="1012"/>
      <c r="U461" s="1012"/>
      <c r="V461" s="1012"/>
      <c r="W461" s="1012"/>
      <c r="X461" s="1012"/>
      <c r="Y461" s="1012"/>
      <c r="Z461" s="1012"/>
    </row>
    <row r="462" ht="15.75" customHeight="1">
      <c r="A462" s="1012"/>
      <c r="B462" s="1012"/>
      <c r="C462" s="1012"/>
      <c r="D462" s="1012"/>
      <c r="E462" s="1012"/>
      <c r="F462" s="1012"/>
      <c r="G462" s="1012"/>
      <c r="H462" s="1012"/>
      <c r="I462" s="1012"/>
      <c r="J462" s="1012"/>
      <c r="K462" s="1012"/>
      <c r="L462" s="1012"/>
      <c r="M462" s="1012"/>
      <c r="N462" s="1012"/>
      <c r="O462" s="1012"/>
      <c r="P462" s="1012"/>
      <c r="Q462" s="1012"/>
      <c r="R462" s="1012"/>
      <c r="S462" s="1012"/>
      <c r="T462" s="1012"/>
      <c r="U462" s="1012"/>
      <c r="V462" s="1012"/>
      <c r="W462" s="1012"/>
      <c r="X462" s="1012"/>
      <c r="Y462" s="1012"/>
      <c r="Z462" s="1012"/>
    </row>
    <row r="463" ht="15.75" customHeight="1">
      <c r="A463" s="1012"/>
      <c r="B463" s="1012"/>
      <c r="C463" s="1012"/>
      <c r="D463" s="1012"/>
      <c r="E463" s="1012"/>
      <c r="F463" s="1012"/>
      <c r="G463" s="1012"/>
      <c r="H463" s="1012"/>
      <c r="I463" s="1012"/>
      <c r="J463" s="1012"/>
      <c r="K463" s="1012"/>
      <c r="L463" s="1012"/>
      <c r="M463" s="1012"/>
      <c r="N463" s="1012"/>
      <c r="O463" s="1012"/>
      <c r="P463" s="1012"/>
      <c r="Q463" s="1012"/>
      <c r="R463" s="1012"/>
      <c r="S463" s="1012"/>
      <c r="T463" s="1012"/>
      <c r="U463" s="1012"/>
      <c r="V463" s="1012"/>
      <c r="W463" s="1012"/>
      <c r="X463" s="1012"/>
      <c r="Y463" s="1012"/>
      <c r="Z463" s="1012"/>
    </row>
    <row r="464" ht="15.75" customHeight="1">
      <c r="A464" s="1012"/>
      <c r="B464" s="1012"/>
      <c r="C464" s="1012"/>
      <c r="D464" s="1012"/>
      <c r="E464" s="1012"/>
      <c r="F464" s="1012"/>
      <c r="G464" s="1012"/>
      <c r="H464" s="1012"/>
      <c r="I464" s="1012"/>
      <c r="J464" s="1012"/>
      <c r="K464" s="1012"/>
      <c r="L464" s="1012"/>
      <c r="M464" s="1012"/>
      <c r="N464" s="1012"/>
      <c r="O464" s="1012"/>
      <c r="P464" s="1012"/>
      <c r="Q464" s="1012"/>
      <c r="R464" s="1012"/>
      <c r="S464" s="1012"/>
      <c r="T464" s="1012"/>
      <c r="U464" s="1012"/>
      <c r="V464" s="1012"/>
      <c r="W464" s="1012"/>
      <c r="X464" s="1012"/>
      <c r="Y464" s="1012"/>
      <c r="Z464" s="1012"/>
    </row>
    <row r="465" ht="15.75" customHeight="1">
      <c r="A465" s="1012"/>
      <c r="B465" s="1012"/>
      <c r="C465" s="1012"/>
      <c r="D465" s="1012"/>
      <c r="E465" s="1012"/>
      <c r="F465" s="1012"/>
      <c r="G465" s="1012"/>
      <c r="H465" s="1012"/>
      <c r="I465" s="1012"/>
      <c r="J465" s="1012"/>
      <c r="K465" s="1012"/>
      <c r="L465" s="1012"/>
      <c r="M465" s="1012"/>
      <c r="N465" s="1012"/>
      <c r="O465" s="1012"/>
      <c r="P465" s="1012"/>
      <c r="Q465" s="1012"/>
      <c r="R465" s="1012"/>
      <c r="S465" s="1012"/>
      <c r="T465" s="1012"/>
      <c r="U465" s="1012"/>
      <c r="V465" s="1012"/>
      <c r="W465" s="1012"/>
      <c r="X465" s="1012"/>
      <c r="Y465" s="1012"/>
      <c r="Z465" s="1012"/>
    </row>
    <row r="466" ht="15.75" customHeight="1">
      <c r="A466" s="1012"/>
      <c r="B466" s="1012"/>
      <c r="C466" s="1012"/>
      <c r="D466" s="1012"/>
      <c r="E466" s="1012"/>
      <c r="F466" s="1012"/>
      <c r="G466" s="1012"/>
      <c r="H466" s="1012"/>
      <c r="I466" s="1012"/>
      <c r="J466" s="1012"/>
      <c r="K466" s="1012"/>
      <c r="L466" s="1012"/>
      <c r="M466" s="1012"/>
      <c r="N466" s="1012"/>
      <c r="O466" s="1012"/>
      <c r="P466" s="1012"/>
      <c r="Q466" s="1012"/>
      <c r="R466" s="1012"/>
      <c r="S466" s="1012"/>
      <c r="T466" s="1012"/>
      <c r="U466" s="1012"/>
      <c r="V466" s="1012"/>
      <c r="W466" s="1012"/>
      <c r="X466" s="1012"/>
      <c r="Y466" s="1012"/>
      <c r="Z466" s="1012"/>
    </row>
    <row r="467" ht="15.75" customHeight="1">
      <c r="A467" s="1012"/>
      <c r="B467" s="1012"/>
      <c r="C467" s="1012"/>
      <c r="D467" s="1012"/>
      <c r="E467" s="1012"/>
      <c r="F467" s="1012"/>
      <c r="G467" s="1012"/>
      <c r="H467" s="1012"/>
      <c r="I467" s="1012"/>
      <c r="J467" s="1012"/>
      <c r="K467" s="1012"/>
      <c r="L467" s="1012"/>
      <c r="M467" s="1012"/>
      <c r="N467" s="1012"/>
      <c r="O467" s="1012"/>
      <c r="P467" s="1012"/>
      <c r="Q467" s="1012"/>
      <c r="R467" s="1012"/>
      <c r="S467" s="1012"/>
      <c r="T467" s="1012"/>
      <c r="U467" s="1012"/>
      <c r="V467" s="1012"/>
      <c r="W467" s="1012"/>
      <c r="X467" s="1012"/>
      <c r="Y467" s="1012"/>
      <c r="Z467" s="1012"/>
    </row>
    <row r="468" ht="15.75" customHeight="1">
      <c r="A468" s="1012"/>
      <c r="B468" s="1012"/>
      <c r="C468" s="1012"/>
      <c r="D468" s="1012"/>
      <c r="E468" s="1012"/>
      <c r="F468" s="1012"/>
      <c r="G468" s="1012"/>
      <c r="H468" s="1012"/>
      <c r="I468" s="1012"/>
      <c r="J468" s="1012"/>
      <c r="K468" s="1012"/>
      <c r="L468" s="1012"/>
      <c r="M468" s="1012"/>
      <c r="N468" s="1012"/>
      <c r="O468" s="1012"/>
      <c r="P468" s="1012"/>
      <c r="Q468" s="1012"/>
      <c r="R468" s="1012"/>
      <c r="S468" s="1012"/>
      <c r="T468" s="1012"/>
      <c r="U468" s="1012"/>
      <c r="V468" s="1012"/>
      <c r="W468" s="1012"/>
      <c r="X468" s="1012"/>
      <c r="Y468" s="1012"/>
      <c r="Z468" s="1012"/>
    </row>
    <row r="469" ht="15.75" customHeight="1">
      <c r="A469" s="1012"/>
      <c r="B469" s="1012"/>
      <c r="C469" s="1012"/>
      <c r="D469" s="1012"/>
      <c r="E469" s="1012"/>
      <c r="F469" s="1012"/>
      <c r="G469" s="1012"/>
      <c r="H469" s="1012"/>
      <c r="I469" s="1012"/>
      <c r="J469" s="1012"/>
      <c r="K469" s="1012"/>
      <c r="L469" s="1012"/>
      <c r="M469" s="1012"/>
      <c r="N469" s="1012"/>
      <c r="O469" s="1012"/>
      <c r="P469" s="1012"/>
      <c r="Q469" s="1012"/>
      <c r="R469" s="1012"/>
      <c r="S469" s="1012"/>
      <c r="T469" s="1012"/>
      <c r="U469" s="1012"/>
      <c r="V469" s="1012"/>
      <c r="W469" s="1012"/>
      <c r="X469" s="1012"/>
      <c r="Y469" s="1012"/>
      <c r="Z469" s="1012"/>
    </row>
    <row r="470" ht="15.75" customHeight="1">
      <c r="A470" s="1012"/>
      <c r="B470" s="1012"/>
      <c r="C470" s="1012"/>
      <c r="D470" s="1012"/>
      <c r="E470" s="1012"/>
      <c r="F470" s="1012"/>
      <c r="G470" s="1012"/>
      <c r="H470" s="1012"/>
      <c r="I470" s="1012"/>
      <c r="J470" s="1012"/>
      <c r="K470" s="1012"/>
      <c r="L470" s="1012"/>
      <c r="M470" s="1012"/>
      <c r="N470" s="1012"/>
      <c r="O470" s="1012"/>
      <c r="P470" s="1012"/>
      <c r="Q470" s="1012"/>
      <c r="R470" s="1012"/>
      <c r="S470" s="1012"/>
      <c r="T470" s="1012"/>
      <c r="U470" s="1012"/>
      <c r="V470" s="1012"/>
      <c r="W470" s="1012"/>
      <c r="X470" s="1012"/>
      <c r="Y470" s="1012"/>
      <c r="Z470" s="1012"/>
    </row>
    <row r="471" ht="15.75" customHeight="1">
      <c r="A471" s="1012"/>
      <c r="B471" s="1012"/>
      <c r="C471" s="1012"/>
      <c r="D471" s="1012"/>
      <c r="E471" s="1012"/>
      <c r="F471" s="1012"/>
      <c r="G471" s="1012"/>
      <c r="H471" s="1012"/>
      <c r="I471" s="1012"/>
      <c r="J471" s="1012"/>
      <c r="K471" s="1012"/>
      <c r="L471" s="1012"/>
      <c r="M471" s="1012"/>
      <c r="N471" s="1012"/>
      <c r="O471" s="1012"/>
      <c r="P471" s="1012"/>
      <c r="Q471" s="1012"/>
      <c r="R471" s="1012"/>
      <c r="S471" s="1012"/>
      <c r="T471" s="1012"/>
      <c r="U471" s="1012"/>
      <c r="V471" s="1012"/>
      <c r="W471" s="1012"/>
      <c r="X471" s="1012"/>
      <c r="Y471" s="1012"/>
      <c r="Z471" s="1012"/>
    </row>
    <row r="472" ht="15.75" customHeight="1">
      <c r="A472" s="1012"/>
      <c r="B472" s="1012"/>
      <c r="C472" s="1012"/>
      <c r="D472" s="1012"/>
      <c r="E472" s="1012"/>
      <c r="F472" s="1012"/>
      <c r="G472" s="1012"/>
      <c r="H472" s="1012"/>
      <c r="I472" s="1012"/>
      <c r="J472" s="1012"/>
      <c r="K472" s="1012"/>
      <c r="L472" s="1012"/>
      <c r="M472" s="1012"/>
      <c r="N472" s="1012"/>
      <c r="O472" s="1012"/>
      <c r="P472" s="1012"/>
      <c r="Q472" s="1012"/>
      <c r="R472" s="1012"/>
      <c r="S472" s="1012"/>
      <c r="T472" s="1012"/>
      <c r="U472" s="1012"/>
      <c r="V472" s="1012"/>
      <c r="W472" s="1012"/>
      <c r="X472" s="1012"/>
      <c r="Y472" s="1012"/>
      <c r="Z472" s="1012"/>
    </row>
    <row r="473" ht="15.75" customHeight="1">
      <c r="A473" s="1012"/>
      <c r="B473" s="1012"/>
      <c r="C473" s="1012"/>
      <c r="D473" s="1012"/>
      <c r="E473" s="1012"/>
      <c r="F473" s="1012"/>
      <c r="G473" s="1012"/>
      <c r="H473" s="1012"/>
      <c r="I473" s="1012"/>
      <c r="J473" s="1012"/>
      <c r="K473" s="1012"/>
      <c r="L473" s="1012"/>
      <c r="M473" s="1012"/>
      <c r="N473" s="1012"/>
      <c r="O473" s="1012"/>
      <c r="P473" s="1012"/>
      <c r="Q473" s="1012"/>
      <c r="R473" s="1012"/>
      <c r="S473" s="1012"/>
      <c r="T473" s="1012"/>
      <c r="U473" s="1012"/>
      <c r="V473" s="1012"/>
      <c r="W473" s="1012"/>
      <c r="X473" s="1012"/>
      <c r="Y473" s="1012"/>
      <c r="Z473" s="1012"/>
    </row>
    <row r="474" ht="15.75" customHeight="1">
      <c r="A474" s="1012"/>
      <c r="B474" s="1012"/>
      <c r="C474" s="1012"/>
      <c r="D474" s="1012"/>
      <c r="E474" s="1012"/>
      <c r="F474" s="1012"/>
      <c r="G474" s="1012"/>
      <c r="H474" s="1012"/>
      <c r="I474" s="1012"/>
      <c r="J474" s="1012"/>
      <c r="K474" s="1012"/>
      <c r="L474" s="1012"/>
      <c r="M474" s="1012"/>
      <c r="N474" s="1012"/>
      <c r="O474" s="1012"/>
      <c r="P474" s="1012"/>
      <c r="Q474" s="1012"/>
      <c r="R474" s="1012"/>
      <c r="S474" s="1012"/>
      <c r="T474" s="1012"/>
      <c r="U474" s="1012"/>
      <c r="V474" s="1012"/>
      <c r="W474" s="1012"/>
      <c r="X474" s="1012"/>
      <c r="Y474" s="1012"/>
      <c r="Z474" s="1012"/>
    </row>
    <row r="475" ht="15.75" customHeight="1">
      <c r="A475" s="1012"/>
      <c r="B475" s="1012"/>
      <c r="C475" s="1012"/>
      <c r="D475" s="1012"/>
      <c r="E475" s="1012"/>
      <c r="F475" s="1012"/>
      <c r="G475" s="1012"/>
      <c r="H475" s="1012"/>
      <c r="I475" s="1012"/>
      <c r="J475" s="1012"/>
      <c r="K475" s="1012"/>
      <c r="L475" s="1012"/>
      <c r="M475" s="1012"/>
      <c r="N475" s="1012"/>
      <c r="O475" s="1012"/>
      <c r="P475" s="1012"/>
      <c r="Q475" s="1012"/>
      <c r="R475" s="1012"/>
      <c r="S475" s="1012"/>
      <c r="T475" s="1012"/>
      <c r="U475" s="1012"/>
      <c r="V475" s="1012"/>
      <c r="W475" s="1012"/>
      <c r="X475" s="1012"/>
      <c r="Y475" s="1012"/>
      <c r="Z475" s="1012"/>
    </row>
    <row r="476" ht="15.75" customHeight="1">
      <c r="A476" s="1012"/>
      <c r="B476" s="1012"/>
      <c r="C476" s="1012"/>
      <c r="D476" s="1012"/>
      <c r="E476" s="1012"/>
      <c r="F476" s="1012"/>
      <c r="G476" s="1012"/>
      <c r="H476" s="1012"/>
      <c r="I476" s="1012"/>
      <c r="J476" s="1012"/>
      <c r="K476" s="1012"/>
      <c r="L476" s="1012"/>
      <c r="M476" s="1012"/>
      <c r="N476" s="1012"/>
      <c r="O476" s="1012"/>
      <c r="P476" s="1012"/>
      <c r="Q476" s="1012"/>
      <c r="R476" s="1012"/>
      <c r="S476" s="1012"/>
      <c r="T476" s="1012"/>
      <c r="U476" s="1012"/>
      <c r="V476" s="1012"/>
      <c r="W476" s="1012"/>
      <c r="X476" s="1012"/>
      <c r="Y476" s="1012"/>
      <c r="Z476" s="1012"/>
    </row>
    <row r="477" ht="15.75" customHeight="1">
      <c r="A477" s="1012"/>
      <c r="B477" s="1012"/>
      <c r="C477" s="1012"/>
      <c r="D477" s="1012"/>
      <c r="E477" s="1012"/>
      <c r="F477" s="1012"/>
      <c r="G477" s="1012"/>
      <c r="H477" s="1012"/>
      <c r="I477" s="1012"/>
      <c r="J477" s="1012"/>
      <c r="K477" s="1012"/>
      <c r="L477" s="1012"/>
      <c r="M477" s="1012"/>
      <c r="N477" s="1012"/>
      <c r="O477" s="1012"/>
      <c r="P477" s="1012"/>
      <c r="Q477" s="1012"/>
      <c r="R477" s="1012"/>
      <c r="S477" s="1012"/>
      <c r="T477" s="1012"/>
      <c r="U477" s="1012"/>
      <c r="V477" s="1012"/>
      <c r="W477" s="1012"/>
      <c r="X477" s="1012"/>
      <c r="Y477" s="1012"/>
      <c r="Z477" s="1012"/>
    </row>
    <row r="478" ht="15.75" customHeight="1">
      <c r="A478" s="1012"/>
      <c r="B478" s="1012"/>
      <c r="C478" s="1012"/>
      <c r="D478" s="1012"/>
      <c r="E478" s="1012"/>
      <c r="F478" s="1012"/>
      <c r="G478" s="1012"/>
      <c r="H478" s="1012"/>
      <c r="I478" s="1012"/>
      <c r="J478" s="1012"/>
      <c r="K478" s="1012"/>
      <c r="L478" s="1012"/>
      <c r="M478" s="1012"/>
      <c r="N478" s="1012"/>
      <c r="O478" s="1012"/>
      <c r="P478" s="1012"/>
      <c r="Q478" s="1012"/>
      <c r="R478" s="1012"/>
      <c r="S478" s="1012"/>
      <c r="T478" s="1012"/>
      <c r="U478" s="1012"/>
      <c r="V478" s="1012"/>
      <c r="W478" s="1012"/>
      <c r="X478" s="1012"/>
      <c r="Y478" s="1012"/>
      <c r="Z478" s="1012"/>
    </row>
    <row r="479" ht="15.75" customHeight="1">
      <c r="A479" s="1012"/>
      <c r="B479" s="1012"/>
      <c r="C479" s="1012"/>
      <c r="D479" s="1012"/>
      <c r="E479" s="1012"/>
      <c r="F479" s="1012"/>
      <c r="G479" s="1012"/>
      <c r="H479" s="1012"/>
      <c r="I479" s="1012"/>
      <c r="J479" s="1012"/>
      <c r="K479" s="1012"/>
      <c r="L479" s="1012"/>
      <c r="M479" s="1012"/>
      <c r="N479" s="1012"/>
      <c r="O479" s="1012"/>
      <c r="P479" s="1012"/>
      <c r="Q479" s="1012"/>
      <c r="R479" s="1012"/>
      <c r="S479" s="1012"/>
      <c r="T479" s="1012"/>
      <c r="U479" s="1012"/>
      <c r="V479" s="1012"/>
      <c r="W479" s="1012"/>
      <c r="X479" s="1012"/>
      <c r="Y479" s="1012"/>
      <c r="Z479" s="1012"/>
    </row>
    <row r="480" ht="15.75" customHeight="1">
      <c r="A480" s="1012"/>
      <c r="B480" s="1012"/>
      <c r="C480" s="1012"/>
      <c r="D480" s="1012"/>
      <c r="E480" s="1012"/>
      <c r="F480" s="1012"/>
      <c r="G480" s="1012"/>
      <c r="H480" s="1012"/>
      <c r="I480" s="1012"/>
      <c r="J480" s="1012"/>
      <c r="K480" s="1012"/>
      <c r="L480" s="1012"/>
      <c r="M480" s="1012"/>
      <c r="N480" s="1012"/>
      <c r="O480" s="1012"/>
      <c r="P480" s="1012"/>
      <c r="Q480" s="1012"/>
      <c r="R480" s="1012"/>
      <c r="S480" s="1012"/>
      <c r="T480" s="1012"/>
      <c r="U480" s="1012"/>
      <c r="V480" s="1012"/>
      <c r="W480" s="1012"/>
      <c r="X480" s="1012"/>
      <c r="Y480" s="1012"/>
      <c r="Z480" s="1012"/>
    </row>
    <row r="481" ht="15.75" customHeight="1">
      <c r="A481" s="1012"/>
      <c r="B481" s="1012"/>
      <c r="C481" s="1012"/>
      <c r="D481" s="1012"/>
      <c r="E481" s="1012"/>
      <c r="F481" s="1012"/>
      <c r="G481" s="1012"/>
      <c r="H481" s="1012"/>
      <c r="I481" s="1012"/>
      <c r="J481" s="1012"/>
      <c r="K481" s="1012"/>
      <c r="L481" s="1012"/>
      <c r="M481" s="1012"/>
      <c r="N481" s="1012"/>
      <c r="O481" s="1012"/>
      <c r="P481" s="1012"/>
      <c r="Q481" s="1012"/>
      <c r="R481" s="1012"/>
      <c r="S481" s="1012"/>
      <c r="T481" s="1012"/>
      <c r="U481" s="1012"/>
      <c r="V481" s="1012"/>
      <c r="W481" s="1012"/>
      <c r="X481" s="1012"/>
      <c r="Y481" s="1012"/>
      <c r="Z481" s="1012"/>
    </row>
    <row r="482" ht="15.75" customHeight="1">
      <c r="A482" s="1012"/>
      <c r="B482" s="1012"/>
      <c r="C482" s="1012"/>
      <c r="D482" s="1012"/>
      <c r="E482" s="1012"/>
      <c r="F482" s="1012"/>
      <c r="G482" s="1012"/>
      <c r="H482" s="1012"/>
      <c r="I482" s="1012"/>
      <c r="J482" s="1012"/>
      <c r="K482" s="1012"/>
      <c r="L482" s="1012"/>
      <c r="M482" s="1012"/>
      <c r="N482" s="1012"/>
      <c r="O482" s="1012"/>
      <c r="P482" s="1012"/>
      <c r="Q482" s="1012"/>
      <c r="R482" s="1012"/>
      <c r="S482" s="1012"/>
      <c r="T482" s="1012"/>
      <c r="U482" s="1012"/>
      <c r="V482" s="1012"/>
      <c r="W482" s="1012"/>
      <c r="X482" s="1012"/>
      <c r="Y482" s="1012"/>
      <c r="Z482" s="1012"/>
    </row>
    <row r="483" ht="15.75" customHeight="1">
      <c r="A483" s="1012"/>
      <c r="B483" s="1012"/>
      <c r="C483" s="1012"/>
      <c r="D483" s="1012"/>
      <c r="E483" s="1012"/>
      <c r="F483" s="1012"/>
      <c r="G483" s="1012"/>
      <c r="H483" s="1012"/>
      <c r="I483" s="1012"/>
      <c r="J483" s="1012"/>
      <c r="K483" s="1012"/>
      <c r="L483" s="1012"/>
      <c r="M483" s="1012"/>
      <c r="N483" s="1012"/>
      <c r="O483" s="1012"/>
      <c r="P483" s="1012"/>
      <c r="Q483" s="1012"/>
      <c r="R483" s="1012"/>
      <c r="S483" s="1012"/>
      <c r="T483" s="1012"/>
      <c r="U483" s="1012"/>
      <c r="V483" s="1012"/>
      <c r="W483" s="1012"/>
      <c r="X483" s="1012"/>
      <c r="Y483" s="1012"/>
      <c r="Z483" s="1012"/>
    </row>
    <row r="484" ht="15.75" customHeight="1">
      <c r="A484" s="1012"/>
      <c r="B484" s="1012"/>
      <c r="C484" s="1012"/>
      <c r="D484" s="1012"/>
      <c r="E484" s="1012"/>
      <c r="F484" s="1012"/>
      <c r="G484" s="1012"/>
      <c r="H484" s="1012"/>
      <c r="I484" s="1012"/>
      <c r="J484" s="1012"/>
      <c r="K484" s="1012"/>
      <c r="L484" s="1012"/>
      <c r="M484" s="1012"/>
      <c r="N484" s="1012"/>
      <c r="O484" s="1012"/>
      <c r="P484" s="1012"/>
      <c r="Q484" s="1012"/>
      <c r="R484" s="1012"/>
      <c r="S484" s="1012"/>
      <c r="T484" s="1012"/>
      <c r="U484" s="1012"/>
      <c r="V484" s="1012"/>
      <c r="W484" s="1012"/>
      <c r="X484" s="1012"/>
      <c r="Y484" s="1012"/>
      <c r="Z484" s="1012"/>
    </row>
    <row r="485" ht="15.75" customHeight="1">
      <c r="A485" s="1012"/>
      <c r="B485" s="1012"/>
      <c r="C485" s="1012"/>
      <c r="D485" s="1012"/>
      <c r="E485" s="1012"/>
      <c r="F485" s="1012"/>
      <c r="G485" s="1012"/>
      <c r="H485" s="1012"/>
      <c r="I485" s="1012"/>
      <c r="J485" s="1012"/>
      <c r="K485" s="1012"/>
      <c r="L485" s="1012"/>
      <c r="M485" s="1012"/>
      <c r="N485" s="1012"/>
      <c r="O485" s="1012"/>
      <c r="P485" s="1012"/>
      <c r="Q485" s="1012"/>
      <c r="R485" s="1012"/>
      <c r="S485" s="1012"/>
      <c r="T485" s="1012"/>
      <c r="U485" s="1012"/>
      <c r="V485" s="1012"/>
      <c r="W485" s="1012"/>
      <c r="X485" s="1012"/>
      <c r="Y485" s="1012"/>
      <c r="Z485" s="1012"/>
    </row>
    <row r="486" ht="15.75" customHeight="1">
      <c r="A486" s="1012"/>
      <c r="B486" s="1012"/>
      <c r="C486" s="1012"/>
      <c r="D486" s="1012"/>
      <c r="E486" s="1012"/>
      <c r="F486" s="1012"/>
      <c r="G486" s="1012"/>
      <c r="H486" s="1012"/>
      <c r="I486" s="1012"/>
      <c r="J486" s="1012"/>
      <c r="K486" s="1012"/>
      <c r="L486" s="1012"/>
      <c r="M486" s="1012"/>
      <c r="N486" s="1012"/>
      <c r="O486" s="1012"/>
      <c r="P486" s="1012"/>
      <c r="Q486" s="1012"/>
      <c r="R486" s="1012"/>
      <c r="S486" s="1012"/>
      <c r="T486" s="1012"/>
      <c r="U486" s="1012"/>
      <c r="V486" s="1012"/>
      <c r="W486" s="1012"/>
      <c r="X486" s="1012"/>
      <c r="Y486" s="1012"/>
      <c r="Z486" s="1012"/>
    </row>
    <row r="487" ht="15.75" customHeight="1">
      <c r="A487" s="1012"/>
      <c r="B487" s="1012"/>
      <c r="C487" s="1012"/>
      <c r="D487" s="1012"/>
      <c r="E487" s="1012"/>
      <c r="F487" s="1012"/>
      <c r="G487" s="1012"/>
      <c r="H487" s="1012"/>
      <c r="I487" s="1012"/>
      <c r="J487" s="1012"/>
      <c r="K487" s="1012"/>
      <c r="L487" s="1012"/>
      <c r="M487" s="1012"/>
      <c r="N487" s="1012"/>
      <c r="O487" s="1012"/>
      <c r="P487" s="1012"/>
      <c r="Q487" s="1012"/>
      <c r="R487" s="1012"/>
      <c r="S487" s="1012"/>
      <c r="T487" s="1012"/>
      <c r="U487" s="1012"/>
      <c r="V487" s="1012"/>
      <c r="W487" s="1012"/>
      <c r="X487" s="1012"/>
      <c r="Y487" s="1012"/>
      <c r="Z487" s="1012"/>
    </row>
    <row r="488" ht="15.75" customHeight="1">
      <c r="A488" s="1012"/>
      <c r="B488" s="1012"/>
      <c r="C488" s="1012"/>
      <c r="D488" s="1012"/>
      <c r="E488" s="1012"/>
      <c r="F488" s="1012"/>
      <c r="G488" s="1012"/>
      <c r="H488" s="1012"/>
      <c r="I488" s="1012"/>
      <c r="J488" s="1012"/>
      <c r="K488" s="1012"/>
      <c r="L488" s="1012"/>
      <c r="M488" s="1012"/>
      <c r="N488" s="1012"/>
      <c r="O488" s="1012"/>
      <c r="P488" s="1012"/>
      <c r="Q488" s="1012"/>
      <c r="R488" s="1012"/>
      <c r="S488" s="1012"/>
      <c r="T488" s="1012"/>
      <c r="U488" s="1012"/>
      <c r="V488" s="1012"/>
      <c r="W488" s="1012"/>
      <c r="X488" s="1012"/>
      <c r="Y488" s="1012"/>
      <c r="Z488" s="1012"/>
    </row>
    <row r="489" ht="15.75" customHeight="1">
      <c r="A489" s="1012"/>
      <c r="B489" s="1012"/>
      <c r="C489" s="1012"/>
      <c r="D489" s="1012"/>
      <c r="E489" s="1012"/>
      <c r="F489" s="1012"/>
      <c r="G489" s="1012"/>
      <c r="H489" s="1012"/>
      <c r="I489" s="1012"/>
      <c r="J489" s="1012"/>
      <c r="K489" s="1012"/>
      <c r="L489" s="1012"/>
      <c r="M489" s="1012"/>
      <c r="N489" s="1012"/>
      <c r="O489" s="1012"/>
      <c r="P489" s="1012"/>
      <c r="Q489" s="1012"/>
      <c r="R489" s="1012"/>
      <c r="S489" s="1012"/>
      <c r="T489" s="1012"/>
      <c r="U489" s="1012"/>
      <c r="V489" s="1012"/>
      <c r="W489" s="1012"/>
      <c r="X489" s="1012"/>
      <c r="Y489" s="1012"/>
      <c r="Z489" s="1012"/>
    </row>
    <row r="490" ht="15.75" customHeight="1">
      <c r="A490" s="1012"/>
      <c r="B490" s="1012"/>
      <c r="C490" s="1012"/>
      <c r="D490" s="1012"/>
      <c r="E490" s="1012"/>
      <c r="F490" s="1012"/>
      <c r="G490" s="1012"/>
      <c r="H490" s="1012"/>
      <c r="I490" s="1012"/>
      <c r="J490" s="1012"/>
      <c r="K490" s="1012"/>
      <c r="L490" s="1012"/>
      <c r="M490" s="1012"/>
      <c r="N490" s="1012"/>
      <c r="O490" s="1012"/>
      <c r="P490" s="1012"/>
      <c r="Q490" s="1012"/>
      <c r="R490" s="1012"/>
      <c r="S490" s="1012"/>
      <c r="T490" s="1012"/>
      <c r="U490" s="1012"/>
      <c r="V490" s="1012"/>
      <c r="W490" s="1012"/>
      <c r="X490" s="1012"/>
      <c r="Y490" s="1012"/>
      <c r="Z490" s="1012"/>
    </row>
    <row r="491" ht="15.75" customHeight="1">
      <c r="A491" s="1012"/>
      <c r="B491" s="1012"/>
      <c r="C491" s="1012"/>
      <c r="D491" s="1012"/>
      <c r="E491" s="1012"/>
      <c r="F491" s="1012"/>
      <c r="G491" s="1012"/>
      <c r="H491" s="1012"/>
      <c r="I491" s="1012"/>
      <c r="J491" s="1012"/>
      <c r="K491" s="1012"/>
      <c r="L491" s="1012"/>
      <c r="M491" s="1012"/>
      <c r="N491" s="1012"/>
      <c r="O491" s="1012"/>
      <c r="P491" s="1012"/>
      <c r="Q491" s="1012"/>
      <c r="R491" s="1012"/>
      <c r="S491" s="1012"/>
      <c r="T491" s="1012"/>
      <c r="U491" s="1012"/>
      <c r="V491" s="1012"/>
      <c r="W491" s="1012"/>
      <c r="X491" s="1012"/>
      <c r="Y491" s="1012"/>
      <c r="Z491" s="1012"/>
    </row>
    <row r="492" ht="15.75" customHeight="1">
      <c r="A492" s="1012"/>
      <c r="B492" s="1012"/>
      <c r="C492" s="1012"/>
      <c r="D492" s="1012"/>
      <c r="E492" s="1012"/>
      <c r="F492" s="1012"/>
      <c r="G492" s="1012"/>
      <c r="H492" s="1012"/>
      <c r="I492" s="1012"/>
      <c r="J492" s="1012"/>
      <c r="K492" s="1012"/>
      <c r="L492" s="1012"/>
      <c r="M492" s="1012"/>
      <c r="N492" s="1012"/>
      <c r="O492" s="1012"/>
      <c r="P492" s="1012"/>
      <c r="Q492" s="1012"/>
      <c r="R492" s="1012"/>
      <c r="S492" s="1012"/>
      <c r="T492" s="1012"/>
      <c r="U492" s="1012"/>
      <c r="V492" s="1012"/>
      <c r="W492" s="1012"/>
      <c r="X492" s="1012"/>
      <c r="Y492" s="1012"/>
      <c r="Z492" s="1012"/>
    </row>
    <row r="493" ht="15.75" customHeight="1">
      <c r="A493" s="1012"/>
      <c r="B493" s="1012"/>
      <c r="C493" s="1012"/>
      <c r="D493" s="1012"/>
      <c r="E493" s="1012"/>
      <c r="F493" s="1012"/>
      <c r="G493" s="1012"/>
      <c r="H493" s="1012"/>
      <c r="I493" s="1012"/>
      <c r="J493" s="1012"/>
      <c r="K493" s="1012"/>
      <c r="L493" s="1012"/>
      <c r="M493" s="1012"/>
      <c r="N493" s="1012"/>
      <c r="O493" s="1012"/>
      <c r="P493" s="1012"/>
      <c r="Q493" s="1012"/>
      <c r="R493" s="1012"/>
      <c r="S493" s="1012"/>
      <c r="T493" s="1012"/>
      <c r="U493" s="1012"/>
      <c r="V493" s="1012"/>
      <c r="W493" s="1012"/>
      <c r="X493" s="1012"/>
      <c r="Y493" s="1012"/>
      <c r="Z493" s="1012"/>
    </row>
    <row r="494" ht="15.75" customHeight="1">
      <c r="A494" s="1012"/>
      <c r="B494" s="1012"/>
      <c r="C494" s="1012"/>
      <c r="D494" s="1012"/>
      <c r="E494" s="1012"/>
      <c r="F494" s="1012"/>
      <c r="G494" s="1012"/>
      <c r="H494" s="1012"/>
      <c r="I494" s="1012"/>
      <c r="J494" s="1012"/>
      <c r="K494" s="1012"/>
      <c r="L494" s="1012"/>
      <c r="M494" s="1012"/>
      <c r="N494" s="1012"/>
      <c r="O494" s="1012"/>
      <c r="P494" s="1012"/>
      <c r="Q494" s="1012"/>
      <c r="R494" s="1012"/>
      <c r="S494" s="1012"/>
      <c r="T494" s="1012"/>
      <c r="U494" s="1012"/>
      <c r="V494" s="1012"/>
      <c r="W494" s="1012"/>
      <c r="X494" s="1012"/>
      <c r="Y494" s="1012"/>
      <c r="Z494" s="1012"/>
    </row>
    <row r="495" ht="15.75" customHeight="1">
      <c r="A495" s="1012"/>
      <c r="B495" s="1012"/>
      <c r="C495" s="1012"/>
      <c r="D495" s="1012"/>
      <c r="E495" s="1012"/>
      <c r="F495" s="1012"/>
      <c r="G495" s="1012"/>
      <c r="H495" s="1012"/>
      <c r="I495" s="1012"/>
      <c r="J495" s="1012"/>
      <c r="K495" s="1012"/>
      <c r="L495" s="1012"/>
      <c r="M495" s="1012"/>
      <c r="N495" s="1012"/>
      <c r="O495" s="1012"/>
      <c r="P495" s="1012"/>
      <c r="Q495" s="1012"/>
      <c r="R495" s="1012"/>
      <c r="S495" s="1012"/>
      <c r="T495" s="1012"/>
      <c r="U495" s="1012"/>
      <c r="V495" s="1012"/>
      <c r="W495" s="1012"/>
      <c r="X495" s="1012"/>
      <c r="Y495" s="1012"/>
      <c r="Z495" s="1012"/>
    </row>
    <row r="496" ht="15.75" customHeight="1">
      <c r="A496" s="1012"/>
      <c r="B496" s="1012"/>
      <c r="C496" s="1012"/>
      <c r="D496" s="1012"/>
      <c r="E496" s="1012"/>
      <c r="F496" s="1012"/>
      <c r="G496" s="1012"/>
      <c r="H496" s="1012"/>
      <c r="I496" s="1012"/>
      <c r="J496" s="1012"/>
      <c r="K496" s="1012"/>
      <c r="L496" s="1012"/>
      <c r="M496" s="1012"/>
      <c r="N496" s="1012"/>
      <c r="O496" s="1012"/>
      <c r="P496" s="1012"/>
      <c r="Q496" s="1012"/>
      <c r="R496" s="1012"/>
      <c r="S496" s="1012"/>
      <c r="T496" s="1012"/>
      <c r="U496" s="1012"/>
      <c r="V496" s="1012"/>
      <c r="W496" s="1012"/>
      <c r="X496" s="1012"/>
      <c r="Y496" s="1012"/>
      <c r="Z496" s="1012"/>
    </row>
    <row r="497" ht="15.75" customHeight="1">
      <c r="A497" s="1012"/>
      <c r="B497" s="1012"/>
      <c r="C497" s="1012"/>
      <c r="D497" s="1012"/>
      <c r="E497" s="1012"/>
      <c r="F497" s="1012"/>
      <c r="G497" s="1012"/>
      <c r="H497" s="1012"/>
      <c r="I497" s="1012"/>
      <c r="J497" s="1012"/>
      <c r="K497" s="1012"/>
      <c r="L497" s="1012"/>
      <c r="M497" s="1012"/>
      <c r="N497" s="1012"/>
      <c r="O497" s="1012"/>
      <c r="P497" s="1012"/>
      <c r="Q497" s="1012"/>
      <c r="R497" s="1012"/>
      <c r="S497" s="1012"/>
      <c r="T497" s="1012"/>
      <c r="U497" s="1012"/>
      <c r="V497" s="1012"/>
      <c r="W497" s="1012"/>
      <c r="X497" s="1012"/>
      <c r="Y497" s="1012"/>
      <c r="Z497" s="1012"/>
    </row>
    <row r="498" ht="15.75" customHeight="1">
      <c r="A498" s="1012"/>
      <c r="B498" s="1012"/>
      <c r="C498" s="1012"/>
      <c r="D498" s="1012"/>
      <c r="E498" s="1012"/>
      <c r="F498" s="1012"/>
      <c r="G498" s="1012"/>
      <c r="H498" s="1012"/>
      <c r="I498" s="1012"/>
      <c r="J498" s="1012"/>
      <c r="K498" s="1012"/>
      <c r="L498" s="1012"/>
      <c r="M498" s="1012"/>
      <c r="N498" s="1012"/>
      <c r="O498" s="1012"/>
      <c r="P498" s="1012"/>
      <c r="Q498" s="1012"/>
      <c r="R498" s="1012"/>
      <c r="S498" s="1012"/>
      <c r="T498" s="1012"/>
      <c r="U498" s="1012"/>
      <c r="V498" s="1012"/>
      <c r="W498" s="1012"/>
      <c r="X498" s="1012"/>
      <c r="Y498" s="1012"/>
      <c r="Z498" s="1012"/>
    </row>
    <row r="499" ht="15.75" customHeight="1">
      <c r="A499" s="1012"/>
      <c r="B499" s="1012"/>
      <c r="C499" s="1012"/>
      <c r="D499" s="1012"/>
      <c r="E499" s="1012"/>
      <c r="F499" s="1012"/>
      <c r="G499" s="1012"/>
      <c r="H499" s="1012"/>
      <c r="I499" s="1012"/>
      <c r="J499" s="1012"/>
      <c r="K499" s="1012"/>
      <c r="L499" s="1012"/>
      <c r="M499" s="1012"/>
      <c r="N499" s="1012"/>
      <c r="O499" s="1012"/>
      <c r="P499" s="1012"/>
      <c r="Q499" s="1012"/>
      <c r="R499" s="1012"/>
      <c r="S499" s="1012"/>
      <c r="T499" s="1012"/>
      <c r="U499" s="1012"/>
      <c r="V499" s="1012"/>
      <c r="W499" s="1012"/>
      <c r="X499" s="1012"/>
      <c r="Y499" s="1012"/>
      <c r="Z499" s="1012"/>
    </row>
    <row r="500" ht="15.75" customHeight="1">
      <c r="A500" s="1012"/>
      <c r="B500" s="1012"/>
      <c r="C500" s="1012"/>
      <c r="D500" s="1012"/>
      <c r="E500" s="1012"/>
      <c r="F500" s="1012"/>
      <c r="G500" s="1012"/>
      <c r="H500" s="1012"/>
      <c r="I500" s="1012"/>
      <c r="J500" s="1012"/>
      <c r="K500" s="1012"/>
      <c r="L500" s="1012"/>
      <c r="M500" s="1012"/>
      <c r="N500" s="1012"/>
      <c r="O500" s="1012"/>
      <c r="P500" s="1012"/>
      <c r="Q500" s="1012"/>
      <c r="R500" s="1012"/>
      <c r="S500" s="1012"/>
      <c r="T500" s="1012"/>
      <c r="U500" s="1012"/>
      <c r="V500" s="1012"/>
      <c r="W500" s="1012"/>
      <c r="X500" s="1012"/>
      <c r="Y500" s="1012"/>
      <c r="Z500" s="1012"/>
    </row>
    <row r="501" ht="15.75" customHeight="1">
      <c r="A501" s="1012"/>
      <c r="B501" s="1012"/>
      <c r="C501" s="1012"/>
      <c r="D501" s="1012"/>
      <c r="E501" s="1012"/>
      <c r="F501" s="1012"/>
      <c r="G501" s="1012"/>
      <c r="H501" s="1012"/>
      <c r="I501" s="1012"/>
      <c r="J501" s="1012"/>
      <c r="K501" s="1012"/>
      <c r="L501" s="1012"/>
      <c r="M501" s="1012"/>
      <c r="N501" s="1012"/>
      <c r="O501" s="1012"/>
      <c r="P501" s="1012"/>
      <c r="Q501" s="1012"/>
      <c r="R501" s="1012"/>
      <c r="S501" s="1012"/>
      <c r="T501" s="1012"/>
      <c r="U501" s="1012"/>
      <c r="V501" s="1012"/>
      <c r="W501" s="1012"/>
      <c r="X501" s="1012"/>
      <c r="Y501" s="1012"/>
      <c r="Z501" s="1012"/>
    </row>
    <row r="502" ht="15.75" customHeight="1">
      <c r="A502" s="1012"/>
      <c r="B502" s="1012"/>
      <c r="C502" s="1012"/>
      <c r="D502" s="1012"/>
      <c r="E502" s="1012"/>
      <c r="F502" s="1012"/>
      <c r="G502" s="1012"/>
      <c r="H502" s="1012"/>
      <c r="I502" s="1012"/>
      <c r="J502" s="1012"/>
      <c r="K502" s="1012"/>
      <c r="L502" s="1012"/>
      <c r="M502" s="1012"/>
      <c r="N502" s="1012"/>
      <c r="O502" s="1012"/>
      <c r="P502" s="1012"/>
      <c r="Q502" s="1012"/>
      <c r="R502" s="1012"/>
      <c r="S502" s="1012"/>
      <c r="T502" s="1012"/>
      <c r="U502" s="1012"/>
      <c r="V502" s="1012"/>
      <c r="W502" s="1012"/>
      <c r="X502" s="1012"/>
      <c r="Y502" s="1012"/>
      <c r="Z502" s="1012"/>
    </row>
    <row r="503" ht="15.75" customHeight="1">
      <c r="A503" s="1012"/>
      <c r="B503" s="1012"/>
      <c r="C503" s="1012"/>
      <c r="D503" s="1012"/>
      <c r="E503" s="1012"/>
      <c r="F503" s="1012"/>
      <c r="G503" s="1012"/>
      <c r="H503" s="1012"/>
      <c r="I503" s="1012"/>
      <c r="J503" s="1012"/>
      <c r="K503" s="1012"/>
      <c r="L503" s="1012"/>
      <c r="M503" s="1012"/>
      <c r="N503" s="1012"/>
      <c r="O503" s="1012"/>
      <c r="P503" s="1012"/>
      <c r="Q503" s="1012"/>
      <c r="R503" s="1012"/>
      <c r="S503" s="1012"/>
      <c r="T503" s="1012"/>
      <c r="U503" s="1012"/>
      <c r="V503" s="1012"/>
      <c r="W503" s="1012"/>
      <c r="X503" s="1012"/>
      <c r="Y503" s="1012"/>
      <c r="Z503" s="1012"/>
    </row>
    <row r="504" ht="15.75" customHeight="1">
      <c r="A504" s="1012"/>
      <c r="B504" s="1012"/>
      <c r="C504" s="1012"/>
      <c r="D504" s="1012"/>
      <c r="E504" s="1012"/>
      <c r="F504" s="1012"/>
      <c r="G504" s="1012"/>
      <c r="H504" s="1012"/>
      <c r="I504" s="1012"/>
      <c r="J504" s="1012"/>
      <c r="K504" s="1012"/>
      <c r="L504" s="1012"/>
      <c r="M504" s="1012"/>
      <c r="N504" s="1012"/>
      <c r="O504" s="1012"/>
      <c r="P504" s="1012"/>
      <c r="Q504" s="1012"/>
      <c r="R504" s="1012"/>
      <c r="S504" s="1012"/>
      <c r="T504" s="1012"/>
      <c r="U504" s="1012"/>
      <c r="V504" s="1012"/>
      <c r="W504" s="1012"/>
      <c r="X504" s="1012"/>
      <c r="Y504" s="1012"/>
      <c r="Z504" s="1012"/>
    </row>
    <row r="505" ht="15.75" customHeight="1">
      <c r="A505" s="1012"/>
      <c r="B505" s="1012"/>
      <c r="C505" s="1012"/>
      <c r="D505" s="1012"/>
      <c r="E505" s="1012"/>
      <c r="F505" s="1012"/>
      <c r="G505" s="1012"/>
      <c r="H505" s="1012"/>
      <c r="I505" s="1012"/>
      <c r="J505" s="1012"/>
      <c r="K505" s="1012"/>
      <c r="L505" s="1012"/>
      <c r="M505" s="1012"/>
      <c r="N505" s="1012"/>
      <c r="O505" s="1012"/>
      <c r="P505" s="1012"/>
      <c r="Q505" s="1012"/>
      <c r="R505" s="1012"/>
      <c r="S505" s="1012"/>
      <c r="T505" s="1012"/>
      <c r="U505" s="1012"/>
      <c r="V505" s="1012"/>
      <c r="W505" s="1012"/>
      <c r="X505" s="1012"/>
      <c r="Y505" s="1012"/>
      <c r="Z505" s="1012"/>
    </row>
    <row r="506" ht="15.75" customHeight="1">
      <c r="A506" s="1012"/>
      <c r="B506" s="1012"/>
      <c r="C506" s="1012"/>
      <c r="D506" s="1012"/>
      <c r="E506" s="1012"/>
      <c r="F506" s="1012"/>
      <c r="G506" s="1012"/>
      <c r="H506" s="1012"/>
      <c r="I506" s="1012"/>
      <c r="J506" s="1012"/>
      <c r="K506" s="1012"/>
      <c r="L506" s="1012"/>
      <c r="M506" s="1012"/>
      <c r="N506" s="1012"/>
      <c r="O506" s="1012"/>
      <c r="P506" s="1012"/>
      <c r="Q506" s="1012"/>
      <c r="R506" s="1012"/>
      <c r="S506" s="1012"/>
      <c r="T506" s="1012"/>
      <c r="U506" s="1012"/>
      <c r="V506" s="1012"/>
      <c r="W506" s="1012"/>
      <c r="X506" s="1012"/>
      <c r="Y506" s="1012"/>
      <c r="Z506" s="1012"/>
    </row>
    <row r="507" ht="15.75" customHeight="1">
      <c r="A507" s="1012"/>
      <c r="B507" s="1012"/>
      <c r="C507" s="1012"/>
      <c r="D507" s="1012"/>
      <c r="E507" s="1012"/>
      <c r="F507" s="1012"/>
      <c r="G507" s="1012"/>
      <c r="H507" s="1012"/>
      <c r="I507" s="1012"/>
      <c r="J507" s="1012"/>
      <c r="K507" s="1012"/>
      <c r="L507" s="1012"/>
      <c r="M507" s="1012"/>
      <c r="N507" s="1012"/>
      <c r="O507" s="1012"/>
      <c r="P507" s="1012"/>
      <c r="Q507" s="1012"/>
      <c r="R507" s="1012"/>
      <c r="S507" s="1012"/>
      <c r="T507" s="1012"/>
      <c r="U507" s="1012"/>
      <c r="V507" s="1012"/>
      <c r="W507" s="1012"/>
      <c r="X507" s="1012"/>
      <c r="Y507" s="1012"/>
      <c r="Z507" s="1012"/>
    </row>
    <row r="508" ht="15.75" customHeight="1">
      <c r="A508" s="1012"/>
      <c r="B508" s="1012"/>
      <c r="C508" s="1012"/>
      <c r="D508" s="1012"/>
      <c r="E508" s="1012"/>
      <c r="F508" s="1012"/>
      <c r="G508" s="1012"/>
      <c r="H508" s="1012"/>
      <c r="I508" s="1012"/>
      <c r="J508" s="1012"/>
      <c r="K508" s="1012"/>
      <c r="L508" s="1012"/>
      <c r="M508" s="1012"/>
      <c r="N508" s="1012"/>
      <c r="O508" s="1012"/>
      <c r="P508" s="1012"/>
      <c r="Q508" s="1012"/>
      <c r="R508" s="1012"/>
      <c r="S508" s="1012"/>
      <c r="T508" s="1012"/>
      <c r="U508" s="1012"/>
      <c r="V508" s="1012"/>
      <c r="W508" s="1012"/>
      <c r="X508" s="1012"/>
      <c r="Y508" s="1012"/>
      <c r="Z508" s="1012"/>
    </row>
    <row r="509" ht="15.75" customHeight="1">
      <c r="A509" s="1012"/>
      <c r="B509" s="1012"/>
      <c r="C509" s="1012"/>
      <c r="D509" s="1012"/>
      <c r="E509" s="1012"/>
      <c r="F509" s="1012"/>
      <c r="G509" s="1012"/>
      <c r="H509" s="1012"/>
      <c r="I509" s="1012"/>
      <c r="J509" s="1012"/>
      <c r="K509" s="1012"/>
      <c r="L509" s="1012"/>
      <c r="M509" s="1012"/>
      <c r="N509" s="1012"/>
      <c r="O509" s="1012"/>
      <c r="P509" s="1012"/>
      <c r="Q509" s="1012"/>
      <c r="R509" s="1012"/>
      <c r="S509" s="1012"/>
      <c r="T509" s="1012"/>
      <c r="U509" s="1012"/>
      <c r="V509" s="1012"/>
      <c r="W509" s="1012"/>
      <c r="X509" s="1012"/>
      <c r="Y509" s="1012"/>
      <c r="Z509" s="1012"/>
    </row>
    <row r="510" ht="15.75" customHeight="1">
      <c r="A510" s="1012"/>
      <c r="B510" s="1012"/>
      <c r="C510" s="1012"/>
      <c r="D510" s="1012"/>
      <c r="E510" s="1012"/>
      <c r="F510" s="1012"/>
      <c r="G510" s="1012"/>
      <c r="H510" s="1012"/>
      <c r="I510" s="1012"/>
      <c r="J510" s="1012"/>
      <c r="K510" s="1012"/>
      <c r="L510" s="1012"/>
      <c r="M510" s="1012"/>
      <c r="N510" s="1012"/>
      <c r="O510" s="1012"/>
      <c r="P510" s="1012"/>
      <c r="Q510" s="1012"/>
      <c r="R510" s="1012"/>
      <c r="S510" s="1012"/>
      <c r="T510" s="1012"/>
      <c r="U510" s="1012"/>
      <c r="V510" s="1012"/>
      <c r="W510" s="1012"/>
      <c r="X510" s="1012"/>
      <c r="Y510" s="1012"/>
      <c r="Z510" s="1012"/>
    </row>
    <row r="511" ht="15.75" customHeight="1">
      <c r="A511" s="1012"/>
      <c r="B511" s="1012"/>
      <c r="C511" s="1012"/>
      <c r="D511" s="1012"/>
      <c r="E511" s="1012"/>
      <c r="F511" s="1012"/>
      <c r="G511" s="1012"/>
      <c r="H511" s="1012"/>
      <c r="I511" s="1012"/>
      <c r="J511" s="1012"/>
      <c r="K511" s="1012"/>
      <c r="L511" s="1012"/>
      <c r="M511" s="1012"/>
      <c r="N511" s="1012"/>
      <c r="O511" s="1012"/>
      <c r="P511" s="1012"/>
      <c r="Q511" s="1012"/>
      <c r="R511" s="1012"/>
      <c r="S511" s="1012"/>
      <c r="T511" s="1012"/>
      <c r="U511" s="1012"/>
      <c r="V511" s="1012"/>
      <c r="W511" s="1012"/>
      <c r="X511" s="1012"/>
      <c r="Y511" s="1012"/>
      <c r="Z511" s="1012"/>
    </row>
    <row r="512" ht="15.75" customHeight="1">
      <c r="A512" s="1012"/>
      <c r="B512" s="1012"/>
      <c r="C512" s="1012"/>
      <c r="D512" s="1012"/>
      <c r="E512" s="1012"/>
      <c r="F512" s="1012"/>
      <c r="G512" s="1012"/>
      <c r="H512" s="1012"/>
      <c r="I512" s="1012"/>
      <c r="J512" s="1012"/>
      <c r="K512" s="1012"/>
      <c r="L512" s="1012"/>
      <c r="M512" s="1012"/>
      <c r="N512" s="1012"/>
      <c r="O512" s="1012"/>
      <c r="P512" s="1012"/>
      <c r="Q512" s="1012"/>
      <c r="R512" s="1012"/>
      <c r="S512" s="1012"/>
      <c r="T512" s="1012"/>
      <c r="U512" s="1012"/>
      <c r="V512" s="1012"/>
      <c r="W512" s="1012"/>
      <c r="X512" s="1012"/>
      <c r="Y512" s="1012"/>
      <c r="Z512" s="1012"/>
    </row>
    <row r="513" ht="15.75" customHeight="1">
      <c r="A513" s="1012"/>
      <c r="B513" s="1012"/>
      <c r="C513" s="1012"/>
      <c r="D513" s="1012"/>
      <c r="E513" s="1012"/>
      <c r="F513" s="1012"/>
      <c r="G513" s="1012"/>
      <c r="H513" s="1012"/>
      <c r="I513" s="1012"/>
      <c r="J513" s="1012"/>
      <c r="K513" s="1012"/>
      <c r="L513" s="1012"/>
      <c r="M513" s="1012"/>
      <c r="N513" s="1012"/>
      <c r="O513" s="1012"/>
      <c r="P513" s="1012"/>
      <c r="Q513" s="1012"/>
      <c r="R513" s="1012"/>
      <c r="S513" s="1012"/>
      <c r="T513" s="1012"/>
      <c r="U513" s="1012"/>
      <c r="V513" s="1012"/>
      <c r="W513" s="1012"/>
      <c r="X513" s="1012"/>
      <c r="Y513" s="1012"/>
      <c r="Z513" s="1012"/>
    </row>
    <row r="514" ht="15.75" customHeight="1">
      <c r="A514" s="1012"/>
      <c r="B514" s="1012"/>
      <c r="C514" s="1012"/>
      <c r="D514" s="1012"/>
      <c r="E514" s="1012"/>
      <c r="F514" s="1012"/>
      <c r="G514" s="1012"/>
      <c r="H514" s="1012"/>
      <c r="I514" s="1012"/>
      <c r="J514" s="1012"/>
      <c r="K514" s="1012"/>
      <c r="L514" s="1012"/>
      <c r="M514" s="1012"/>
      <c r="N514" s="1012"/>
      <c r="O514" s="1012"/>
      <c r="P514" s="1012"/>
      <c r="Q514" s="1012"/>
      <c r="R514" s="1012"/>
      <c r="S514" s="1012"/>
      <c r="T514" s="1012"/>
      <c r="U514" s="1012"/>
      <c r="V514" s="1012"/>
      <c r="W514" s="1012"/>
      <c r="X514" s="1012"/>
      <c r="Y514" s="1012"/>
      <c r="Z514" s="1012"/>
    </row>
    <row r="515" ht="15.75" customHeight="1">
      <c r="A515" s="1012"/>
      <c r="B515" s="1012"/>
      <c r="C515" s="1012"/>
      <c r="D515" s="1012"/>
      <c r="E515" s="1012"/>
      <c r="F515" s="1012"/>
      <c r="G515" s="1012"/>
      <c r="H515" s="1012"/>
      <c r="I515" s="1012"/>
      <c r="J515" s="1012"/>
      <c r="K515" s="1012"/>
      <c r="L515" s="1012"/>
      <c r="M515" s="1012"/>
      <c r="N515" s="1012"/>
      <c r="O515" s="1012"/>
      <c r="P515" s="1012"/>
      <c r="Q515" s="1012"/>
      <c r="R515" s="1012"/>
      <c r="S515" s="1012"/>
      <c r="T515" s="1012"/>
      <c r="U515" s="1012"/>
      <c r="V515" s="1012"/>
      <c r="W515" s="1012"/>
      <c r="X515" s="1012"/>
      <c r="Y515" s="1012"/>
      <c r="Z515" s="1012"/>
    </row>
    <row r="516" ht="15.75" customHeight="1">
      <c r="A516" s="1012"/>
      <c r="B516" s="1012"/>
      <c r="C516" s="1012"/>
      <c r="D516" s="1012"/>
      <c r="E516" s="1012"/>
      <c r="F516" s="1012"/>
      <c r="G516" s="1012"/>
      <c r="H516" s="1012"/>
      <c r="I516" s="1012"/>
      <c r="J516" s="1012"/>
      <c r="K516" s="1012"/>
      <c r="L516" s="1012"/>
      <c r="M516" s="1012"/>
      <c r="N516" s="1012"/>
      <c r="O516" s="1012"/>
      <c r="P516" s="1012"/>
      <c r="Q516" s="1012"/>
      <c r="R516" s="1012"/>
      <c r="S516" s="1012"/>
      <c r="T516" s="1012"/>
      <c r="U516" s="1012"/>
      <c r="V516" s="1012"/>
      <c r="W516" s="1012"/>
      <c r="X516" s="1012"/>
      <c r="Y516" s="1012"/>
      <c r="Z516" s="1012"/>
    </row>
    <row r="517" ht="15.75" customHeight="1">
      <c r="A517" s="1012"/>
      <c r="B517" s="1012"/>
      <c r="C517" s="1012"/>
      <c r="D517" s="1012"/>
      <c r="E517" s="1012"/>
      <c r="F517" s="1012"/>
      <c r="G517" s="1012"/>
      <c r="H517" s="1012"/>
      <c r="I517" s="1012"/>
      <c r="J517" s="1012"/>
      <c r="K517" s="1012"/>
      <c r="L517" s="1012"/>
      <c r="M517" s="1012"/>
      <c r="N517" s="1012"/>
      <c r="O517" s="1012"/>
      <c r="P517" s="1012"/>
      <c r="Q517" s="1012"/>
      <c r="R517" s="1012"/>
      <c r="S517" s="1012"/>
      <c r="T517" s="1012"/>
      <c r="U517" s="1012"/>
      <c r="V517" s="1012"/>
      <c r="W517" s="1012"/>
      <c r="X517" s="1012"/>
      <c r="Y517" s="1012"/>
      <c r="Z517" s="1012"/>
    </row>
    <row r="518" ht="15.75" customHeight="1">
      <c r="A518" s="1012"/>
      <c r="B518" s="1012"/>
      <c r="C518" s="1012"/>
      <c r="D518" s="1012"/>
      <c r="E518" s="1012"/>
      <c r="F518" s="1012"/>
      <c r="G518" s="1012"/>
      <c r="H518" s="1012"/>
      <c r="I518" s="1012"/>
      <c r="J518" s="1012"/>
      <c r="K518" s="1012"/>
      <c r="L518" s="1012"/>
      <c r="M518" s="1012"/>
      <c r="N518" s="1012"/>
      <c r="O518" s="1012"/>
      <c r="P518" s="1012"/>
      <c r="Q518" s="1012"/>
      <c r="R518" s="1012"/>
      <c r="S518" s="1012"/>
      <c r="T518" s="1012"/>
      <c r="U518" s="1012"/>
      <c r="V518" s="1012"/>
      <c r="W518" s="1012"/>
      <c r="X518" s="1012"/>
      <c r="Y518" s="1012"/>
      <c r="Z518" s="1012"/>
    </row>
    <row r="519" ht="15.75" customHeight="1">
      <c r="A519" s="1012"/>
      <c r="B519" s="1012"/>
      <c r="C519" s="1012"/>
      <c r="D519" s="1012"/>
      <c r="E519" s="1012"/>
      <c r="F519" s="1012"/>
      <c r="G519" s="1012"/>
      <c r="H519" s="1012"/>
      <c r="I519" s="1012"/>
      <c r="J519" s="1012"/>
      <c r="K519" s="1012"/>
      <c r="L519" s="1012"/>
      <c r="M519" s="1012"/>
      <c r="N519" s="1012"/>
      <c r="O519" s="1012"/>
      <c r="P519" s="1012"/>
      <c r="Q519" s="1012"/>
      <c r="R519" s="1012"/>
      <c r="S519" s="1012"/>
      <c r="T519" s="1012"/>
      <c r="U519" s="1012"/>
      <c r="V519" s="1012"/>
      <c r="W519" s="1012"/>
      <c r="X519" s="1012"/>
      <c r="Y519" s="1012"/>
      <c r="Z519" s="1012"/>
    </row>
    <row r="520" ht="15.75" customHeight="1">
      <c r="A520" s="1012"/>
      <c r="B520" s="1012"/>
      <c r="C520" s="1012"/>
      <c r="D520" s="1012"/>
      <c r="E520" s="1012"/>
      <c r="F520" s="1012"/>
      <c r="G520" s="1012"/>
      <c r="H520" s="1012"/>
      <c r="I520" s="1012"/>
      <c r="J520" s="1012"/>
      <c r="K520" s="1012"/>
      <c r="L520" s="1012"/>
      <c r="M520" s="1012"/>
      <c r="N520" s="1012"/>
      <c r="O520" s="1012"/>
      <c r="P520" s="1012"/>
      <c r="Q520" s="1012"/>
      <c r="R520" s="1012"/>
      <c r="S520" s="1012"/>
      <c r="T520" s="1012"/>
      <c r="U520" s="1012"/>
      <c r="V520" s="1012"/>
      <c r="W520" s="1012"/>
      <c r="X520" s="1012"/>
      <c r="Y520" s="1012"/>
      <c r="Z520" s="1012"/>
    </row>
    <row r="521" ht="15.75" customHeight="1">
      <c r="A521" s="1012"/>
      <c r="B521" s="1012"/>
      <c r="C521" s="1012"/>
      <c r="D521" s="1012"/>
      <c r="E521" s="1012"/>
      <c r="F521" s="1012"/>
      <c r="G521" s="1012"/>
      <c r="H521" s="1012"/>
      <c r="I521" s="1012"/>
      <c r="J521" s="1012"/>
      <c r="K521" s="1012"/>
      <c r="L521" s="1012"/>
      <c r="M521" s="1012"/>
      <c r="N521" s="1012"/>
      <c r="O521" s="1012"/>
      <c r="P521" s="1012"/>
      <c r="Q521" s="1012"/>
      <c r="R521" s="1012"/>
      <c r="S521" s="1012"/>
      <c r="T521" s="1012"/>
      <c r="U521" s="1012"/>
      <c r="V521" s="1012"/>
      <c r="W521" s="1012"/>
      <c r="X521" s="1012"/>
      <c r="Y521" s="1012"/>
      <c r="Z521" s="1012"/>
    </row>
    <row r="522" ht="15.75" customHeight="1">
      <c r="A522" s="1012"/>
      <c r="B522" s="1012"/>
      <c r="C522" s="1012"/>
      <c r="D522" s="1012"/>
      <c r="E522" s="1012"/>
      <c r="F522" s="1012"/>
      <c r="G522" s="1012"/>
      <c r="H522" s="1012"/>
      <c r="I522" s="1012"/>
      <c r="J522" s="1012"/>
      <c r="K522" s="1012"/>
      <c r="L522" s="1012"/>
      <c r="M522" s="1012"/>
      <c r="N522" s="1012"/>
      <c r="O522" s="1012"/>
      <c r="P522" s="1012"/>
      <c r="Q522" s="1012"/>
      <c r="R522" s="1012"/>
      <c r="S522" s="1012"/>
      <c r="T522" s="1012"/>
      <c r="U522" s="1012"/>
      <c r="V522" s="1012"/>
      <c r="W522" s="1012"/>
      <c r="X522" s="1012"/>
      <c r="Y522" s="1012"/>
      <c r="Z522" s="1012"/>
    </row>
    <row r="523" ht="15.75" customHeight="1">
      <c r="A523" s="1012"/>
      <c r="B523" s="1012"/>
      <c r="C523" s="1012"/>
      <c r="D523" s="1012"/>
      <c r="E523" s="1012"/>
      <c r="F523" s="1012"/>
      <c r="G523" s="1012"/>
      <c r="H523" s="1012"/>
      <c r="I523" s="1012"/>
      <c r="J523" s="1012"/>
      <c r="K523" s="1012"/>
      <c r="L523" s="1012"/>
      <c r="M523" s="1012"/>
      <c r="N523" s="1012"/>
      <c r="O523" s="1012"/>
      <c r="P523" s="1012"/>
      <c r="Q523" s="1012"/>
      <c r="R523" s="1012"/>
      <c r="S523" s="1012"/>
      <c r="T523" s="1012"/>
      <c r="U523" s="1012"/>
      <c r="V523" s="1012"/>
      <c r="W523" s="1012"/>
      <c r="X523" s="1012"/>
      <c r="Y523" s="1012"/>
      <c r="Z523" s="1012"/>
    </row>
    <row r="524" ht="15.75" customHeight="1">
      <c r="A524" s="1012"/>
      <c r="B524" s="1012"/>
      <c r="C524" s="1012"/>
      <c r="D524" s="1012"/>
      <c r="E524" s="1012"/>
      <c r="F524" s="1012"/>
      <c r="G524" s="1012"/>
      <c r="H524" s="1012"/>
      <c r="I524" s="1012"/>
      <c r="J524" s="1012"/>
      <c r="K524" s="1012"/>
      <c r="L524" s="1012"/>
      <c r="M524" s="1012"/>
      <c r="N524" s="1012"/>
      <c r="O524" s="1012"/>
      <c r="P524" s="1012"/>
      <c r="Q524" s="1012"/>
      <c r="R524" s="1012"/>
      <c r="S524" s="1012"/>
      <c r="T524" s="1012"/>
      <c r="U524" s="1012"/>
      <c r="V524" s="1012"/>
      <c r="W524" s="1012"/>
      <c r="X524" s="1012"/>
      <c r="Y524" s="1012"/>
      <c r="Z524" s="1012"/>
    </row>
    <row r="525" ht="15.75" customHeight="1">
      <c r="A525" s="1012"/>
      <c r="B525" s="1012"/>
      <c r="C525" s="1012"/>
      <c r="D525" s="1012"/>
      <c r="E525" s="1012"/>
      <c r="F525" s="1012"/>
      <c r="G525" s="1012"/>
      <c r="H525" s="1012"/>
      <c r="I525" s="1012"/>
      <c r="J525" s="1012"/>
      <c r="K525" s="1012"/>
      <c r="L525" s="1012"/>
      <c r="M525" s="1012"/>
      <c r="N525" s="1012"/>
      <c r="O525" s="1012"/>
      <c r="P525" s="1012"/>
      <c r="Q525" s="1012"/>
      <c r="R525" s="1012"/>
      <c r="S525" s="1012"/>
      <c r="T525" s="1012"/>
      <c r="U525" s="1012"/>
      <c r="V525" s="1012"/>
      <c r="W525" s="1012"/>
      <c r="X525" s="1012"/>
      <c r="Y525" s="1012"/>
      <c r="Z525" s="1012"/>
    </row>
    <row r="526" ht="15.75" customHeight="1">
      <c r="A526" s="1012"/>
      <c r="B526" s="1012"/>
      <c r="C526" s="1012"/>
      <c r="D526" s="1012"/>
      <c r="E526" s="1012"/>
      <c r="F526" s="1012"/>
      <c r="G526" s="1012"/>
      <c r="H526" s="1012"/>
      <c r="I526" s="1012"/>
      <c r="J526" s="1012"/>
      <c r="K526" s="1012"/>
      <c r="L526" s="1012"/>
      <c r="M526" s="1012"/>
      <c r="N526" s="1012"/>
      <c r="O526" s="1012"/>
      <c r="P526" s="1012"/>
      <c r="Q526" s="1012"/>
      <c r="R526" s="1012"/>
      <c r="S526" s="1012"/>
      <c r="T526" s="1012"/>
      <c r="U526" s="1012"/>
      <c r="V526" s="1012"/>
      <c r="W526" s="1012"/>
      <c r="X526" s="1012"/>
      <c r="Y526" s="1012"/>
      <c r="Z526" s="1012"/>
    </row>
    <row r="527" ht="15.75" customHeight="1">
      <c r="A527" s="1012"/>
      <c r="B527" s="1012"/>
      <c r="C527" s="1012"/>
      <c r="D527" s="1012"/>
      <c r="E527" s="1012"/>
      <c r="F527" s="1012"/>
      <c r="G527" s="1012"/>
      <c r="H527" s="1012"/>
      <c r="I527" s="1012"/>
      <c r="J527" s="1012"/>
      <c r="K527" s="1012"/>
      <c r="L527" s="1012"/>
      <c r="M527" s="1012"/>
      <c r="N527" s="1012"/>
      <c r="O527" s="1012"/>
      <c r="P527" s="1012"/>
      <c r="Q527" s="1012"/>
      <c r="R527" s="1012"/>
      <c r="S527" s="1012"/>
      <c r="T527" s="1012"/>
      <c r="U527" s="1012"/>
      <c r="V527" s="1012"/>
      <c r="W527" s="1012"/>
      <c r="X527" s="1012"/>
      <c r="Y527" s="1012"/>
      <c r="Z527" s="1012"/>
    </row>
    <row r="528" ht="15.75" customHeight="1">
      <c r="A528" s="1012"/>
      <c r="B528" s="1012"/>
      <c r="C528" s="1012"/>
      <c r="D528" s="1012"/>
      <c r="E528" s="1012"/>
      <c r="F528" s="1012"/>
      <c r="G528" s="1012"/>
      <c r="H528" s="1012"/>
      <c r="I528" s="1012"/>
      <c r="J528" s="1012"/>
      <c r="K528" s="1012"/>
      <c r="L528" s="1012"/>
      <c r="M528" s="1012"/>
      <c r="N528" s="1012"/>
      <c r="O528" s="1012"/>
      <c r="P528" s="1012"/>
      <c r="Q528" s="1012"/>
      <c r="R528" s="1012"/>
      <c r="S528" s="1012"/>
      <c r="T528" s="1012"/>
      <c r="U528" s="1012"/>
      <c r="V528" s="1012"/>
      <c r="W528" s="1012"/>
      <c r="X528" s="1012"/>
      <c r="Y528" s="1012"/>
      <c r="Z528" s="1012"/>
    </row>
    <row r="529" ht="15.75" customHeight="1">
      <c r="A529" s="1012"/>
      <c r="B529" s="1012"/>
      <c r="C529" s="1012"/>
      <c r="D529" s="1012"/>
      <c r="E529" s="1012"/>
      <c r="F529" s="1012"/>
      <c r="G529" s="1012"/>
      <c r="H529" s="1012"/>
      <c r="I529" s="1012"/>
      <c r="J529" s="1012"/>
      <c r="K529" s="1012"/>
      <c r="L529" s="1012"/>
      <c r="M529" s="1012"/>
      <c r="N529" s="1012"/>
      <c r="O529" s="1012"/>
      <c r="P529" s="1012"/>
      <c r="Q529" s="1012"/>
      <c r="R529" s="1012"/>
      <c r="S529" s="1012"/>
      <c r="T529" s="1012"/>
      <c r="U529" s="1012"/>
      <c r="V529" s="1012"/>
      <c r="W529" s="1012"/>
      <c r="X529" s="1012"/>
      <c r="Y529" s="1012"/>
      <c r="Z529" s="1012"/>
    </row>
    <row r="530" ht="15.75" customHeight="1">
      <c r="A530" s="1012"/>
      <c r="B530" s="1012"/>
      <c r="C530" s="1012"/>
      <c r="D530" s="1012"/>
      <c r="E530" s="1012"/>
      <c r="F530" s="1012"/>
      <c r="G530" s="1012"/>
      <c r="H530" s="1012"/>
      <c r="I530" s="1012"/>
      <c r="J530" s="1012"/>
      <c r="K530" s="1012"/>
      <c r="L530" s="1012"/>
      <c r="M530" s="1012"/>
      <c r="N530" s="1012"/>
      <c r="O530" s="1012"/>
      <c r="P530" s="1012"/>
      <c r="Q530" s="1012"/>
      <c r="R530" s="1012"/>
      <c r="S530" s="1012"/>
      <c r="T530" s="1012"/>
      <c r="U530" s="1012"/>
      <c r="V530" s="1012"/>
      <c r="W530" s="1012"/>
      <c r="X530" s="1012"/>
      <c r="Y530" s="1012"/>
      <c r="Z530" s="1012"/>
    </row>
    <row r="531" ht="15.75" customHeight="1">
      <c r="A531" s="1012"/>
      <c r="B531" s="1012"/>
      <c r="C531" s="1012"/>
      <c r="D531" s="1012"/>
      <c r="E531" s="1012"/>
      <c r="F531" s="1012"/>
      <c r="G531" s="1012"/>
      <c r="H531" s="1012"/>
      <c r="I531" s="1012"/>
      <c r="J531" s="1012"/>
      <c r="K531" s="1012"/>
      <c r="L531" s="1012"/>
      <c r="M531" s="1012"/>
      <c r="N531" s="1012"/>
      <c r="O531" s="1012"/>
      <c r="P531" s="1012"/>
      <c r="Q531" s="1012"/>
      <c r="R531" s="1012"/>
      <c r="S531" s="1012"/>
      <c r="T531" s="1012"/>
      <c r="U531" s="1012"/>
      <c r="V531" s="1012"/>
      <c r="W531" s="1012"/>
      <c r="X531" s="1012"/>
      <c r="Y531" s="1012"/>
      <c r="Z531" s="1012"/>
    </row>
    <row r="532" ht="15.75" customHeight="1">
      <c r="A532" s="1012"/>
      <c r="B532" s="1012"/>
      <c r="C532" s="1012"/>
      <c r="D532" s="1012"/>
      <c r="E532" s="1012"/>
      <c r="F532" s="1012"/>
      <c r="G532" s="1012"/>
      <c r="H532" s="1012"/>
      <c r="I532" s="1012"/>
      <c r="J532" s="1012"/>
      <c r="K532" s="1012"/>
      <c r="L532" s="1012"/>
      <c r="M532" s="1012"/>
      <c r="N532" s="1012"/>
      <c r="O532" s="1012"/>
      <c r="P532" s="1012"/>
      <c r="Q532" s="1012"/>
      <c r="R532" s="1012"/>
      <c r="S532" s="1012"/>
      <c r="T532" s="1012"/>
      <c r="U532" s="1012"/>
      <c r="V532" s="1012"/>
      <c r="W532" s="1012"/>
      <c r="X532" s="1012"/>
      <c r="Y532" s="1012"/>
      <c r="Z532" s="1012"/>
    </row>
    <row r="533" ht="15.75" customHeight="1">
      <c r="A533" s="1012"/>
      <c r="B533" s="1012"/>
      <c r="C533" s="1012"/>
      <c r="D533" s="1012"/>
      <c r="E533" s="1012"/>
      <c r="F533" s="1012"/>
      <c r="G533" s="1012"/>
      <c r="H533" s="1012"/>
      <c r="I533" s="1012"/>
      <c r="J533" s="1012"/>
      <c r="K533" s="1012"/>
      <c r="L533" s="1012"/>
      <c r="M533" s="1012"/>
      <c r="N533" s="1012"/>
      <c r="O533" s="1012"/>
      <c r="P533" s="1012"/>
      <c r="Q533" s="1012"/>
      <c r="R533" s="1012"/>
      <c r="S533" s="1012"/>
      <c r="T533" s="1012"/>
      <c r="U533" s="1012"/>
      <c r="V533" s="1012"/>
      <c r="W533" s="1012"/>
      <c r="X533" s="1012"/>
      <c r="Y533" s="1012"/>
      <c r="Z533" s="1012"/>
    </row>
    <row r="534" ht="15.75" customHeight="1">
      <c r="A534" s="1012"/>
      <c r="B534" s="1012"/>
      <c r="C534" s="1012"/>
      <c r="D534" s="1012"/>
      <c r="E534" s="1012"/>
      <c r="F534" s="1012"/>
      <c r="G534" s="1012"/>
      <c r="H534" s="1012"/>
      <c r="I534" s="1012"/>
      <c r="J534" s="1012"/>
      <c r="K534" s="1012"/>
      <c r="L534" s="1012"/>
      <c r="M534" s="1012"/>
      <c r="N534" s="1012"/>
      <c r="O534" s="1012"/>
      <c r="P534" s="1012"/>
      <c r="Q534" s="1012"/>
      <c r="R534" s="1012"/>
      <c r="S534" s="1012"/>
      <c r="T534" s="1012"/>
      <c r="U534" s="1012"/>
      <c r="V534" s="1012"/>
      <c r="W534" s="1012"/>
      <c r="X534" s="1012"/>
      <c r="Y534" s="1012"/>
      <c r="Z534" s="1012"/>
    </row>
    <row r="535" ht="15.75" customHeight="1">
      <c r="A535" s="1012"/>
      <c r="B535" s="1012"/>
      <c r="C535" s="1012"/>
      <c r="D535" s="1012"/>
      <c r="E535" s="1012"/>
      <c r="F535" s="1012"/>
      <c r="G535" s="1012"/>
      <c r="H535" s="1012"/>
      <c r="I535" s="1012"/>
      <c r="J535" s="1012"/>
      <c r="K535" s="1012"/>
      <c r="L535" s="1012"/>
      <c r="M535" s="1012"/>
      <c r="N535" s="1012"/>
      <c r="O535" s="1012"/>
      <c r="P535" s="1012"/>
      <c r="Q535" s="1012"/>
      <c r="R535" s="1012"/>
      <c r="S535" s="1012"/>
      <c r="T535" s="1012"/>
      <c r="U535" s="1012"/>
      <c r="V535" s="1012"/>
      <c r="W535" s="1012"/>
      <c r="X535" s="1012"/>
      <c r="Y535" s="1012"/>
      <c r="Z535" s="1012"/>
    </row>
    <row r="536" ht="15.75" customHeight="1">
      <c r="A536" s="1012"/>
      <c r="B536" s="1012"/>
      <c r="C536" s="1012"/>
      <c r="D536" s="1012"/>
      <c r="E536" s="1012"/>
      <c r="F536" s="1012"/>
      <c r="G536" s="1012"/>
      <c r="H536" s="1012"/>
      <c r="I536" s="1012"/>
      <c r="J536" s="1012"/>
      <c r="K536" s="1012"/>
      <c r="L536" s="1012"/>
      <c r="M536" s="1012"/>
      <c r="N536" s="1012"/>
      <c r="O536" s="1012"/>
      <c r="P536" s="1012"/>
      <c r="Q536" s="1012"/>
      <c r="R536" s="1012"/>
      <c r="S536" s="1012"/>
      <c r="T536" s="1012"/>
      <c r="U536" s="1012"/>
      <c r="V536" s="1012"/>
      <c r="W536" s="1012"/>
      <c r="X536" s="1012"/>
      <c r="Y536" s="1012"/>
      <c r="Z536" s="1012"/>
    </row>
    <row r="537" ht="15.75" customHeight="1">
      <c r="A537" s="1012"/>
      <c r="B537" s="1012"/>
      <c r="C537" s="1012"/>
      <c r="D537" s="1012"/>
      <c r="E537" s="1012"/>
      <c r="F537" s="1012"/>
      <c r="G537" s="1012"/>
      <c r="H537" s="1012"/>
      <c r="I537" s="1012"/>
      <c r="J537" s="1012"/>
      <c r="K537" s="1012"/>
      <c r="L537" s="1012"/>
      <c r="M537" s="1012"/>
      <c r="N537" s="1012"/>
      <c r="O537" s="1012"/>
      <c r="P537" s="1012"/>
      <c r="Q537" s="1012"/>
      <c r="R537" s="1012"/>
      <c r="S537" s="1012"/>
      <c r="T537" s="1012"/>
      <c r="U537" s="1012"/>
      <c r="V537" s="1012"/>
      <c r="W537" s="1012"/>
      <c r="X537" s="1012"/>
      <c r="Y537" s="1012"/>
      <c r="Z537" s="1012"/>
    </row>
    <row r="538" ht="15.75" customHeight="1">
      <c r="A538" s="1012"/>
      <c r="B538" s="1012"/>
      <c r="C538" s="1012"/>
      <c r="D538" s="1012"/>
      <c r="E538" s="1012"/>
      <c r="F538" s="1012"/>
      <c r="G538" s="1012"/>
      <c r="H538" s="1012"/>
      <c r="I538" s="1012"/>
      <c r="J538" s="1012"/>
      <c r="K538" s="1012"/>
      <c r="L538" s="1012"/>
      <c r="M538" s="1012"/>
      <c r="N538" s="1012"/>
      <c r="O538" s="1012"/>
      <c r="P538" s="1012"/>
      <c r="Q538" s="1012"/>
      <c r="R538" s="1012"/>
      <c r="S538" s="1012"/>
      <c r="T538" s="1012"/>
      <c r="U538" s="1012"/>
      <c r="V538" s="1012"/>
      <c r="W538" s="1012"/>
      <c r="X538" s="1012"/>
      <c r="Y538" s="1012"/>
      <c r="Z538" s="1012"/>
    </row>
    <row r="539" ht="15.75" customHeight="1">
      <c r="A539" s="1012"/>
      <c r="B539" s="1012"/>
      <c r="C539" s="1012"/>
      <c r="D539" s="1012"/>
      <c r="E539" s="1012"/>
      <c r="F539" s="1012"/>
      <c r="G539" s="1012"/>
      <c r="H539" s="1012"/>
      <c r="I539" s="1012"/>
      <c r="J539" s="1012"/>
      <c r="K539" s="1012"/>
      <c r="L539" s="1012"/>
      <c r="M539" s="1012"/>
      <c r="N539" s="1012"/>
      <c r="O539" s="1012"/>
      <c r="P539" s="1012"/>
      <c r="Q539" s="1012"/>
      <c r="R539" s="1012"/>
      <c r="S539" s="1012"/>
      <c r="T539" s="1012"/>
      <c r="U539" s="1012"/>
      <c r="V539" s="1012"/>
      <c r="W539" s="1012"/>
      <c r="X539" s="1012"/>
      <c r="Y539" s="1012"/>
      <c r="Z539" s="1012"/>
    </row>
    <row r="540" ht="15.75" customHeight="1">
      <c r="A540" s="1012"/>
      <c r="B540" s="1012"/>
      <c r="C540" s="1012"/>
      <c r="D540" s="1012"/>
      <c r="E540" s="1012"/>
      <c r="F540" s="1012"/>
      <c r="G540" s="1012"/>
      <c r="H540" s="1012"/>
      <c r="I540" s="1012"/>
      <c r="J540" s="1012"/>
      <c r="K540" s="1012"/>
      <c r="L540" s="1012"/>
      <c r="M540" s="1012"/>
      <c r="N540" s="1012"/>
      <c r="O540" s="1012"/>
      <c r="P540" s="1012"/>
      <c r="Q540" s="1012"/>
      <c r="R540" s="1012"/>
      <c r="S540" s="1012"/>
      <c r="T540" s="1012"/>
      <c r="U540" s="1012"/>
      <c r="V540" s="1012"/>
      <c r="W540" s="1012"/>
      <c r="X540" s="1012"/>
      <c r="Y540" s="1012"/>
      <c r="Z540" s="1012"/>
    </row>
    <row r="541" ht="15.75" customHeight="1">
      <c r="A541" s="1012"/>
      <c r="B541" s="1012"/>
      <c r="C541" s="1012"/>
      <c r="D541" s="1012"/>
      <c r="E541" s="1012"/>
      <c r="F541" s="1012"/>
      <c r="G541" s="1012"/>
      <c r="H541" s="1012"/>
      <c r="I541" s="1012"/>
      <c r="J541" s="1012"/>
      <c r="K541" s="1012"/>
      <c r="L541" s="1012"/>
      <c r="M541" s="1012"/>
      <c r="N541" s="1012"/>
      <c r="O541" s="1012"/>
      <c r="P541" s="1012"/>
      <c r="Q541" s="1012"/>
      <c r="R541" s="1012"/>
      <c r="S541" s="1012"/>
      <c r="T541" s="1012"/>
      <c r="U541" s="1012"/>
      <c r="V541" s="1012"/>
      <c r="W541" s="1012"/>
      <c r="X541" s="1012"/>
      <c r="Y541" s="1012"/>
      <c r="Z541" s="1012"/>
    </row>
    <row r="542" ht="15.75" customHeight="1">
      <c r="A542" s="1012"/>
      <c r="B542" s="1012"/>
      <c r="C542" s="1012"/>
      <c r="D542" s="1012"/>
      <c r="E542" s="1012"/>
      <c r="F542" s="1012"/>
      <c r="G542" s="1012"/>
      <c r="H542" s="1012"/>
      <c r="I542" s="1012"/>
      <c r="J542" s="1012"/>
      <c r="K542" s="1012"/>
      <c r="L542" s="1012"/>
      <c r="M542" s="1012"/>
      <c r="N542" s="1012"/>
      <c r="O542" s="1012"/>
      <c r="P542" s="1012"/>
      <c r="Q542" s="1012"/>
      <c r="R542" s="1012"/>
      <c r="S542" s="1012"/>
      <c r="T542" s="1012"/>
      <c r="U542" s="1012"/>
      <c r="V542" s="1012"/>
      <c r="W542" s="1012"/>
      <c r="X542" s="1012"/>
      <c r="Y542" s="1012"/>
      <c r="Z542" s="1012"/>
    </row>
    <row r="543" ht="15.75" customHeight="1">
      <c r="A543" s="1012"/>
      <c r="B543" s="1012"/>
      <c r="C543" s="1012"/>
      <c r="D543" s="1012"/>
      <c r="E543" s="1012"/>
      <c r="F543" s="1012"/>
      <c r="G543" s="1012"/>
      <c r="H543" s="1012"/>
      <c r="I543" s="1012"/>
      <c r="J543" s="1012"/>
      <c r="K543" s="1012"/>
      <c r="L543" s="1012"/>
      <c r="M543" s="1012"/>
      <c r="N543" s="1012"/>
      <c r="O543" s="1012"/>
      <c r="P543" s="1012"/>
      <c r="Q543" s="1012"/>
      <c r="R543" s="1012"/>
      <c r="S543" s="1012"/>
      <c r="T543" s="1012"/>
      <c r="U543" s="1012"/>
      <c r="V543" s="1012"/>
      <c r="W543" s="1012"/>
      <c r="X543" s="1012"/>
      <c r="Y543" s="1012"/>
      <c r="Z543" s="1012"/>
    </row>
    <row r="544" ht="15.75" customHeight="1">
      <c r="A544" s="1012"/>
      <c r="B544" s="1012"/>
      <c r="C544" s="1012"/>
      <c r="D544" s="1012"/>
      <c r="E544" s="1012"/>
      <c r="F544" s="1012"/>
      <c r="G544" s="1012"/>
      <c r="H544" s="1012"/>
      <c r="I544" s="1012"/>
      <c r="J544" s="1012"/>
      <c r="K544" s="1012"/>
      <c r="L544" s="1012"/>
      <c r="M544" s="1012"/>
      <c r="N544" s="1012"/>
      <c r="O544" s="1012"/>
      <c r="P544" s="1012"/>
      <c r="Q544" s="1012"/>
      <c r="R544" s="1012"/>
      <c r="S544" s="1012"/>
      <c r="T544" s="1012"/>
      <c r="U544" s="1012"/>
      <c r="V544" s="1012"/>
      <c r="W544" s="1012"/>
      <c r="X544" s="1012"/>
      <c r="Y544" s="1012"/>
      <c r="Z544" s="1012"/>
    </row>
    <row r="545" ht="15.75" customHeight="1">
      <c r="A545" s="1012"/>
      <c r="B545" s="1012"/>
      <c r="C545" s="1012"/>
      <c r="D545" s="1012"/>
      <c r="E545" s="1012"/>
      <c r="F545" s="1012"/>
      <c r="G545" s="1012"/>
      <c r="H545" s="1012"/>
      <c r="I545" s="1012"/>
      <c r="J545" s="1012"/>
      <c r="K545" s="1012"/>
      <c r="L545" s="1012"/>
      <c r="M545" s="1012"/>
      <c r="N545" s="1012"/>
      <c r="O545" s="1012"/>
      <c r="P545" s="1012"/>
      <c r="Q545" s="1012"/>
      <c r="R545" s="1012"/>
      <c r="S545" s="1012"/>
      <c r="T545" s="1012"/>
      <c r="U545" s="1012"/>
      <c r="V545" s="1012"/>
      <c r="W545" s="1012"/>
      <c r="X545" s="1012"/>
      <c r="Y545" s="1012"/>
      <c r="Z545" s="1012"/>
    </row>
    <row r="546" ht="15.75" customHeight="1">
      <c r="A546" s="1012"/>
      <c r="B546" s="1012"/>
      <c r="C546" s="1012"/>
      <c r="D546" s="1012"/>
      <c r="E546" s="1012"/>
      <c r="F546" s="1012"/>
      <c r="G546" s="1012"/>
      <c r="H546" s="1012"/>
      <c r="I546" s="1012"/>
      <c r="J546" s="1012"/>
      <c r="K546" s="1012"/>
      <c r="L546" s="1012"/>
      <c r="M546" s="1012"/>
      <c r="N546" s="1012"/>
      <c r="O546" s="1012"/>
      <c r="P546" s="1012"/>
      <c r="Q546" s="1012"/>
      <c r="R546" s="1012"/>
      <c r="S546" s="1012"/>
      <c r="T546" s="1012"/>
      <c r="U546" s="1012"/>
      <c r="V546" s="1012"/>
      <c r="W546" s="1012"/>
      <c r="X546" s="1012"/>
      <c r="Y546" s="1012"/>
      <c r="Z546" s="1012"/>
    </row>
    <row r="547" ht="15.75" customHeight="1">
      <c r="A547" s="1012"/>
      <c r="B547" s="1012"/>
      <c r="C547" s="1012"/>
      <c r="D547" s="1012"/>
      <c r="E547" s="1012"/>
      <c r="F547" s="1012"/>
      <c r="G547" s="1012"/>
      <c r="H547" s="1012"/>
      <c r="I547" s="1012"/>
      <c r="J547" s="1012"/>
      <c r="K547" s="1012"/>
      <c r="L547" s="1012"/>
      <c r="M547" s="1012"/>
      <c r="N547" s="1012"/>
      <c r="O547" s="1012"/>
      <c r="P547" s="1012"/>
      <c r="Q547" s="1012"/>
      <c r="R547" s="1012"/>
      <c r="S547" s="1012"/>
      <c r="T547" s="1012"/>
      <c r="U547" s="1012"/>
      <c r="V547" s="1012"/>
      <c r="W547" s="1012"/>
      <c r="X547" s="1012"/>
      <c r="Y547" s="1012"/>
      <c r="Z547" s="1012"/>
    </row>
    <row r="548" ht="15.75" customHeight="1">
      <c r="A548" s="1012"/>
      <c r="B548" s="1012"/>
      <c r="C548" s="1012"/>
      <c r="D548" s="1012"/>
      <c r="E548" s="1012"/>
      <c r="F548" s="1012"/>
      <c r="G548" s="1012"/>
      <c r="H548" s="1012"/>
      <c r="I548" s="1012"/>
      <c r="J548" s="1012"/>
      <c r="K548" s="1012"/>
      <c r="L548" s="1012"/>
      <c r="M548" s="1012"/>
      <c r="N548" s="1012"/>
      <c r="O548" s="1012"/>
      <c r="P548" s="1012"/>
      <c r="Q548" s="1012"/>
      <c r="R548" s="1012"/>
      <c r="S548" s="1012"/>
      <c r="T548" s="1012"/>
      <c r="U548" s="1012"/>
      <c r="V548" s="1012"/>
      <c r="W548" s="1012"/>
      <c r="X548" s="1012"/>
      <c r="Y548" s="1012"/>
      <c r="Z548" s="1012"/>
    </row>
    <row r="549" ht="15.75" customHeight="1">
      <c r="A549" s="1012"/>
      <c r="B549" s="1012"/>
      <c r="C549" s="1012"/>
      <c r="D549" s="1012"/>
      <c r="E549" s="1012"/>
      <c r="F549" s="1012"/>
      <c r="G549" s="1012"/>
      <c r="H549" s="1012"/>
      <c r="I549" s="1012"/>
      <c r="J549" s="1012"/>
      <c r="K549" s="1012"/>
      <c r="L549" s="1012"/>
      <c r="M549" s="1012"/>
      <c r="N549" s="1012"/>
      <c r="O549" s="1012"/>
      <c r="P549" s="1012"/>
      <c r="Q549" s="1012"/>
      <c r="R549" s="1012"/>
      <c r="S549" s="1012"/>
      <c r="T549" s="1012"/>
      <c r="U549" s="1012"/>
      <c r="V549" s="1012"/>
      <c r="W549" s="1012"/>
      <c r="X549" s="1012"/>
      <c r="Y549" s="1012"/>
      <c r="Z549" s="1012"/>
    </row>
    <row r="550" ht="15.75" customHeight="1">
      <c r="A550" s="1012"/>
      <c r="B550" s="1012"/>
      <c r="C550" s="1012"/>
      <c r="D550" s="1012"/>
      <c r="E550" s="1012"/>
      <c r="F550" s="1012"/>
      <c r="G550" s="1012"/>
      <c r="H550" s="1012"/>
      <c r="I550" s="1012"/>
      <c r="J550" s="1012"/>
      <c r="K550" s="1012"/>
      <c r="L550" s="1012"/>
      <c r="M550" s="1012"/>
      <c r="N550" s="1012"/>
      <c r="O550" s="1012"/>
      <c r="P550" s="1012"/>
      <c r="Q550" s="1012"/>
      <c r="R550" s="1012"/>
      <c r="S550" s="1012"/>
      <c r="T550" s="1012"/>
      <c r="U550" s="1012"/>
      <c r="V550" s="1012"/>
      <c r="W550" s="1012"/>
      <c r="X550" s="1012"/>
      <c r="Y550" s="1012"/>
      <c r="Z550" s="1012"/>
    </row>
    <row r="551" ht="15.75" customHeight="1">
      <c r="A551" s="1012"/>
      <c r="B551" s="1012"/>
      <c r="C551" s="1012"/>
      <c r="D551" s="1012"/>
      <c r="E551" s="1012"/>
      <c r="F551" s="1012"/>
      <c r="G551" s="1012"/>
      <c r="H551" s="1012"/>
      <c r="I551" s="1012"/>
      <c r="J551" s="1012"/>
      <c r="K551" s="1012"/>
      <c r="L551" s="1012"/>
      <c r="M551" s="1012"/>
      <c r="N551" s="1012"/>
      <c r="O551" s="1012"/>
      <c r="P551" s="1012"/>
      <c r="Q551" s="1012"/>
      <c r="R551" s="1012"/>
      <c r="S551" s="1012"/>
      <c r="T551" s="1012"/>
      <c r="U551" s="1012"/>
      <c r="V551" s="1012"/>
      <c r="W551" s="1012"/>
      <c r="X551" s="1012"/>
      <c r="Y551" s="1012"/>
      <c r="Z551" s="1012"/>
    </row>
    <row r="552" ht="15.75" customHeight="1">
      <c r="A552" s="1012"/>
      <c r="B552" s="1012"/>
      <c r="C552" s="1012"/>
      <c r="D552" s="1012"/>
      <c r="E552" s="1012"/>
      <c r="F552" s="1012"/>
      <c r="G552" s="1012"/>
      <c r="H552" s="1012"/>
      <c r="I552" s="1012"/>
      <c r="J552" s="1012"/>
      <c r="K552" s="1012"/>
      <c r="L552" s="1012"/>
      <c r="M552" s="1012"/>
      <c r="N552" s="1012"/>
      <c r="O552" s="1012"/>
      <c r="P552" s="1012"/>
      <c r="Q552" s="1012"/>
      <c r="R552" s="1012"/>
      <c r="S552" s="1012"/>
      <c r="T552" s="1012"/>
      <c r="U552" s="1012"/>
      <c r="V552" s="1012"/>
      <c r="W552" s="1012"/>
      <c r="X552" s="1012"/>
      <c r="Y552" s="1012"/>
      <c r="Z552" s="1012"/>
    </row>
    <row r="553" ht="15.75" customHeight="1">
      <c r="A553" s="1012"/>
      <c r="B553" s="1012"/>
      <c r="C553" s="1012"/>
      <c r="D553" s="1012"/>
      <c r="E553" s="1012"/>
      <c r="F553" s="1012"/>
      <c r="G553" s="1012"/>
      <c r="H553" s="1012"/>
      <c r="I553" s="1012"/>
      <c r="J553" s="1012"/>
      <c r="K553" s="1012"/>
      <c r="L553" s="1012"/>
      <c r="M553" s="1012"/>
      <c r="N553" s="1012"/>
      <c r="O553" s="1012"/>
      <c r="P553" s="1012"/>
      <c r="Q553" s="1012"/>
      <c r="R553" s="1012"/>
      <c r="S553" s="1012"/>
      <c r="T553" s="1012"/>
      <c r="U553" s="1012"/>
      <c r="V553" s="1012"/>
      <c r="W553" s="1012"/>
      <c r="X553" s="1012"/>
      <c r="Y553" s="1012"/>
      <c r="Z553" s="1012"/>
    </row>
    <row r="554" ht="15.75" customHeight="1">
      <c r="A554" s="1012"/>
      <c r="B554" s="1012"/>
      <c r="C554" s="1012"/>
      <c r="D554" s="1012"/>
      <c r="E554" s="1012"/>
      <c r="F554" s="1012"/>
      <c r="G554" s="1012"/>
      <c r="H554" s="1012"/>
      <c r="I554" s="1012"/>
      <c r="J554" s="1012"/>
      <c r="K554" s="1012"/>
      <c r="L554" s="1012"/>
      <c r="M554" s="1012"/>
      <c r="N554" s="1012"/>
      <c r="O554" s="1012"/>
      <c r="P554" s="1012"/>
      <c r="Q554" s="1012"/>
      <c r="R554" s="1012"/>
      <c r="S554" s="1012"/>
      <c r="T554" s="1012"/>
      <c r="U554" s="1012"/>
      <c r="V554" s="1012"/>
      <c r="W554" s="1012"/>
      <c r="X554" s="1012"/>
      <c r="Y554" s="1012"/>
      <c r="Z554" s="1012"/>
    </row>
    <row r="555" ht="15.75" customHeight="1">
      <c r="A555" s="1012"/>
      <c r="B555" s="1012"/>
      <c r="C555" s="1012"/>
      <c r="D555" s="1012"/>
      <c r="E555" s="1012"/>
      <c r="F555" s="1012"/>
      <c r="G555" s="1012"/>
      <c r="H555" s="1012"/>
      <c r="I555" s="1012"/>
      <c r="J555" s="1012"/>
      <c r="K555" s="1012"/>
      <c r="L555" s="1012"/>
      <c r="M555" s="1012"/>
      <c r="N555" s="1012"/>
      <c r="O555" s="1012"/>
      <c r="P555" s="1012"/>
      <c r="Q555" s="1012"/>
      <c r="R555" s="1012"/>
      <c r="S555" s="1012"/>
      <c r="T555" s="1012"/>
      <c r="U555" s="1012"/>
      <c r="V555" s="1012"/>
      <c r="W555" s="1012"/>
      <c r="X555" s="1012"/>
      <c r="Y555" s="1012"/>
      <c r="Z555" s="1012"/>
    </row>
    <row r="556" ht="15.75" customHeight="1">
      <c r="A556" s="1012"/>
      <c r="B556" s="1012"/>
      <c r="C556" s="1012"/>
      <c r="D556" s="1012"/>
      <c r="E556" s="1012"/>
      <c r="F556" s="1012"/>
      <c r="G556" s="1012"/>
      <c r="H556" s="1012"/>
      <c r="I556" s="1012"/>
      <c r="J556" s="1012"/>
      <c r="K556" s="1012"/>
      <c r="L556" s="1012"/>
      <c r="M556" s="1012"/>
      <c r="N556" s="1012"/>
      <c r="O556" s="1012"/>
      <c r="P556" s="1012"/>
      <c r="Q556" s="1012"/>
      <c r="R556" s="1012"/>
      <c r="S556" s="1012"/>
      <c r="T556" s="1012"/>
      <c r="U556" s="1012"/>
      <c r="V556" s="1012"/>
      <c r="W556" s="1012"/>
      <c r="X556" s="1012"/>
      <c r="Y556" s="1012"/>
      <c r="Z556" s="1012"/>
    </row>
    <row r="557" ht="15.75" customHeight="1">
      <c r="A557" s="1012"/>
      <c r="B557" s="1012"/>
      <c r="C557" s="1012"/>
      <c r="D557" s="1012"/>
      <c r="E557" s="1012"/>
      <c r="F557" s="1012"/>
      <c r="G557" s="1012"/>
      <c r="H557" s="1012"/>
      <c r="I557" s="1012"/>
      <c r="J557" s="1012"/>
      <c r="K557" s="1012"/>
      <c r="L557" s="1012"/>
      <c r="M557" s="1012"/>
      <c r="N557" s="1012"/>
      <c r="O557" s="1012"/>
      <c r="P557" s="1012"/>
      <c r="Q557" s="1012"/>
      <c r="R557" s="1012"/>
      <c r="S557" s="1012"/>
      <c r="T557" s="1012"/>
      <c r="U557" s="1012"/>
      <c r="V557" s="1012"/>
      <c r="W557" s="1012"/>
      <c r="X557" s="1012"/>
      <c r="Y557" s="1012"/>
      <c r="Z557" s="1012"/>
    </row>
    <row r="558" ht="15.75" customHeight="1">
      <c r="A558" s="1012"/>
      <c r="B558" s="1012"/>
      <c r="C558" s="1012"/>
      <c r="D558" s="1012"/>
      <c r="E558" s="1012"/>
      <c r="F558" s="1012"/>
      <c r="G558" s="1012"/>
      <c r="H558" s="1012"/>
      <c r="I558" s="1012"/>
      <c r="J558" s="1012"/>
      <c r="K558" s="1012"/>
      <c r="L558" s="1012"/>
      <c r="M558" s="1012"/>
      <c r="N558" s="1012"/>
      <c r="O558" s="1012"/>
      <c r="P558" s="1012"/>
      <c r="Q558" s="1012"/>
      <c r="R558" s="1012"/>
      <c r="S558" s="1012"/>
      <c r="T558" s="1012"/>
      <c r="U558" s="1012"/>
      <c r="V558" s="1012"/>
      <c r="W558" s="1012"/>
      <c r="X558" s="1012"/>
      <c r="Y558" s="1012"/>
      <c r="Z558" s="1012"/>
    </row>
    <row r="559" ht="15.75" customHeight="1">
      <c r="A559" s="1012"/>
      <c r="B559" s="1012"/>
      <c r="C559" s="1012"/>
      <c r="D559" s="1012"/>
      <c r="E559" s="1012"/>
      <c r="F559" s="1012"/>
      <c r="G559" s="1012"/>
      <c r="H559" s="1012"/>
      <c r="I559" s="1012"/>
      <c r="J559" s="1012"/>
      <c r="K559" s="1012"/>
      <c r="L559" s="1012"/>
      <c r="M559" s="1012"/>
      <c r="N559" s="1012"/>
      <c r="O559" s="1012"/>
      <c r="P559" s="1012"/>
      <c r="Q559" s="1012"/>
      <c r="R559" s="1012"/>
      <c r="S559" s="1012"/>
      <c r="T559" s="1012"/>
      <c r="U559" s="1012"/>
      <c r="V559" s="1012"/>
      <c r="W559" s="1012"/>
      <c r="X559" s="1012"/>
      <c r="Y559" s="1012"/>
      <c r="Z559" s="1012"/>
    </row>
    <row r="560" ht="15.75" customHeight="1">
      <c r="A560" s="1012"/>
      <c r="B560" s="1012"/>
      <c r="C560" s="1012"/>
      <c r="D560" s="1012"/>
      <c r="E560" s="1012"/>
      <c r="F560" s="1012"/>
      <c r="G560" s="1012"/>
      <c r="H560" s="1012"/>
      <c r="I560" s="1012"/>
      <c r="J560" s="1012"/>
      <c r="K560" s="1012"/>
      <c r="L560" s="1012"/>
      <c r="M560" s="1012"/>
      <c r="N560" s="1012"/>
      <c r="O560" s="1012"/>
      <c r="P560" s="1012"/>
      <c r="Q560" s="1012"/>
      <c r="R560" s="1012"/>
      <c r="S560" s="1012"/>
      <c r="T560" s="1012"/>
      <c r="U560" s="1012"/>
      <c r="V560" s="1012"/>
      <c r="W560" s="1012"/>
      <c r="X560" s="1012"/>
      <c r="Y560" s="1012"/>
      <c r="Z560" s="1012"/>
    </row>
    <row r="561" ht="15.75" customHeight="1">
      <c r="A561" s="1012"/>
      <c r="B561" s="1012"/>
      <c r="C561" s="1012"/>
      <c r="D561" s="1012"/>
      <c r="E561" s="1012"/>
      <c r="F561" s="1012"/>
      <c r="G561" s="1012"/>
      <c r="H561" s="1012"/>
      <c r="I561" s="1012"/>
      <c r="J561" s="1012"/>
      <c r="K561" s="1012"/>
      <c r="L561" s="1012"/>
      <c r="M561" s="1012"/>
      <c r="N561" s="1012"/>
      <c r="O561" s="1012"/>
      <c r="P561" s="1012"/>
      <c r="Q561" s="1012"/>
      <c r="R561" s="1012"/>
      <c r="S561" s="1012"/>
      <c r="T561" s="1012"/>
      <c r="U561" s="1012"/>
      <c r="V561" s="1012"/>
      <c r="W561" s="1012"/>
      <c r="X561" s="1012"/>
      <c r="Y561" s="1012"/>
      <c r="Z561" s="1012"/>
    </row>
    <row r="562" ht="15.75" customHeight="1">
      <c r="A562" s="1012"/>
      <c r="B562" s="1012"/>
      <c r="C562" s="1012"/>
      <c r="D562" s="1012"/>
      <c r="E562" s="1012"/>
      <c r="F562" s="1012"/>
      <c r="G562" s="1012"/>
      <c r="H562" s="1012"/>
      <c r="I562" s="1012"/>
      <c r="J562" s="1012"/>
      <c r="K562" s="1012"/>
      <c r="L562" s="1012"/>
      <c r="M562" s="1012"/>
      <c r="N562" s="1012"/>
      <c r="O562" s="1012"/>
      <c r="P562" s="1012"/>
      <c r="Q562" s="1012"/>
      <c r="R562" s="1012"/>
      <c r="S562" s="1012"/>
      <c r="T562" s="1012"/>
      <c r="U562" s="1012"/>
      <c r="V562" s="1012"/>
      <c r="W562" s="1012"/>
      <c r="X562" s="1012"/>
      <c r="Y562" s="1012"/>
      <c r="Z562" s="1012"/>
    </row>
    <row r="563" ht="15.75" customHeight="1">
      <c r="A563" s="1012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012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</row>
    <row r="564" ht="15.75" customHeight="1">
      <c r="A564" s="1012"/>
      <c r="B564" s="1012"/>
      <c r="C564" s="1012"/>
      <c r="D564" s="1012"/>
      <c r="E564" s="1012"/>
      <c r="F564" s="1012"/>
      <c r="G564" s="1012"/>
      <c r="H564" s="1012"/>
      <c r="I564" s="1012"/>
      <c r="J564" s="1012"/>
      <c r="K564" s="1012"/>
      <c r="L564" s="1012"/>
      <c r="M564" s="1012"/>
      <c r="N564" s="1012"/>
      <c r="O564" s="1012"/>
      <c r="P564" s="1012"/>
      <c r="Q564" s="1012"/>
      <c r="R564" s="1012"/>
      <c r="S564" s="1012"/>
      <c r="T564" s="1012"/>
      <c r="U564" s="1012"/>
      <c r="V564" s="1012"/>
      <c r="W564" s="1012"/>
      <c r="X564" s="1012"/>
      <c r="Y564" s="1012"/>
      <c r="Z564" s="1012"/>
    </row>
    <row r="565" ht="15.75" customHeight="1">
      <c r="A565" s="1012"/>
      <c r="B565" s="1012"/>
      <c r="C565" s="1012"/>
      <c r="D565" s="1012"/>
      <c r="E565" s="1012"/>
      <c r="F565" s="1012"/>
      <c r="G565" s="1012"/>
      <c r="H565" s="1012"/>
      <c r="I565" s="1012"/>
      <c r="J565" s="1012"/>
      <c r="K565" s="1012"/>
      <c r="L565" s="1012"/>
      <c r="M565" s="1012"/>
      <c r="N565" s="1012"/>
      <c r="O565" s="1012"/>
      <c r="P565" s="1012"/>
      <c r="Q565" s="1012"/>
      <c r="R565" s="1012"/>
      <c r="S565" s="1012"/>
      <c r="T565" s="1012"/>
      <c r="U565" s="1012"/>
      <c r="V565" s="1012"/>
      <c r="W565" s="1012"/>
      <c r="X565" s="1012"/>
      <c r="Y565" s="1012"/>
      <c r="Z565" s="1012"/>
    </row>
    <row r="566" ht="15.75" customHeight="1">
      <c r="A566" s="1012"/>
      <c r="B566" s="1012"/>
      <c r="C566" s="1012"/>
      <c r="D566" s="1012"/>
      <c r="E566" s="1012"/>
      <c r="F566" s="1012"/>
      <c r="G566" s="1012"/>
      <c r="H566" s="1012"/>
      <c r="I566" s="1012"/>
      <c r="J566" s="1012"/>
      <c r="K566" s="1012"/>
      <c r="L566" s="1012"/>
      <c r="M566" s="1012"/>
      <c r="N566" s="1012"/>
      <c r="O566" s="1012"/>
      <c r="P566" s="1012"/>
      <c r="Q566" s="1012"/>
      <c r="R566" s="1012"/>
      <c r="S566" s="1012"/>
      <c r="T566" s="1012"/>
      <c r="U566" s="1012"/>
      <c r="V566" s="1012"/>
      <c r="W566" s="1012"/>
      <c r="X566" s="1012"/>
      <c r="Y566" s="1012"/>
      <c r="Z566" s="1012"/>
    </row>
    <row r="567" ht="15.75" customHeight="1">
      <c r="A567" s="1012"/>
      <c r="B567" s="1012"/>
      <c r="C567" s="1012"/>
      <c r="D567" s="1012"/>
      <c r="E567" s="1012"/>
      <c r="F567" s="1012"/>
      <c r="G567" s="1012"/>
      <c r="H567" s="1012"/>
      <c r="I567" s="1012"/>
      <c r="J567" s="1012"/>
      <c r="K567" s="1012"/>
      <c r="L567" s="1012"/>
      <c r="M567" s="1012"/>
      <c r="N567" s="1012"/>
      <c r="O567" s="1012"/>
      <c r="P567" s="1012"/>
      <c r="Q567" s="1012"/>
      <c r="R567" s="1012"/>
      <c r="S567" s="1012"/>
      <c r="T567" s="1012"/>
      <c r="U567" s="1012"/>
      <c r="V567" s="1012"/>
      <c r="W567" s="1012"/>
      <c r="X567" s="1012"/>
      <c r="Y567" s="1012"/>
      <c r="Z567" s="1012"/>
    </row>
    <row r="568" ht="15.75" customHeight="1">
      <c r="A568" s="1012"/>
      <c r="B568" s="1012"/>
      <c r="C568" s="1012"/>
      <c r="D568" s="1012"/>
      <c r="E568" s="1012"/>
      <c r="F568" s="1012"/>
      <c r="G568" s="1012"/>
      <c r="H568" s="1012"/>
      <c r="I568" s="1012"/>
      <c r="J568" s="1012"/>
      <c r="K568" s="1012"/>
      <c r="L568" s="1012"/>
      <c r="M568" s="1012"/>
      <c r="N568" s="1012"/>
      <c r="O568" s="1012"/>
      <c r="P568" s="1012"/>
      <c r="Q568" s="1012"/>
      <c r="R568" s="1012"/>
      <c r="S568" s="1012"/>
      <c r="T568" s="1012"/>
      <c r="U568" s="1012"/>
      <c r="V568" s="1012"/>
      <c r="W568" s="1012"/>
      <c r="X568" s="1012"/>
      <c r="Y568" s="1012"/>
      <c r="Z568" s="1012"/>
    </row>
    <row r="569" ht="15.75" customHeight="1">
      <c r="A569" s="1012"/>
      <c r="B569" s="1012"/>
      <c r="C569" s="1012"/>
      <c r="D569" s="1012"/>
      <c r="E569" s="1012"/>
      <c r="F569" s="1012"/>
      <c r="G569" s="1012"/>
      <c r="H569" s="1012"/>
      <c r="I569" s="1012"/>
      <c r="J569" s="1012"/>
      <c r="K569" s="1012"/>
      <c r="L569" s="1012"/>
      <c r="M569" s="1012"/>
      <c r="N569" s="1012"/>
      <c r="O569" s="1012"/>
      <c r="P569" s="1012"/>
      <c r="Q569" s="1012"/>
      <c r="R569" s="1012"/>
      <c r="S569" s="1012"/>
      <c r="T569" s="1012"/>
      <c r="U569" s="1012"/>
      <c r="V569" s="1012"/>
      <c r="W569" s="1012"/>
      <c r="X569" s="1012"/>
      <c r="Y569" s="1012"/>
      <c r="Z569" s="1012"/>
    </row>
    <row r="570" ht="15.75" customHeight="1">
      <c r="A570" s="1012"/>
      <c r="B570" s="1012"/>
      <c r="C570" s="1012"/>
      <c r="D570" s="1012"/>
      <c r="E570" s="1012"/>
      <c r="F570" s="1012"/>
      <c r="G570" s="1012"/>
      <c r="H570" s="1012"/>
      <c r="I570" s="1012"/>
      <c r="J570" s="1012"/>
      <c r="K570" s="1012"/>
      <c r="L570" s="1012"/>
      <c r="M570" s="1012"/>
      <c r="N570" s="1012"/>
      <c r="O570" s="1012"/>
      <c r="P570" s="1012"/>
      <c r="Q570" s="1012"/>
      <c r="R570" s="1012"/>
      <c r="S570" s="1012"/>
      <c r="T570" s="1012"/>
      <c r="U570" s="1012"/>
      <c r="V570" s="1012"/>
      <c r="W570" s="1012"/>
      <c r="X570" s="1012"/>
      <c r="Y570" s="1012"/>
      <c r="Z570" s="1012"/>
    </row>
    <row r="571" ht="15.75" customHeight="1">
      <c r="A571" s="1012"/>
      <c r="B571" s="1012"/>
      <c r="C571" s="1012"/>
      <c r="D571" s="1012"/>
      <c r="E571" s="1012"/>
      <c r="F571" s="1012"/>
      <c r="G571" s="1012"/>
      <c r="H571" s="1012"/>
      <c r="I571" s="1012"/>
      <c r="J571" s="1012"/>
      <c r="K571" s="1012"/>
      <c r="L571" s="1012"/>
      <c r="M571" s="1012"/>
      <c r="N571" s="1012"/>
      <c r="O571" s="1012"/>
      <c r="P571" s="1012"/>
      <c r="Q571" s="1012"/>
      <c r="R571" s="1012"/>
      <c r="S571" s="1012"/>
      <c r="T571" s="1012"/>
      <c r="U571" s="1012"/>
      <c r="V571" s="1012"/>
      <c r="W571" s="1012"/>
      <c r="X571" s="1012"/>
      <c r="Y571" s="1012"/>
      <c r="Z571" s="1012"/>
    </row>
    <row r="572" ht="15.75" customHeight="1">
      <c r="A572" s="1012"/>
      <c r="B572" s="1012"/>
      <c r="C572" s="1012"/>
      <c r="D572" s="1012"/>
      <c r="E572" s="1012"/>
      <c r="F572" s="1012"/>
      <c r="G572" s="1012"/>
      <c r="H572" s="1012"/>
      <c r="I572" s="1012"/>
      <c r="J572" s="1012"/>
      <c r="K572" s="1012"/>
      <c r="L572" s="1012"/>
      <c r="M572" s="1012"/>
      <c r="N572" s="1012"/>
      <c r="O572" s="1012"/>
      <c r="P572" s="1012"/>
      <c r="Q572" s="1012"/>
      <c r="R572" s="1012"/>
      <c r="S572" s="1012"/>
      <c r="T572" s="1012"/>
      <c r="U572" s="1012"/>
      <c r="V572" s="1012"/>
      <c r="W572" s="1012"/>
      <c r="X572" s="1012"/>
      <c r="Y572" s="1012"/>
      <c r="Z572" s="1012"/>
    </row>
    <row r="573" ht="15.75" customHeight="1">
      <c r="A573" s="1012"/>
      <c r="B573" s="1012"/>
      <c r="C573" s="1012"/>
      <c r="D573" s="1012"/>
      <c r="E573" s="1012"/>
      <c r="F573" s="1012"/>
      <c r="G573" s="1012"/>
      <c r="H573" s="1012"/>
      <c r="I573" s="1012"/>
      <c r="J573" s="1012"/>
      <c r="K573" s="1012"/>
      <c r="L573" s="1012"/>
      <c r="M573" s="1012"/>
      <c r="N573" s="1012"/>
      <c r="O573" s="1012"/>
      <c r="P573" s="1012"/>
      <c r="Q573" s="1012"/>
      <c r="R573" s="1012"/>
      <c r="S573" s="1012"/>
      <c r="T573" s="1012"/>
      <c r="U573" s="1012"/>
      <c r="V573" s="1012"/>
      <c r="W573" s="1012"/>
      <c r="X573" s="1012"/>
      <c r="Y573" s="1012"/>
      <c r="Z573" s="1012"/>
    </row>
    <row r="574" ht="15.75" customHeight="1">
      <c r="A574" s="1012"/>
      <c r="B574" s="1012"/>
      <c r="C574" s="1012"/>
      <c r="D574" s="1012"/>
      <c r="E574" s="1012"/>
      <c r="F574" s="1012"/>
      <c r="G574" s="1012"/>
      <c r="H574" s="1012"/>
      <c r="I574" s="1012"/>
      <c r="J574" s="1012"/>
      <c r="K574" s="1012"/>
      <c r="L574" s="1012"/>
      <c r="M574" s="1012"/>
      <c r="N574" s="1012"/>
      <c r="O574" s="1012"/>
      <c r="P574" s="1012"/>
      <c r="Q574" s="1012"/>
      <c r="R574" s="1012"/>
      <c r="S574" s="1012"/>
      <c r="T574" s="1012"/>
      <c r="U574" s="1012"/>
      <c r="V574" s="1012"/>
      <c r="W574" s="1012"/>
      <c r="X574" s="1012"/>
      <c r="Y574" s="1012"/>
      <c r="Z574" s="1012"/>
    </row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35.75"/>
    <col customWidth="1" min="3" max="3" width="12.25"/>
    <col customWidth="1" min="4" max="4" width="12.75"/>
    <col customWidth="1" min="5" max="5" width="11.13"/>
    <col customWidth="1" min="6" max="7" width="12.38"/>
    <col customWidth="1" min="8" max="8" width="12.75"/>
    <col customWidth="1" min="9" max="9" width="12.13"/>
    <col customWidth="1" min="10" max="10" width="15.13"/>
    <col customWidth="1" min="11" max="11" width="10.0"/>
    <col customWidth="1" min="12" max="12" width="31.0"/>
    <col customWidth="1" min="13" max="13" width="11.38"/>
    <col customWidth="1" min="14" max="16" width="10.88"/>
    <col customWidth="1" min="17" max="26" width="10.75"/>
  </cols>
  <sheetData>
    <row r="1">
      <c r="A1" s="1056"/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  <c r="M1" s="1056"/>
      <c r="N1" s="1056"/>
      <c r="O1" s="1056"/>
      <c r="P1" s="1056"/>
      <c r="Q1" s="1056"/>
      <c r="R1" s="1056"/>
      <c r="S1" s="1056"/>
      <c r="T1" s="1056"/>
      <c r="U1" s="1056"/>
      <c r="V1" s="1056"/>
      <c r="W1" s="1056"/>
      <c r="X1" s="1056"/>
      <c r="Y1" s="1056"/>
      <c r="Z1" s="1056"/>
    </row>
    <row r="2" ht="26.25" customHeight="1">
      <c r="A2" s="1013"/>
      <c r="B2" s="1057" t="s">
        <v>707</v>
      </c>
      <c r="C2" s="1057"/>
      <c r="D2" s="1057"/>
      <c r="E2" s="1057"/>
      <c r="F2" s="1057"/>
      <c r="G2" s="1057"/>
      <c r="H2" s="1057"/>
      <c r="I2" s="1057"/>
      <c r="J2" s="1058"/>
      <c r="K2" s="1058"/>
      <c r="L2" s="1058"/>
      <c r="M2" s="1058"/>
      <c r="N2" s="1058"/>
      <c r="O2" s="1013"/>
      <c r="P2" s="1013"/>
      <c r="Q2" s="1013"/>
      <c r="R2" s="1013"/>
      <c r="S2" s="1013"/>
      <c r="T2" s="1013"/>
      <c r="U2" s="1013"/>
      <c r="V2" s="1013"/>
      <c r="W2" s="1013"/>
      <c r="X2" s="1013"/>
      <c r="Y2" s="1013"/>
      <c r="Z2" s="1013"/>
    </row>
    <row r="3">
      <c r="A3" s="1059"/>
      <c r="B3" s="169"/>
      <c r="C3" s="1060"/>
      <c r="D3" s="1060"/>
      <c r="E3" s="1060"/>
      <c r="F3" s="1060"/>
      <c r="G3" s="1060"/>
      <c r="H3" s="1060"/>
      <c r="I3" s="1060"/>
      <c r="J3" s="1060"/>
      <c r="K3" s="1060"/>
      <c r="L3" s="1059"/>
      <c r="M3" s="1059"/>
      <c r="N3" s="1059"/>
      <c r="O3" s="1059"/>
      <c r="P3" s="1059"/>
      <c r="Q3" s="1056"/>
      <c r="R3" s="1056"/>
      <c r="S3" s="1056"/>
      <c r="T3" s="1056"/>
      <c r="U3" s="1056"/>
      <c r="V3" s="1056"/>
      <c r="W3" s="1056"/>
      <c r="X3" s="1056"/>
      <c r="Y3" s="1056"/>
      <c r="Z3" s="1056"/>
    </row>
    <row r="4" ht="24.75" customHeight="1">
      <c r="A4" s="1059"/>
      <c r="B4" s="181" t="s">
        <v>708</v>
      </c>
      <c r="C4" s="1061">
        <v>1.0</v>
      </c>
      <c r="D4" s="1061">
        <v>2.0</v>
      </c>
      <c r="E4" s="1061">
        <v>3.0</v>
      </c>
      <c r="F4" s="1061">
        <v>4.0</v>
      </c>
      <c r="G4" s="1061">
        <v>5.0</v>
      </c>
      <c r="H4" s="1061">
        <v>6.0</v>
      </c>
      <c r="I4" s="181"/>
      <c r="J4" s="295"/>
      <c r="K4" s="295"/>
      <c r="L4" s="1056"/>
      <c r="M4" s="1056"/>
      <c r="N4" s="308"/>
      <c r="O4" s="308"/>
      <c r="P4" s="308"/>
      <c r="Q4" s="1056"/>
      <c r="R4" s="1056"/>
      <c r="S4" s="1056"/>
      <c r="T4" s="1056"/>
      <c r="U4" s="1056"/>
      <c r="V4" s="1056"/>
      <c r="W4" s="1056"/>
      <c r="X4" s="1056"/>
      <c r="Y4" s="1056"/>
      <c r="Z4" s="1056"/>
    </row>
    <row r="5" ht="24.75" customHeight="1">
      <c r="A5" s="1059"/>
      <c r="B5" s="1062"/>
      <c r="C5" s="625">
        <f>YEAR(date_début)</f>
        <v>2025</v>
      </c>
      <c r="D5" s="625">
        <f>YEAR(EDATE(date_début,12))</f>
        <v>2026</v>
      </c>
      <c r="E5" s="625">
        <f>YEAR(EDATE(date_début,24))</f>
        <v>2027</v>
      </c>
      <c r="F5" s="625">
        <f>YEAR(EDATE(date_début,36))</f>
        <v>2028</v>
      </c>
      <c r="G5" s="625">
        <f>YEAR(EDATE(date_début,48))</f>
        <v>2029</v>
      </c>
      <c r="H5" s="625">
        <f>YEAR(EDATE(date_début,60))</f>
        <v>2030</v>
      </c>
      <c r="I5" s="1063" t="s">
        <v>709</v>
      </c>
      <c r="J5" s="295"/>
      <c r="K5" s="295"/>
      <c r="N5" s="308"/>
      <c r="O5" s="308"/>
      <c r="P5" s="308"/>
      <c r="Q5" s="1056"/>
      <c r="R5" s="1056"/>
      <c r="S5" s="1056"/>
      <c r="T5" s="1056"/>
      <c r="U5" s="1056"/>
      <c r="V5" s="1056"/>
      <c r="W5" s="1056"/>
      <c r="X5" s="1056"/>
      <c r="Y5" s="1056"/>
      <c r="Z5" s="1056"/>
    </row>
    <row r="6" ht="15.0" customHeight="1">
      <c r="A6" s="1059"/>
      <c r="B6" s="1064" t="s">
        <v>710</v>
      </c>
      <c r="C6" s="322">
        <f>CR!H11/1000</f>
        <v>284.6278227</v>
      </c>
      <c r="D6" s="322">
        <f>CR!M11/1000</f>
        <v>307.086459</v>
      </c>
      <c r="E6" s="322">
        <f>CR!N11/1000</f>
        <v>328.1152437</v>
      </c>
      <c r="F6" s="322">
        <f>CR!O11/1000</f>
        <v>370.4805285</v>
      </c>
      <c r="G6" s="322">
        <f t="shared" ref="G6:H6" si="1">+F6*(1+G7)</f>
        <v>407.5285814</v>
      </c>
      <c r="H6" s="322">
        <f t="shared" si="1"/>
        <v>448.2814395</v>
      </c>
      <c r="I6" s="322">
        <f>+G6*(1+I7)</f>
        <v>448.2814395</v>
      </c>
      <c r="J6" s="295"/>
      <c r="K6" s="295"/>
      <c r="N6" s="308"/>
      <c r="O6" s="308"/>
      <c r="P6" s="308"/>
      <c r="Q6" s="1056"/>
      <c r="R6" s="1056"/>
      <c r="S6" s="1056"/>
      <c r="T6" s="1056"/>
      <c r="U6" s="1056"/>
      <c r="V6" s="1056"/>
      <c r="W6" s="1056"/>
      <c r="X6" s="1056"/>
      <c r="Y6" s="1056"/>
      <c r="Z6" s="1056"/>
    </row>
    <row r="7" ht="15.0" customHeight="1">
      <c r="A7" s="1059"/>
      <c r="B7" s="286" t="s">
        <v>711</v>
      </c>
      <c r="C7" s="1065"/>
      <c r="D7" s="1065">
        <f t="shared" ref="D7:F7" si="2">+D6/C6-1</f>
        <v>0.07890527376</v>
      </c>
      <c r="E7" s="1065">
        <f t="shared" si="2"/>
        <v>0.06847838485</v>
      </c>
      <c r="F7" s="1065">
        <f t="shared" si="2"/>
        <v>0.129117088</v>
      </c>
      <c r="G7" s="1066">
        <v>0.1</v>
      </c>
      <c r="H7" s="1066">
        <v>0.1</v>
      </c>
      <c r="I7" s="1066">
        <v>0.1</v>
      </c>
      <c r="J7" s="224"/>
      <c r="K7" s="295"/>
      <c r="N7" s="308"/>
      <c r="O7" s="308"/>
      <c r="P7" s="308"/>
      <c r="Q7" s="1056"/>
      <c r="R7" s="1056"/>
      <c r="S7" s="1056"/>
      <c r="T7" s="1056"/>
      <c r="U7" s="1056"/>
      <c r="V7" s="1056"/>
      <c r="W7" s="1056"/>
      <c r="X7" s="1056"/>
      <c r="Y7" s="1056"/>
      <c r="Z7" s="1056"/>
    </row>
    <row r="8" ht="15.0" customHeight="1">
      <c r="A8" s="1059"/>
      <c r="B8" s="1064" t="s">
        <v>712</v>
      </c>
      <c r="C8" s="322">
        <f>CR!H48/1000</f>
        <v>89.25989364</v>
      </c>
      <c r="D8" s="322">
        <f>CR!M48/1000</f>
        <v>85.41746455</v>
      </c>
      <c r="E8" s="322">
        <f>CR!N48/1000</f>
        <v>98.47794881</v>
      </c>
      <c r="F8" s="322">
        <f>CR!O48/1000</f>
        <v>126.3264294</v>
      </c>
      <c r="G8" s="322">
        <f t="shared" ref="G8:I8" si="3">+G6*G9</f>
        <v>122.2585744</v>
      </c>
      <c r="H8" s="322">
        <f t="shared" si="3"/>
        <v>134.4844319</v>
      </c>
      <c r="I8" s="322">
        <f t="shared" si="3"/>
        <v>134.4844319</v>
      </c>
      <c r="J8" s="295"/>
      <c r="K8" s="295"/>
      <c r="N8" s="308"/>
      <c r="O8" s="308"/>
      <c r="P8" s="308"/>
      <c r="Q8" s="1056"/>
      <c r="R8" s="1056"/>
      <c r="S8" s="1056"/>
      <c r="T8" s="1056"/>
      <c r="U8" s="1056"/>
      <c r="V8" s="1056"/>
      <c r="W8" s="1056"/>
      <c r="X8" s="1056"/>
      <c r="Y8" s="1056"/>
      <c r="Z8" s="1056"/>
    </row>
    <row r="9" ht="15.0" customHeight="1">
      <c r="A9" s="1059"/>
      <c r="B9" s="286" t="s">
        <v>713</v>
      </c>
      <c r="C9" s="1065">
        <f t="shared" ref="C9:F9" si="4">+C8/C6</f>
        <v>0.3136021376</v>
      </c>
      <c r="D9" s="1065">
        <f t="shared" si="4"/>
        <v>0.2781544482</v>
      </c>
      <c r="E9" s="1065">
        <f t="shared" si="4"/>
        <v>0.3001321965</v>
      </c>
      <c r="F9" s="1065">
        <f t="shared" si="4"/>
        <v>0.3409799428</v>
      </c>
      <c r="G9" s="1066">
        <v>0.3</v>
      </c>
      <c r="H9" s="1066">
        <v>0.3</v>
      </c>
      <c r="I9" s="1066">
        <v>0.3</v>
      </c>
      <c r="J9" s="295"/>
      <c r="K9" s="295"/>
      <c r="N9" s="308"/>
      <c r="O9" s="308"/>
      <c r="P9" s="308"/>
      <c r="Q9" s="1056"/>
      <c r="R9" s="1056"/>
      <c r="S9" s="1056"/>
      <c r="T9" s="1056"/>
      <c r="U9" s="1056"/>
      <c r="V9" s="1056"/>
      <c r="W9" s="1056"/>
      <c r="X9" s="1056"/>
      <c r="Y9" s="1056"/>
      <c r="Z9" s="1056"/>
    </row>
    <row r="10" ht="15.0" customHeight="1">
      <c r="A10" s="1059"/>
      <c r="B10" s="1064" t="s">
        <v>714</v>
      </c>
      <c r="C10" s="322">
        <f>CR!H60/1000</f>
        <v>-21.22049424</v>
      </c>
      <c r="D10" s="322">
        <f>CR!M60/1000</f>
        <v>-19.58763501</v>
      </c>
      <c r="E10" s="322">
        <f>CR!N60/1000</f>
        <v>-23.09782506</v>
      </c>
      <c r="F10" s="322">
        <f>CR!O60/1000</f>
        <v>-30.31487162</v>
      </c>
      <c r="G10" s="322">
        <f t="shared" ref="G10:I10" si="5">G8*G11</f>
        <v>-30.5646436</v>
      </c>
      <c r="H10" s="322">
        <f t="shared" si="5"/>
        <v>-33.62110796</v>
      </c>
      <c r="I10" s="322">
        <f t="shared" si="5"/>
        <v>-33.62110796</v>
      </c>
      <c r="J10" s="295"/>
      <c r="K10" s="295"/>
      <c r="N10" s="308"/>
      <c r="O10" s="308"/>
      <c r="P10" s="308"/>
      <c r="Q10" s="1056"/>
      <c r="R10" s="1056"/>
      <c r="S10" s="1056"/>
      <c r="T10" s="1056"/>
      <c r="U10" s="1056"/>
      <c r="V10" s="1056"/>
      <c r="W10" s="1056"/>
      <c r="X10" s="1056"/>
      <c r="Y10" s="1056"/>
      <c r="Z10" s="1056"/>
    </row>
    <row r="11" ht="15.0" customHeight="1">
      <c r="A11" s="1059"/>
      <c r="B11" s="1067" t="s">
        <v>715</v>
      </c>
      <c r="C11" s="1068">
        <f t="shared" ref="C11:F11" si="6">C10/C8</f>
        <v>-0.2377382874</v>
      </c>
      <c r="D11" s="1068">
        <f t="shared" si="6"/>
        <v>-0.2293165117</v>
      </c>
      <c r="E11" s="1068">
        <f t="shared" si="6"/>
        <v>-0.2345481942</v>
      </c>
      <c r="F11" s="1068">
        <f t="shared" si="6"/>
        <v>-0.23997252</v>
      </c>
      <c r="G11" s="1069">
        <v>-0.25</v>
      </c>
      <c r="H11" s="1069">
        <v>-0.25</v>
      </c>
      <c r="I11" s="1069">
        <v>-0.25</v>
      </c>
      <c r="J11" s="1070"/>
      <c r="K11" s="295"/>
      <c r="N11" s="308"/>
      <c r="O11" s="308"/>
      <c r="P11" s="308"/>
      <c r="Q11" s="1056"/>
      <c r="R11" s="1056"/>
      <c r="S11" s="1056"/>
      <c r="T11" s="1056"/>
      <c r="U11" s="1056"/>
      <c r="V11" s="1056"/>
      <c r="W11" s="1056"/>
      <c r="X11" s="1056"/>
      <c r="Y11" s="1056"/>
      <c r="Z11" s="1056"/>
    </row>
    <row r="12" ht="15.0" customHeight="1">
      <c r="A12" s="1059"/>
      <c r="B12" s="543" t="s">
        <v>716</v>
      </c>
      <c r="C12" s="1071">
        <f t="shared" ref="C12:I12" si="7">SUM(C8:C10)</f>
        <v>68.35300153</v>
      </c>
      <c r="D12" s="1071">
        <f t="shared" si="7"/>
        <v>66.10798399</v>
      </c>
      <c r="E12" s="1071">
        <f t="shared" si="7"/>
        <v>75.68025594</v>
      </c>
      <c r="F12" s="1071">
        <f t="shared" si="7"/>
        <v>96.35253776</v>
      </c>
      <c r="G12" s="1071">
        <f t="shared" si="7"/>
        <v>91.99393081</v>
      </c>
      <c r="H12" s="1071">
        <f t="shared" si="7"/>
        <v>101.1633239</v>
      </c>
      <c r="I12" s="1072">
        <f t="shared" si="7"/>
        <v>101.1633239</v>
      </c>
      <c r="J12" s="308"/>
      <c r="K12" s="295"/>
      <c r="L12" s="1073"/>
      <c r="M12" s="1073"/>
      <c r="N12" s="308"/>
      <c r="O12" s="308"/>
      <c r="P12" s="308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</row>
    <row r="13" ht="15.0" customHeight="1">
      <c r="A13" s="1059"/>
      <c r="B13" s="187" t="s">
        <v>523</v>
      </c>
      <c r="C13" s="322">
        <f>-Investissements!I53/1000</f>
        <v>0</v>
      </c>
      <c r="D13" s="322">
        <f>-Investissements!N53/1000</f>
        <v>0</v>
      </c>
      <c r="E13" s="322">
        <f>-Investissements!O53/1000</f>
        <v>0</v>
      </c>
      <c r="F13" s="322">
        <f>-Investissements!P53/1000</f>
        <v>0</v>
      </c>
      <c r="G13" s="322">
        <f t="shared" ref="G13:I13" si="8">-(G6*G14)</f>
        <v>-8.150571627</v>
      </c>
      <c r="H13" s="322">
        <f t="shared" si="8"/>
        <v>-8.96562879</v>
      </c>
      <c r="I13" s="322">
        <f t="shared" si="8"/>
        <v>-8.96562879</v>
      </c>
      <c r="J13" s="308"/>
      <c r="K13" s="295"/>
      <c r="L13" s="308"/>
      <c r="M13" s="308"/>
      <c r="N13" s="308"/>
      <c r="O13" s="308"/>
      <c r="P13" s="308"/>
      <c r="Q13" s="1056"/>
      <c r="R13" s="1056"/>
      <c r="S13" s="1056"/>
      <c r="T13" s="1056"/>
      <c r="U13" s="1056"/>
      <c r="V13" s="1056"/>
      <c r="W13" s="1056"/>
      <c r="X13" s="1056"/>
      <c r="Y13" s="1056"/>
      <c r="Z13" s="1056"/>
    </row>
    <row r="14" ht="15.0" customHeight="1">
      <c r="A14" s="1059"/>
      <c r="B14" s="286" t="s">
        <v>717</v>
      </c>
      <c r="C14" s="1065">
        <f t="shared" ref="C14:F14" si="9">-C13/C6</f>
        <v>0</v>
      </c>
      <c r="D14" s="1065">
        <f t="shared" si="9"/>
        <v>0</v>
      </c>
      <c r="E14" s="1065">
        <f t="shared" si="9"/>
        <v>0</v>
      </c>
      <c r="F14" s="1065">
        <f t="shared" si="9"/>
        <v>0</v>
      </c>
      <c r="G14" s="1066">
        <v>0.02</v>
      </c>
      <c r="H14" s="1066">
        <v>0.02</v>
      </c>
      <c r="I14" s="1066">
        <v>0.02</v>
      </c>
      <c r="J14" s="308"/>
      <c r="K14" s="295"/>
      <c r="L14" s="308"/>
      <c r="M14" s="308"/>
      <c r="N14" s="308"/>
      <c r="O14" s="308"/>
      <c r="P14" s="308"/>
      <c r="Q14" s="1056"/>
      <c r="R14" s="1056"/>
      <c r="S14" s="1056"/>
      <c r="T14" s="1056"/>
      <c r="U14" s="1056"/>
      <c r="V14" s="1056"/>
      <c r="W14" s="1056"/>
      <c r="X14" s="1056"/>
      <c r="Y14" s="1056"/>
      <c r="Z14" s="1056"/>
    </row>
    <row r="15" ht="15.0" customHeight="1">
      <c r="A15" s="1059"/>
      <c r="B15" s="1064" t="s">
        <v>519</v>
      </c>
      <c r="C15" s="322">
        <f>-Investissements!I54/1000</f>
        <v>0</v>
      </c>
      <c r="D15" s="322">
        <f>-Investissements!N54/1000</f>
        <v>0</v>
      </c>
      <c r="E15" s="322">
        <f>-Investissements!O54/1000</f>
        <v>0</v>
      </c>
      <c r="F15" s="322">
        <f>-Investissements!P54/1000</f>
        <v>0</v>
      </c>
      <c r="G15" s="322">
        <f t="shared" ref="G15:H15" si="10">+F15+G13/3</f>
        <v>-2.716857209</v>
      </c>
      <c r="H15" s="322">
        <f t="shared" si="10"/>
        <v>-5.705400139</v>
      </c>
      <c r="I15" s="322">
        <f>+I13</f>
        <v>-8.96562879</v>
      </c>
      <c r="J15" s="308"/>
      <c r="K15" s="295"/>
      <c r="L15" s="1056"/>
      <c r="M15" s="1056"/>
      <c r="N15" s="1056"/>
      <c r="O15" s="1056"/>
      <c r="P15" s="308"/>
      <c r="Q15" s="1056"/>
      <c r="R15" s="1056"/>
      <c r="S15" s="1056"/>
      <c r="T15" s="1056"/>
      <c r="U15" s="1056"/>
      <c r="V15" s="1056"/>
      <c r="W15" s="1056"/>
      <c r="X15" s="1056"/>
      <c r="Y15" s="1056"/>
      <c r="Z15" s="1056"/>
    </row>
    <row r="16" ht="15.0" customHeight="1">
      <c r="A16" s="1059"/>
      <c r="B16" s="286" t="s">
        <v>718</v>
      </c>
      <c r="C16" s="1065" t="str">
        <f t="shared" ref="C16:I16" si="11">+C15/C13</f>
        <v>#DIV/0!</v>
      </c>
      <c r="D16" s="1065" t="str">
        <f t="shared" si="11"/>
        <v>#DIV/0!</v>
      </c>
      <c r="E16" s="1065" t="str">
        <f t="shared" si="11"/>
        <v>#DIV/0!</v>
      </c>
      <c r="F16" s="1065" t="str">
        <f t="shared" si="11"/>
        <v>#DIV/0!</v>
      </c>
      <c r="G16" s="1074">
        <f t="shared" si="11"/>
        <v>0.3333333333</v>
      </c>
      <c r="H16" s="1074">
        <f t="shared" si="11"/>
        <v>0.6363636364</v>
      </c>
      <c r="I16" s="1074">
        <f t="shared" si="11"/>
        <v>1</v>
      </c>
      <c r="J16" s="1075"/>
      <c r="K16" s="295"/>
      <c r="L16" s="1056"/>
      <c r="M16" s="1056"/>
      <c r="N16" s="1056"/>
      <c r="O16" s="1056"/>
      <c r="P16" s="308"/>
      <c r="Q16" s="1056"/>
      <c r="R16" s="1056"/>
      <c r="S16" s="1056"/>
      <c r="T16" s="1056"/>
      <c r="U16" s="1056"/>
      <c r="V16" s="1056"/>
      <c r="W16" s="1056"/>
      <c r="X16" s="1056"/>
      <c r="Y16" s="1056"/>
      <c r="Z16" s="1056"/>
    </row>
    <row r="17" ht="15.0" customHeight="1">
      <c r="A17" s="1059"/>
      <c r="B17" s="1076" t="s">
        <v>719</v>
      </c>
      <c r="C17" s="1077">
        <f>+'Cash Flow'!P9/1000</f>
        <v>53.70874072</v>
      </c>
      <c r="D17" s="1077">
        <f>+'Cash Flow'!AC9/1000</f>
        <v>-0.8996669838</v>
      </c>
      <c r="E17" s="1077">
        <f>+'Cash Flow'!AD9/1000</f>
        <v>5.202703933</v>
      </c>
      <c r="F17" s="1077">
        <f>+'Cash Flow'!AE9/1000</f>
        <v>8.835304401</v>
      </c>
      <c r="G17" s="1077">
        <f t="shared" ref="G17:H17" si="12">-G18*(G6-F6)</f>
        <v>0</v>
      </c>
      <c r="H17" s="1077">
        <f t="shared" si="12"/>
        <v>0</v>
      </c>
      <c r="I17" s="1077">
        <f>-I18*(I6-G6)</f>
        <v>0</v>
      </c>
      <c r="J17" s="308"/>
      <c r="K17" s="295"/>
      <c r="L17" s="1056"/>
      <c r="M17" s="1056"/>
      <c r="N17" s="1056"/>
      <c r="O17" s="1056"/>
      <c r="P17" s="308"/>
      <c r="Q17" s="1056"/>
      <c r="R17" s="1056"/>
      <c r="S17" s="1056"/>
      <c r="T17" s="1056"/>
      <c r="U17" s="1056"/>
      <c r="V17" s="1056"/>
      <c r="W17" s="1056"/>
      <c r="X17" s="1056"/>
      <c r="Y17" s="1056"/>
      <c r="Z17" s="1056"/>
    </row>
    <row r="18" ht="15.0" customHeight="1">
      <c r="A18" s="1059"/>
      <c r="B18" s="1078" t="s">
        <v>720</v>
      </c>
      <c r="C18" s="1068"/>
      <c r="D18" s="1068">
        <f t="shared" ref="D18:F18" si="13">-D17/(D6-C6)</f>
        <v>0.04005884297</v>
      </c>
      <c r="E18" s="1068">
        <f t="shared" si="13"/>
        <v>-0.247408683</v>
      </c>
      <c r="F18" s="1068">
        <f t="shared" si="13"/>
        <v>-0.2085505726</v>
      </c>
      <c r="G18" s="1079">
        <v>0.0</v>
      </c>
      <c r="H18" s="1079">
        <v>0.0</v>
      </c>
      <c r="I18" s="1080">
        <v>0.0</v>
      </c>
      <c r="J18" s="308"/>
      <c r="K18" s="295"/>
      <c r="L18" s="1056"/>
      <c r="M18" s="1056"/>
      <c r="N18" s="1056"/>
      <c r="O18" s="1056"/>
      <c r="P18" s="308"/>
      <c r="Q18" s="1056"/>
      <c r="R18" s="1056"/>
      <c r="S18" s="1056"/>
      <c r="T18" s="1056"/>
      <c r="U18" s="1056"/>
      <c r="V18" s="1056"/>
      <c r="W18" s="1056"/>
      <c r="X18" s="1056"/>
      <c r="Y18" s="1056"/>
      <c r="Z18" s="1056"/>
    </row>
    <row r="19" ht="15.0" customHeight="1">
      <c r="A19" s="1059"/>
      <c r="B19" s="543" t="s">
        <v>721</v>
      </c>
      <c r="C19" s="1071" t="str">
        <f t="shared" ref="C19:I19" si="14">SUM(C12:C17)</f>
        <v>#DIV/0!</v>
      </c>
      <c r="D19" s="1071" t="str">
        <f t="shared" si="14"/>
        <v>#DIV/0!</v>
      </c>
      <c r="E19" s="1071" t="str">
        <f t="shared" si="14"/>
        <v>#DIV/0!</v>
      </c>
      <c r="F19" s="1071" t="str">
        <f t="shared" si="14"/>
        <v>#DIV/0!</v>
      </c>
      <c r="G19" s="1071">
        <f t="shared" si="14"/>
        <v>81.4798353</v>
      </c>
      <c r="H19" s="1071">
        <f t="shared" si="14"/>
        <v>87.1486586</v>
      </c>
      <c r="I19" s="1072">
        <f t="shared" si="14"/>
        <v>84.25206631</v>
      </c>
      <c r="J19" s="308"/>
      <c r="K19" s="295"/>
      <c r="L19" s="1056"/>
      <c r="M19" s="1056"/>
      <c r="N19" s="1056"/>
      <c r="O19" s="1056"/>
      <c r="P19" s="308"/>
      <c r="Q19" s="1056"/>
      <c r="R19" s="1056"/>
      <c r="S19" s="1056"/>
      <c r="T19" s="1056"/>
      <c r="U19" s="1056"/>
      <c r="V19" s="1056"/>
      <c r="W19" s="1056"/>
      <c r="X19" s="1056"/>
      <c r="Y19" s="1056"/>
      <c r="Z19" s="1056"/>
    </row>
    <row r="20" ht="15.0" customHeight="1">
      <c r="A20" s="1059"/>
      <c r="B20" s="1081"/>
      <c r="C20" s="1082"/>
      <c r="D20" s="1082"/>
      <c r="E20" s="1082"/>
      <c r="F20" s="1082"/>
      <c r="G20" s="1082"/>
      <c r="H20" s="1081"/>
      <c r="I20" s="1056"/>
      <c r="J20" s="308"/>
      <c r="K20" s="295"/>
      <c r="L20" s="1056"/>
      <c r="M20" s="1056"/>
      <c r="N20" s="1056"/>
      <c r="O20" s="1056"/>
      <c r="P20" s="308"/>
      <c r="Q20" s="1056"/>
      <c r="R20" s="1056"/>
      <c r="S20" s="1056"/>
      <c r="T20" s="1056"/>
      <c r="U20" s="1056"/>
      <c r="V20" s="1056"/>
      <c r="W20" s="1056"/>
      <c r="X20" s="1056"/>
      <c r="Y20" s="1056"/>
      <c r="Z20" s="1056"/>
    </row>
    <row r="21" ht="24.75" customHeight="1">
      <c r="A21" s="1059"/>
      <c r="B21" s="1083" t="s">
        <v>708</v>
      </c>
      <c r="C21" s="1084" t="str">
        <f>C19/(1+wacc)^C$4</f>
        <v>#DIV/0!</v>
      </c>
      <c r="D21" s="1084" t="str">
        <f>D19/(1+wacc)^D$4</f>
        <v>#DIV/0!</v>
      </c>
      <c r="E21" s="1084" t="str">
        <f>E19/(1+wacc)^E$4</f>
        <v>#DIV/0!</v>
      </c>
      <c r="F21" s="1084" t="str">
        <f>F19/(1+wacc)^F$4</f>
        <v>#DIV/0!</v>
      </c>
      <c r="G21" s="1084">
        <f>G19/(1+wacc)^G$4</f>
        <v>21.94488862</v>
      </c>
      <c r="H21" s="1084">
        <f>H19/(1+wacc)^H$4</f>
        <v>18.05512888</v>
      </c>
      <c r="I21" s="1085"/>
      <c r="J21" s="308"/>
      <c r="K21" s="295"/>
      <c r="L21" s="1056"/>
      <c r="M21" s="1056"/>
      <c r="N21" s="1056"/>
      <c r="O21" s="1056"/>
      <c r="P21" s="308"/>
      <c r="Q21" s="1056"/>
      <c r="R21" s="1056"/>
      <c r="S21" s="1056"/>
      <c r="T21" s="1056"/>
      <c r="U21" s="1056"/>
      <c r="V21" s="1056"/>
      <c r="W21" s="1056"/>
      <c r="X21" s="1056"/>
      <c r="Y21" s="1056"/>
      <c r="Z21" s="1056"/>
    </row>
    <row r="22" ht="15.0" customHeight="1">
      <c r="A22" s="1059"/>
      <c r="B22" s="1086"/>
      <c r="C22" s="1087"/>
      <c r="D22" s="1087"/>
      <c r="E22" s="1087"/>
      <c r="F22" s="1087"/>
      <c r="G22" s="1087"/>
      <c r="H22" s="1087"/>
      <c r="I22" s="388"/>
      <c r="J22" s="308"/>
      <c r="K22" s="295"/>
      <c r="L22" s="1056"/>
      <c r="M22" s="1056"/>
      <c r="N22" s="1056"/>
      <c r="O22" s="1056"/>
      <c r="P22" s="308"/>
      <c r="Q22" s="1056"/>
      <c r="R22" s="1056"/>
      <c r="S22" s="1056"/>
      <c r="T22" s="1056"/>
      <c r="U22" s="1056"/>
      <c r="V22" s="1056"/>
      <c r="W22" s="1056"/>
      <c r="X22" s="1056"/>
      <c r="Y22" s="1056"/>
      <c r="Z22" s="1056"/>
    </row>
    <row r="23" ht="15.0" customHeight="1">
      <c r="A23" s="1059"/>
      <c r="B23" s="308"/>
      <c r="C23" s="311"/>
      <c r="D23" s="311"/>
      <c r="E23" s="311"/>
      <c r="F23" s="1056"/>
      <c r="G23" s="295"/>
      <c r="H23" s="295"/>
      <c r="I23" s="295"/>
      <c r="J23" s="308"/>
      <c r="K23" s="295"/>
      <c r="L23" s="1056"/>
      <c r="M23" s="1056"/>
      <c r="N23" s="1056"/>
      <c r="O23" s="1056"/>
      <c r="P23" s="1056"/>
      <c r="Q23" s="1056"/>
      <c r="R23" s="1056"/>
      <c r="S23" s="1056"/>
      <c r="T23" s="1056"/>
      <c r="U23" s="1056"/>
      <c r="V23" s="1056"/>
      <c r="W23" s="1056"/>
      <c r="X23" s="1056"/>
      <c r="Y23" s="1056"/>
      <c r="Z23" s="1056"/>
    </row>
    <row r="24" ht="24.75" customHeight="1">
      <c r="A24" s="1059"/>
      <c r="B24" s="54" t="s">
        <v>722</v>
      </c>
      <c r="C24" s="54"/>
      <c r="D24" s="1056"/>
      <c r="E24" s="1056"/>
      <c r="F24" s="1056"/>
      <c r="G24" s="295"/>
      <c r="H24" s="295"/>
      <c r="I24" s="295"/>
      <c r="J24" s="187"/>
      <c r="K24" s="295"/>
      <c r="L24" s="1056"/>
      <c r="M24" s="1056"/>
      <c r="N24" s="1056"/>
      <c r="O24" s="1056"/>
      <c r="P24" s="1056"/>
      <c r="Q24" s="1056"/>
      <c r="R24" s="1056"/>
      <c r="S24" s="1056"/>
      <c r="T24" s="1056"/>
      <c r="U24" s="1056"/>
      <c r="V24" s="1056"/>
      <c r="W24" s="1056"/>
      <c r="X24" s="1056"/>
      <c r="Y24" s="1056"/>
      <c r="Z24" s="1056"/>
    </row>
    <row r="25">
      <c r="A25" s="1059"/>
      <c r="B25" s="187" t="s">
        <v>723</v>
      </c>
      <c r="C25" s="1088">
        <v>5.0</v>
      </c>
      <c r="D25" s="1056"/>
      <c r="E25" s="1056"/>
      <c r="F25" s="1056"/>
      <c r="G25" s="295"/>
      <c r="H25" s="295"/>
      <c r="I25" s="295"/>
      <c r="J25" s="187"/>
      <c r="K25" s="295"/>
      <c r="L25" s="1056"/>
      <c r="M25" s="1056"/>
      <c r="N25" s="1056"/>
      <c r="O25" s="1056"/>
      <c r="P25" s="1056"/>
      <c r="Q25" s="1056"/>
      <c r="R25" s="1056"/>
      <c r="S25" s="1056"/>
      <c r="T25" s="1056"/>
      <c r="U25" s="1056"/>
      <c r="V25" s="1056"/>
      <c r="W25" s="1056"/>
      <c r="X25" s="1056"/>
      <c r="Y25" s="1056"/>
      <c r="Z25" s="1056"/>
    </row>
    <row r="26" ht="15.0" customHeight="1">
      <c r="A26" s="1059"/>
      <c r="B26" s="187" t="s">
        <v>724</v>
      </c>
      <c r="C26" s="1089">
        <v>1.0</v>
      </c>
      <c r="D26" s="1056"/>
      <c r="E26" s="1056"/>
      <c r="F26" s="1056"/>
      <c r="G26" s="285"/>
      <c r="H26" s="295"/>
      <c r="I26" s="295"/>
      <c r="J26" s="187"/>
      <c r="K26" s="1090"/>
      <c r="L26" s="1056"/>
      <c r="M26" s="1056"/>
      <c r="N26" s="1056"/>
      <c r="O26" s="1056"/>
      <c r="P26" s="1056"/>
      <c r="Q26" s="1056"/>
      <c r="R26" s="1056"/>
      <c r="S26" s="1056"/>
      <c r="T26" s="1056"/>
      <c r="U26" s="1056"/>
      <c r="V26" s="1056"/>
      <c r="W26" s="1056"/>
      <c r="X26" s="1056"/>
      <c r="Y26" s="1056"/>
      <c r="Z26" s="1056"/>
    </row>
    <row r="27" ht="15.0" customHeight="1">
      <c r="A27" s="1059"/>
      <c r="B27" s="187" t="s">
        <v>725</v>
      </c>
      <c r="C27" s="1091">
        <v>0.3</v>
      </c>
      <c r="D27" s="1056"/>
      <c r="E27" s="1056"/>
      <c r="F27" s="1056"/>
      <c r="G27" s="295"/>
      <c r="H27" s="295"/>
      <c r="I27" s="295"/>
      <c r="J27" s="187"/>
      <c r="K27" s="1092"/>
      <c r="L27" s="1056"/>
      <c r="M27" s="1056"/>
      <c r="N27" s="1056"/>
      <c r="O27" s="1056"/>
      <c r="P27" s="1056"/>
      <c r="Q27" s="1056"/>
      <c r="R27" s="1056"/>
      <c r="S27" s="1056"/>
      <c r="T27" s="1056"/>
      <c r="U27" s="1056"/>
      <c r="V27" s="1056"/>
      <c r="W27" s="1056"/>
      <c r="X27" s="1056"/>
      <c r="Y27" s="1056"/>
      <c r="Z27" s="1056"/>
    </row>
    <row r="28" ht="15.0" customHeight="1">
      <c r="A28" s="1059"/>
      <c r="B28" s="187" t="s">
        <v>726</v>
      </c>
      <c r="C28" s="1093">
        <v>0.03</v>
      </c>
      <c r="D28" s="1056"/>
      <c r="E28" s="1056"/>
      <c r="F28" s="1056"/>
      <c r="G28" s="187"/>
      <c r="H28" s="295"/>
      <c r="I28" s="295"/>
      <c r="J28" s="187"/>
      <c r="K28" s="295"/>
      <c r="L28" s="1056"/>
      <c r="M28" s="1056"/>
      <c r="N28" s="1056"/>
      <c r="O28" s="1056"/>
      <c r="P28" s="1056"/>
      <c r="Q28" s="1056"/>
      <c r="R28" s="1056"/>
      <c r="S28" s="1056"/>
      <c r="T28" s="1056"/>
      <c r="U28" s="1056"/>
      <c r="V28" s="1056"/>
      <c r="W28" s="1056"/>
      <c r="X28" s="1056"/>
      <c r="Y28" s="1056"/>
      <c r="Z28" s="1056"/>
    </row>
    <row r="29" ht="15.0" customHeight="1">
      <c r="A29" s="1059"/>
      <c r="B29" s="187" t="s">
        <v>727</v>
      </c>
      <c r="C29" s="1089">
        <v>1.0</v>
      </c>
      <c r="D29" s="1056"/>
      <c r="E29" s="1056"/>
      <c r="F29" s="1056"/>
      <c r="G29" s="187"/>
      <c r="H29" s="295"/>
      <c r="I29" s="295"/>
      <c r="J29" s="1094"/>
      <c r="K29" s="295"/>
      <c r="L29" s="1056"/>
      <c r="M29" s="1056"/>
      <c r="N29" s="1056"/>
      <c r="O29" s="1056"/>
      <c r="P29" s="1056"/>
      <c r="Q29" s="1056"/>
      <c r="R29" s="1056"/>
      <c r="S29" s="1056"/>
      <c r="T29" s="1056"/>
      <c r="U29" s="1056"/>
      <c r="V29" s="1056"/>
      <c r="W29" s="1056"/>
      <c r="X29" s="1056"/>
      <c r="Y29" s="1056"/>
      <c r="Z29" s="1056"/>
    </row>
    <row r="30" ht="15.0" customHeight="1">
      <c r="A30" s="1059"/>
      <c r="B30" s="187" t="s">
        <v>728</v>
      </c>
      <c r="C30" s="1095">
        <v>1.0</v>
      </c>
      <c r="D30" s="1056"/>
      <c r="E30" s="1056"/>
      <c r="F30" s="1056"/>
      <c r="G30" s="187"/>
      <c r="H30" s="295"/>
      <c r="I30" s="295"/>
      <c r="J30" s="295"/>
      <c r="K30" s="295"/>
      <c r="L30" s="1056"/>
      <c r="M30" s="1056"/>
      <c r="N30" s="1056"/>
      <c r="O30" s="1056"/>
      <c r="P30" s="1056"/>
      <c r="Q30" s="1056"/>
      <c r="R30" s="1056"/>
      <c r="S30" s="1056"/>
      <c r="T30" s="1056"/>
      <c r="U30" s="1056"/>
      <c r="V30" s="1056"/>
      <c r="W30" s="1056"/>
      <c r="X30" s="1056"/>
      <c r="Y30" s="1056"/>
      <c r="Z30" s="1056"/>
    </row>
    <row r="31" ht="15.0" customHeight="1">
      <c r="A31" s="1059"/>
      <c r="B31" s="1056"/>
      <c r="C31" s="1056"/>
      <c r="D31" s="1056"/>
      <c r="E31" s="1056"/>
      <c r="F31" s="1056"/>
      <c r="G31" s="221"/>
      <c r="H31" s="221"/>
      <c r="I31" s="221"/>
      <c r="J31" s="295"/>
      <c r="K31" s="295"/>
      <c r="L31" s="1056"/>
      <c r="M31" s="1056"/>
      <c r="N31" s="1056"/>
      <c r="O31" s="1056"/>
      <c r="P31" s="1056"/>
      <c r="Q31" s="1056"/>
      <c r="R31" s="1056"/>
      <c r="S31" s="1056"/>
      <c r="T31" s="1056"/>
      <c r="U31" s="1056"/>
      <c r="V31" s="1056"/>
      <c r="W31" s="1056"/>
      <c r="X31" s="1056"/>
      <c r="Y31" s="1056"/>
      <c r="Z31" s="1056"/>
    </row>
    <row r="32" ht="15.0" customHeight="1">
      <c r="A32" s="1059"/>
      <c r="B32" s="1056"/>
      <c r="C32" s="1056"/>
      <c r="D32" s="1056"/>
      <c r="E32" s="1056"/>
      <c r="F32" s="1056"/>
      <c r="G32" s="187"/>
      <c r="H32" s="187"/>
      <c r="I32" s="187"/>
      <c r="J32" s="295"/>
      <c r="K32" s="295"/>
      <c r="L32" s="1056"/>
      <c r="M32" s="1056"/>
      <c r="N32" s="1056"/>
      <c r="O32" s="1056"/>
      <c r="P32" s="1056"/>
      <c r="Q32" s="1056"/>
      <c r="R32" s="1056"/>
      <c r="S32" s="1056"/>
      <c r="T32" s="1056"/>
      <c r="U32" s="1056"/>
      <c r="V32" s="1056"/>
      <c r="W32" s="1056"/>
      <c r="X32" s="1056"/>
      <c r="Y32" s="1056"/>
      <c r="Z32" s="1056"/>
    </row>
    <row r="33" ht="24.75" customHeight="1">
      <c r="A33" s="1059"/>
      <c r="B33" s="1056"/>
      <c r="C33" s="1056"/>
      <c r="D33" s="1056"/>
      <c r="E33" s="1056"/>
      <c r="F33" s="1056"/>
      <c r="G33" s="187"/>
      <c r="H33" s="187"/>
      <c r="I33" s="187"/>
      <c r="J33" s="295"/>
      <c r="K33" s="295"/>
      <c r="L33" s="1056"/>
      <c r="M33" s="1056"/>
      <c r="N33" s="1056"/>
      <c r="O33" s="1056"/>
      <c r="P33" s="1056"/>
      <c r="Q33" s="1056"/>
      <c r="R33" s="1056"/>
      <c r="S33" s="1056"/>
      <c r="T33" s="1056"/>
      <c r="U33" s="1056"/>
      <c r="V33" s="1056"/>
      <c r="W33" s="1056"/>
      <c r="X33" s="1056"/>
      <c r="Y33" s="1056"/>
      <c r="Z33" s="1056"/>
    </row>
    <row r="34" ht="24.75" customHeight="1">
      <c r="A34" s="1059"/>
      <c r="B34" s="181" t="s">
        <v>729</v>
      </c>
      <c r="C34" s="1061"/>
      <c r="D34" s="1061"/>
      <c r="E34" s="187"/>
      <c r="F34" s="187"/>
      <c r="G34" s="187"/>
      <c r="H34" s="187"/>
      <c r="I34" s="1056"/>
      <c r="J34" s="181" t="s">
        <v>730</v>
      </c>
      <c r="K34" s="181"/>
      <c r="L34" s="181"/>
      <c r="M34" s="181"/>
      <c r="N34" s="181"/>
      <c r="O34" s="1096"/>
      <c r="P34" s="308"/>
      <c r="Q34" s="1056"/>
      <c r="R34" s="1056"/>
      <c r="S34" s="1056"/>
      <c r="T34" s="1056"/>
      <c r="U34" s="1056"/>
      <c r="V34" s="1056"/>
      <c r="W34" s="1056"/>
      <c r="X34" s="1056"/>
      <c r="Y34" s="1056"/>
      <c r="Z34" s="1056"/>
    </row>
    <row r="35" ht="15.0" customHeight="1">
      <c r="A35" s="1059"/>
      <c r="B35" s="187" t="s">
        <v>731</v>
      </c>
      <c r="C35" s="1097" t="str">
        <f>+SUM(C21:G21)</f>
        <v>#DIV/0!</v>
      </c>
      <c r="D35" s="1098" t="str">
        <f>C35/C42</f>
        <v>#DIV/0!</v>
      </c>
      <c r="E35" s="1099"/>
      <c r="F35" s="1099"/>
      <c r="G35" s="1099"/>
      <c r="H35" s="1099"/>
      <c r="I35" s="1056"/>
      <c r="J35" s="1100" t="s">
        <v>732</v>
      </c>
      <c r="K35" s="1101"/>
      <c r="L35" s="1101"/>
      <c r="M35" s="1101"/>
      <c r="N35" s="1101"/>
      <c r="O35" s="308"/>
      <c r="P35" s="308"/>
      <c r="Q35" s="1056"/>
      <c r="R35" s="1056"/>
      <c r="S35" s="1056"/>
      <c r="T35" s="1056"/>
      <c r="U35" s="1056"/>
      <c r="V35" s="1056"/>
      <c r="W35" s="1056"/>
      <c r="X35" s="1056"/>
      <c r="Y35" s="1056"/>
      <c r="Z35" s="1056"/>
    </row>
    <row r="36" ht="15.0" customHeight="1">
      <c r="A36" s="1059"/>
      <c r="B36" s="1102" t="s">
        <v>733</v>
      </c>
      <c r="C36" s="1103" t="str">
        <f t="array" ref="C36">NPV(wacc,C19:G19)</f>
        <v>#DIV/0!</v>
      </c>
      <c r="D36" s="1102"/>
      <c r="E36" s="187"/>
      <c r="F36" s="187"/>
      <c r="G36" s="187"/>
      <c r="H36" s="187"/>
      <c r="I36" s="1056"/>
      <c r="J36" s="1056"/>
      <c r="K36" s="187"/>
      <c r="L36" s="1104" t="s">
        <v>734</v>
      </c>
      <c r="M36" s="35"/>
      <c r="N36" s="35"/>
      <c r="O36" s="308"/>
      <c r="P36" s="308"/>
      <c r="Q36" s="1056"/>
      <c r="R36" s="1056"/>
      <c r="S36" s="1056"/>
      <c r="T36" s="1056"/>
      <c r="U36" s="1056"/>
      <c r="V36" s="1056"/>
      <c r="W36" s="1056"/>
      <c r="X36" s="1056"/>
      <c r="Y36" s="1056"/>
      <c r="Z36" s="1056"/>
    </row>
    <row r="37" ht="15.0" customHeight="1">
      <c r="A37" s="1059"/>
      <c r="B37" s="1105" t="s">
        <v>735</v>
      </c>
      <c r="C37" s="322">
        <f>+I19*(1+C28)/(wacc-C28)</f>
        <v>321.4060307</v>
      </c>
      <c r="D37" s="187"/>
      <c r="E37" s="1106"/>
      <c r="F37" s="1106"/>
      <c r="G37" s="1106"/>
      <c r="H37" s="1106"/>
      <c r="I37" s="1056"/>
      <c r="J37" s="1056"/>
      <c r="K37" s="187"/>
      <c r="L37" s="1107">
        <f t="shared" ref="L37:N37" si="15">+(L38+1)^$G$4</f>
        <v>2.48832</v>
      </c>
      <c r="M37" s="1107">
        <f t="shared" si="15"/>
        <v>3.051757813</v>
      </c>
      <c r="N37" s="1107">
        <f t="shared" si="15"/>
        <v>3.71293</v>
      </c>
      <c r="O37" s="308"/>
      <c r="P37" s="308"/>
      <c r="Q37" s="1056"/>
      <c r="R37" s="1056"/>
      <c r="S37" s="1056"/>
      <c r="T37" s="1056"/>
      <c r="U37" s="1056"/>
      <c r="V37" s="1056"/>
      <c r="W37" s="1056"/>
      <c r="X37" s="1056"/>
      <c r="Y37" s="1056"/>
      <c r="Z37" s="1056"/>
    </row>
    <row r="38" ht="15.0" customHeight="1">
      <c r="A38" s="1059"/>
      <c r="B38" s="1108" t="s">
        <v>736</v>
      </c>
      <c r="C38" s="1109">
        <f>+C37/(1+wacc)^C25</f>
        <v>86.56398875</v>
      </c>
      <c r="D38" s="1106"/>
      <c r="E38" s="187"/>
      <c r="F38" s="187"/>
      <c r="G38" s="187"/>
      <c r="H38" s="187"/>
      <c r="I38" s="1056"/>
      <c r="J38" s="1110"/>
      <c r="K38" s="1111" t="str">
        <f>+C46</f>
        <v>#DIV/0!</v>
      </c>
      <c r="L38" s="1112">
        <f>+M38-5%</f>
        <v>0.2</v>
      </c>
      <c r="M38" s="1113">
        <v>0.25</v>
      </c>
      <c r="N38" s="1113">
        <f>+M38+5%</f>
        <v>0.3</v>
      </c>
      <c r="O38" s="308"/>
      <c r="P38" s="308"/>
      <c r="Q38" s="1056"/>
      <c r="R38" s="1056"/>
      <c r="S38" s="1056"/>
      <c r="T38" s="1056"/>
      <c r="U38" s="1056"/>
      <c r="V38" s="1056"/>
      <c r="W38" s="1056"/>
      <c r="X38" s="1056"/>
      <c r="Y38" s="1056"/>
      <c r="Z38" s="1056"/>
    </row>
    <row r="39" ht="15.0" customHeight="1">
      <c r="A39" s="1059"/>
      <c r="B39" s="1114" t="s">
        <v>737</v>
      </c>
      <c r="C39" s="322">
        <f>I6*C29</f>
        <v>448.2814395</v>
      </c>
      <c r="D39" s="187"/>
      <c r="E39" s="1106"/>
      <c r="F39" s="1106"/>
      <c r="G39" s="1106"/>
      <c r="H39" s="1106"/>
      <c r="I39" s="1056"/>
      <c r="J39" s="1056"/>
      <c r="K39" s="1115">
        <v>1.0</v>
      </c>
      <c r="L39" s="1116"/>
      <c r="M39" s="1116" t="e">
        <v>#DIV/0!</v>
      </c>
      <c r="N39" s="1116" t="e">
        <v>#DIV/0!</v>
      </c>
      <c r="O39" s="308"/>
      <c r="P39" s="308"/>
      <c r="Q39" s="1056"/>
      <c r="R39" s="1056"/>
      <c r="S39" s="1056"/>
      <c r="T39" s="1056"/>
      <c r="U39" s="1056"/>
      <c r="V39" s="1056"/>
      <c r="W39" s="1056"/>
      <c r="X39" s="1056"/>
      <c r="Y39" s="1056"/>
      <c r="Z39" s="1056"/>
    </row>
    <row r="40" ht="15.0" customHeight="1">
      <c r="A40" s="1059"/>
      <c r="B40" s="1106" t="s">
        <v>738</v>
      </c>
      <c r="C40" s="1103">
        <f>+C39/(1+wacc)^C25</f>
        <v>120.7352251</v>
      </c>
      <c r="D40" s="1117"/>
      <c r="E40" s="1106"/>
      <c r="F40" s="1106"/>
      <c r="G40" s="1106"/>
      <c r="H40" s="1106"/>
      <c r="I40" s="1056"/>
      <c r="J40" s="1110"/>
      <c r="K40" s="1115">
        <v>2.0</v>
      </c>
      <c r="L40" s="1118" t="e">
        <v>#DIV/0!</v>
      </c>
      <c r="M40" s="1119" t="e">
        <v>#DIV/0!</v>
      </c>
      <c r="N40" s="1116" t="e">
        <v>#DIV/0!</v>
      </c>
      <c r="O40" s="308"/>
      <c r="P40" s="308"/>
      <c r="Q40" s="1056"/>
      <c r="R40" s="1056"/>
      <c r="S40" s="1056"/>
      <c r="T40" s="1056"/>
      <c r="U40" s="1056"/>
      <c r="V40" s="1056"/>
      <c r="W40" s="1056"/>
      <c r="X40" s="1056"/>
      <c r="Y40" s="1056"/>
      <c r="Z40" s="1056"/>
    </row>
    <row r="41" ht="15.0" customHeight="1">
      <c r="A41" s="1059"/>
      <c r="B41" s="1120" t="s">
        <v>739</v>
      </c>
      <c r="C41" s="1121">
        <f>+(C40+C38)/2</f>
        <v>103.6496069</v>
      </c>
      <c r="D41" s="1122" t="str">
        <f>C41/C42</f>
        <v>#DIV/0!</v>
      </c>
      <c r="E41" s="1106"/>
      <c r="F41" s="1106"/>
      <c r="G41" s="1106"/>
      <c r="H41" s="1106"/>
      <c r="I41" s="1056"/>
      <c r="J41" s="1110"/>
      <c r="K41" s="1115">
        <v>3.0</v>
      </c>
      <c r="L41" s="1116" t="e">
        <v>#DIV/0!</v>
      </c>
      <c r="M41" s="1123" t="e">
        <v>#DIV/0!</v>
      </c>
      <c r="N41" s="1116" t="e">
        <v>#DIV/0!</v>
      </c>
      <c r="O41" s="308"/>
      <c r="P41" s="308"/>
      <c r="Q41" s="1056"/>
      <c r="R41" s="1056"/>
      <c r="S41" s="1056"/>
      <c r="T41" s="1056"/>
      <c r="U41" s="1056"/>
      <c r="V41" s="1056"/>
      <c r="W41" s="1056"/>
      <c r="X41" s="1056"/>
      <c r="Y41" s="1056"/>
      <c r="Z41" s="1056"/>
    </row>
    <row r="42" ht="15.0" customHeight="1">
      <c r="A42" s="1059"/>
      <c r="B42" s="1124" t="s">
        <v>740</v>
      </c>
      <c r="C42" s="1125" t="str">
        <f t="shared" ref="C42:D42" si="16">+C35+C41</f>
        <v>#DIV/0!</v>
      </c>
      <c r="D42" s="1126" t="str">
        <f t="shared" si="16"/>
        <v>#DIV/0!</v>
      </c>
      <c r="E42" s="449"/>
      <c r="F42" s="308"/>
      <c r="G42" s="308"/>
      <c r="H42" s="308"/>
      <c r="I42" s="308"/>
      <c r="J42" s="1110"/>
      <c r="K42" s="1115">
        <v>4.0</v>
      </c>
      <c r="L42" s="1116" t="e">
        <v>#DIV/0!</v>
      </c>
      <c r="M42" s="1116" t="e">
        <v>#DIV/0!</v>
      </c>
      <c r="N42" s="1116" t="e">
        <v>#DIV/0!</v>
      </c>
      <c r="O42" s="308"/>
      <c r="P42" s="308"/>
      <c r="Q42" s="1056"/>
      <c r="R42" s="1056"/>
      <c r="S42" s="1056"/>
      <c r="T42" s="1056"/>
      <c r="U42" s="1056"/>
      <c r="V42" s="1056"/>
      <c r="W42" s="1056"/>
      <c r="X42" s="1056"/>
      <c r="Y42" s="1056"/>
      <c r="Z42" s="1056"/>
    </row>
    <row r="43" ht="15.0" customHeight="1">
      <c r="A43" s="1059"/>
      <c r="B43" s="187" t="s">
        <v>741</v>
      </c>
      <c r="C43" s="1127">
        <f>(C44-C45)</f>
        <v>0</v>
      </c>
      <c r="D43" s="1056"/>
      <c r="E43" s="449"/>
      <c r="F43" s="1056"/>
      <c r="G43" s="1110"/>
      <c r="H43" s="308"/>
      <c r="I43" s="308"/>
      <c r="J43" s="1128" t="s">
        <v>742</v>
      </c>
      <c r="K43" s="1129"/>
      <c r="L43" s="1129"/>
      <c r="M43" s="1129"/>
      <c r="N43" s="1129"/>
      <c r="O43" s="308"/>
      <c r="P43" s="308"/>
      <c r="Q43" s="1056"/>
      <c r="R43" s="1056"/>
      <c r="S43" s="1056"/>
      <c r="T43" s="1056"/>
      <c r="U43" s="1056"/>
      <c r="V43" s="1056"/>
      <c r="W43" s="1056"/>
      <c r="X43" s="1056"/>
      <c r="Y43" s="1056"/>
      <c r="Z43" s="1056"/>
    </row>
    <row r="44" ht="15.0" customHeight="1">
      <c r="A44" s="1059"/>
      <c r="B44" s="1130" t="s">
        <v>743</v>
      </c>
      <c r="C44" s="1127">
        <f>SUM(Bilan!C31:C34)/1000</f>
        <v>0</v>
      </c>
      <c r="D44" s="1056"/>
      <c r="E44" s="449"/>
      <c r="F44" s="1056"/>
      <c r="G44" s="1110"/>
      <c r="H44" s="308"/>
      <c r="I44" s="308"/>
      <c r="J44" s="1056"/>
      <c r="K44" s="295"/>
      <c r="L44" s="1104" t="s">
        <v>734</v>
      </c>
      <c r="M44" s="35"/>
      <c r="N44" s="35"/>
      <c r="O44" s="308"/>
      <c r="P44" s="308"/>
      <c r="Q44" s="1056"/>
      <c r="R44" s="1056"/>
      <c r="S44" s="1056"/>
      <c r="T44" s="1056"/>
      <c r="U44" s="1056"/>
      <c r="V44" s="1056"/>
      <c r="W44" s="1056"/>
      <c r="X44" s="1056"/>
      <c r="Y44" s="1056"/>
      <c r="Z44" s="1056"/>
    </row>
    <row r="45" ht="15.0" customHeight="1">
      <c r="A45" s="1059"/>
      <c r="B45" s="1131" t="s">
        <v>744</v>
      </c>
      <c r="C45" s="1132">
        <f>'Cash Flow'!C25/1000</f>
        <v>0</v>
      </c>
      <c r="D45" s="1056"/>
      <c r="E45" s="1133"/>
      <c r="F45" s="1056"/>
      <c r="G45" s="1134"/>
      <c r="H45" s="308"/>
      <c r="I45" s="308"/>
      <c r="J45" s="1056"/>
      <c r="K45" s="295"/>
      <c r="L45" s="1107">
        <f t="shared" ref="L45:N45" si="17">+(L46+1)^$G$4</f>
        <v>2.48832</v>
      </c>
      <c r="M45" s="1107">
        <f t="shared" si="17"/>
        <v>3.051757813</v>
      </c>
      <c r="N45" s="1107">
        <f t="shared" si="17"/>
        <v>3.71293</v>
      </c>
      <c r="O45" s="1056"/>
      <c r="P45" s="1056"/>
      <c r="Q45" s="1056"/>
      <c r="R45" s="1056"/>
      <c r="S45" s="1056"/>
      <c r="T45" s="1056"/>
      <c r="U45" s="1056"/>
      <c r="V45" s="1056"/>
      <c r="W45" s="1056"/>
      <c r="X45" s="1056"/>
      <c r="Y45" s="1056"/>
      <c r="Z45" s="1056"/>
    </row>
    <row r="46" ht="15.0" customHeight="1">
      <c r="A46" s="1059"/>
      <c r="B46" s="1135" t="s">
        <v>745</v>
      </c>
      <c r="C46" s="1136" t="str">
        <f>C42-C43</f>
        <v>#DIV/0!</v>
      </c>
      <c r="D46" s="1056"/>
      <c r="E46" s="1133"/>
      <c r="F46" s="1056"/>
      <c r="G46" s="295"/>
      <c r="H46" s="1094"/>
      <c r="I46" s="1094"/>
      <c r="J46" s="1056"/>
      <c r="K46" s="1111" t="str">
        <f>+C46</f>
        <v>#DIV/0!</v>
      </c>
      <c r="L46" s="1137">
        <f>+M46-5%</f>
        <v>0.2</v>
      </c>
      <c r="M46" s="1138">
        <v>0.25</v>
      </c>
      <c r="N46" s="1138">
        <f>+M46+5%</f>
        <v>0.3</v>
      </c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</row>
    <row r="47" ht="15.0" customHeight="1">
      <c r="A47" s="1059"/>
      <c r="B47" s="295"/>
      <c r="C47" s="295"/>
      <c r="D47" s="295"/>
      <c r="E47" s="295"/>
      <c r="F47" s="1056"/>
      <c r="G47" s="295"/>
      <c r="H47" s="295"/>
      <c r="I47" s="295"/>
      <c r="J47" s="1139" t="s">
        <v>746</v>
      </c>
      <c r="K47" s="1115">
        <v>-1.0</v>
      </c>
      <c r="L47" s="1116">
        <v>25157.72519881374</v>
      </c>
      <c r="M47" s="1116">
        <v>19674.859340785537</v>
      </c>
      <c r="N47" s="1116">
        <v>16014.774004813833</v>
      </c>
      <c r="O47" s="1056"/>
      <c r="P47" s="1056"/>
      <c r="Q47" s="1056"/>
      <c r="R47" s="1056"/>
      <c r="S47" s="1056"/>
      <c r="T47" s="1056"/>
      <c r="U47" s="1056"/>
      <c r="V47" s="1056"/>
      <c r="W47" s="1056"/>
      <c r="X47" s="1056"/>
      <c r="Y47" s="1056"/>
      <c r="Z47" s="1056"/>
    </row>
    <row r="48" ht="24.75" customHeight="1">
      <c r="A48" s="1059"/>
      <c r="B48" s="181" t="s">
        <v>747</v>
      </c>
      <c r="C48" s="181"/>
      <c r="D48" s="181"/>
      <c r="E48" s="181"/>
      <c r="F48" s="1056"/>
      <c r="G48" s="295"/>
      <c r="H48" s="295"/>
      <c r="I48" s="295"/>
      <c r="J48" s="1139" t="s">
        <v>748</v>
      </c>
      <c r="K48" s="1115">
        <v>0.0</v>
      </c>
      <c r="L48" s="1116">
        <v>25157.72519881374</v>
      </c>
      <c r="M48" s="1140">
        <v>19674.859340785537</v>
      </c>
      <c r="N48" s="1116">
        <v>16014.774004813833</v>
      </c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</row>
    <row r="49" ht="15.0" customHeight="1">
      <c r="A49" s="1059"/>
      <c r="B49" s="295"/>
      <c r="C49" s="449" t="s">
        <v>749</v>
      </c>
      <c r="D49" s="449" t="s">
        <v>750</v>
      </c>
      <c r="E49" s="449" t="s">
        <v>751</v>
      </c>
      <c r="F49" s="1056"/>
      <c r="G49" s="295"/>
      <c r="H49" s="295"/>
      <c r="I49" s="295"/>
      <c r="J49" s="1139" t="s">
        <v>752</v>
      </c>
      <c r="K49" s="1115">
        <v>1.0</v>
      </c>
      <c r="L49" s="1118">
        <v>25157.7251988137</v>
      </c>
      <c r="M49" s="1123">
        <v>19674.859340785537</v>
      </c>
      <c r="N49" s="1116">
        <v>16014.774004813833</v>
      </c>
      <c r="O49" s="1056"/>
      <c r="P49" s="1056"/>
      <c r="Q49" s="1056"/>
      <c r="R49" s="1056"/>
      <c r="S49" s="1056"/>
      <c r="T49" s="1056"/>
      <c r="U49" s="1056"/>
      <c r="V49" s="1056"/>
      <c r="W49" s="1056"/>
      <c r="X49" s="1056"/>
      <c r="Y49" s="1056"/>
      <c r="Z49" s="1056"/>
    </row>
    <row r="50" ht="15.0" customHeight="1">
      <c r="A50" s="1059"/>
      <c r="B50" s="187" t="s">
        <v>753</v>
      </c>
      <c r="C50" s="1141">
        <v>100000.0</v>
      </c>
      <c r="D50" s="1142">
        <v>0.125</v>
      </c>
      <c r="E50" s="1127">
        <f>+(C50/D50)-C50</f>
        <v>700000</v>
      </c>
      <c r="F50" s="1056"/>
      <c r="G50" s="295"/>
      <c r="H50" s="295"/>
      <c r="I50" s="295"/>
      <c r="J50" s="295"/>
      <c r="K50" s="295"/>
      <c r="L50" s="1056"/>
      <c r="M50" s="1056"/>
      <c r="N50" s="1056"/>
      <c r="O50" s="1056"/>
      <c r="P50" s="1056"/>
      <c r="Q50" s="1056"/>
      <c r="R50" s="1056"/>
      <c r="S50" s="1056"/>
      <c r="T50" s="1056"/>
      <c r="U50" s="1056"/>
      <c r="V50" s="1056"/>
      <c r="W50" s="1056"/>
      <c r="X50" s="1056"/>
      <c r="Y50" s="1056"/>
      <c r="Z50" s="1056"/>
    </row>
    <row r="51" ht="15.0" customHeight="1">
      <c r="A51" s="1059"/>
      <c r="B51" s="1143" t="s">
        <v>754</v>
      </c>
      <c r="C51" s="1144"/>
      <c r="D51" s="1145" t="str">
        <f>+(C46*D50)/C50</f>
        <v>#DIV/0!</v>
      </c>
      <c r="E51" s="1146" t="str">
        <f>+D51^(1/C25)-1</f>
        <v>#DIV/0!</v>
      </c>
      <c r="F51" s="1056"/>
      <c r="G51" s="295"/>
      <c r="H51" s="295"/>
      <c r="I51" s="295"/>
      <c r="J51" s="308"/>
      <c r="K51" s="295"/>
      <c r="L51" s="1056"/>
      <c r="M51" s="1056"/>
      <c r="N51" s="1056"/>
      <c r="O51" s="1056"/>
      <c r="P51" s="1056"/>
      <c r="Q51" s="1056"/>
      <c r="R51" s="1056"/>
      <c r="S51" s="1056"/>
      <c r="T51" s="1056"/>
      <c r="U51" s="1056"/>
      <c r="V51" s="1056"/>
      <c r="W51" s="1056"/>
      <c r="X51" s="1056"/>
      <c r="Y51" s="1056"/>
      <c r="Z51" s="1056"/>
    </row>
    <row r="52" ht="15.0" customHeight="1">
      <c r="A52" s="1059"/>
      <c r="B52" s="295"/>
      <c r="C52" s="224"/>
      <c r="D52" s="224"/>
      <c r="E52" s="224"/>
      <c r="F52" s="1056"/>
      <c r="G52" s="295"/>
      <c r="H52" s="295"/>
      <c r="I52" s="295"/>
      <c r="J52" s="308"/>
      <c r="K52" s="295"/>
      <c r="L52" s="1056"/>
      <c r="M52" s="1056"/>
      <c r="N52" s="1056"/>
      <c r="O52" s="1056"/>
      <c r="P52" s="1056"/>
      <c r="Q52" s="1056"/>
      <c r="R52" s="1056"/>
      <c r="S52" s="1056"/>
      <c r="T52" s="1056"/>
      <c r="U52" s="1056"/>
      <c r="V52" s="1056"/>
      <c r="W52" s="1056"/>
      <c r="X52" s="1056"/>
      <c r="Y52" s="1056"/>
      <c r="Z52" s="1056"/>
    </row>
    <row r="53" ht="15.0" customHeight="1">
      <c r="A53" s="1059"/>
      <c r="B53" s="1117" t="s">
        <v>755</v>
      </c>
      <c r="C53" s="1147"/>
      <c r="D53" s="1147"/>
      <c r="E53" s="1148" t="str">
        <f>1-(E50/C42)</f>
        <v>#DIV/0!</v>
      </c>
      <c r="F53" s="1056"/>
      <c r="G53" s="295"/>
      <c r="H53" s="295"/>
      <c r="I53" s="295"/>
      <c r="J53" s="308"/>
      <c r="K53" s="295"/>
      <c r="L53" s="1056"/>
      <c r="M53" s="1056"/>
      <c r="N53" s="1056"/>
      <c r="O53" s="1056"/>
      <c r="P53" s="1056"/>
      <c r="Q53" s="1056"/>
      <c r="R53" s="1056"/>
      <c r="S53" s="1056"/>
      <c r="T53" s="1056"/>
      <c r="U53" s="1056"/>
      <c r="V53" s="1056"/>
      <c r="W53" s="1056"/>
      <c r="X53" s="1056"/>
      <c r="Y53" s="1056"/>
      <c r="Z53" s="1056"/>
    </row>
    <row r="54" ht="15.0" customHeight="1">
      <c r="A54" s="1059"/>
      <c r="B54" s="1056"/>
      <c r="C54" s="1056"/>
      <c r="D54" s="1056"/>
      <c r="E54" s="1056"/>
      <c r="F54" s="1056"/>
      <c r="G54" s="308"/>
      <c r="H54" s="308"/>
      <c r="I54" s="308"/>
      <c r="J54" s="295"/>
      <c r="K54" s="295"/>
      <c r="L54" s="1056"/>
      <c r="M54" s="1056"/>
      <c r="N54" s="1056"/>
      <c r="O54" s="1056"/>
      <c r="P54" s="1056"/>
      <c r="Q54" s="1056"/>
      <c r="R54" s="1056"/>
      <c r="S54" s="1056"/>
      <c r="T54" s="1056"/>
      <c r="U54" s="1056"/>
      <c r="V54" s="1056"/>
      <c r="W54" s="1056"/>
      <c r="X54" s="1056"/>
      <c r="Y54" s="1056"/>
      <c r="Z54" s="1056"/>
    </row>
    <row r="55" ht="15.0" customHeight="1">
      <c r="A55" s="1059"/>
      <c r="B55" s="1056"/>
      <c r="C55" s="1056"/>
      <c r="D55" s="1056"/>
      <c r="E55" s="1056"/>
      <c r="F55" s="1056"/>
      <c r="G55" s="308"/>
      <c r="H55" s="308"/>
      <c r="I55" s="308"/>
      <c r="J55" s="295"/>
      <c r="K55" s="295"/>
      <c r="L55" s="1056"/>
      <c r="M55" s="1056"/>
      <c r="N55" s="1056"/>
      <c r="O55" s="1056"/>
      <c r="P55" s="1056"/>
      <c r="Q55" s="1056"/>
      <c r="R55" s="1056"/>
      <c r="S55" s="1056"/>
      <c r="T55" s="1056"/>
      <c r="U55" s="1056"/>
      <c r="V55" s="1056"/>
      <c r="W55" s="1056"/>
      <c r="X55" s="1056"/>
      <c r="Y55" s="1056"/>
      <c r="Z55" s="1056"/>
    </row>
    <row r="56" ht="15.0" customHeight="1">
      <c r="A56" s="1059"/>
      <c r="B56" s="1056"/>
      <c r="C56" s="1056"/>
      <c r="D56" s="1056"/>
      <c r="E56" s="1056"/>
      <c r="F56" s="1056"/>
      <c r="G56" s="308"/>
      <c r="H56" s="308"/>
      <c r="I56" s="308"/>
      <c r="J56" s="295"/>
      <c r="K56" s="295"/>
      <c r="L56" s="1056"/>
      <c r="M56" s="1056"/>
      <c r="N56" s="1056"/>
      <c r="O56" s="1056"/>
      <c r="P56" s="1056"/>
      <c r="Q56" s="1056"/>
      <c r="R56" s="1056"/>
      <c r="S56" s="1056"/>
      <c r="T56" s="1056"/>
      <c r="U56" s="1056"/>
      <c r="V56" s="1056"/>
      <c r="W56" s="1056"/>
      <c r="X56" s="1056"/>
      <c r="Y56" s="1056"/>
      <c r="Z56" s="1056"/>
    </row>
    <row r="57" ht="15.0" customHeight="1">
      <c r="A57" s="1059"/>
      <c r="B57" s="1056"/>
      <c r="C57" s="1056"/>
      <c r="D57" s="1056"/>
      <c r="E57" s="1056"/>
      <c r="F57" s="1056"/>
      <c r="G57" s="308"/>
      <c r="H57" s="308"/>
      <c r="I57" s="308"/>
      <c r="J57" s="295"/>
      <c r="K57" s="295"/>
      <c r="L57" s="308"/>
      <c r="M57" s="308"/>
      <c r="N57" s="308"/>
      <c r="O57" s="308"/>
      <c r="P57" s="308"/>
      <c r="Q57" s="1056"/>
      <c r="R57" s="1056"/>
      <c r="S57" s="1056"/>
      <c r="T57" s="1056"/>
      <c r="U57" s="1056"/>
      <c r="V57" s="1056"/>
      <c r="W57" s="1056"/>
      <c r="X57" s="1056"/>
      <c r="Y57" s="1056"/>
      <c r="Z57" s="1056"/>
    </row>
    <row r="58" ht="15.0" customHeight="1">
      <c r="A58" s="1059"/>
      <c r="B58" s="1056"/>
      <c r="C58" s="1056"/>
      <c r="D58" s="1056"/>
      <c r="E58" s="1056"/>
      <c r="F58" s="1056"/>
      <c r="G58" s="308"/>
      <c r="H58" s="308"/>
      <c r="I58" s="308"/>
      <c r="J58" s="295"/>
      <c r="K58" s="295"/>
      <c r="L58" s="308"/>
      <c r="M58" s="308"/>
      <c r="N58" s="308"/>
      <c r="O58" s="308"/>
      <c r="P58" s="308"/>
      <c r="Q58" s="1056"/>
      <c r="R58" s="1056"/>
      <c r="S58" s="1056"/>
      <c r="T58" s="1056"/>
      <c r="U58" s="1056"/>
      <c r="V58" s="1056"/>
      <c r="W58" s="1056"/>
      <c r="X58" s="1056"/>
      <c r="Y58" s="1056"/>
      <c r="Z58" s="1056"/>
    </row>
    <row r="59" ht="15.0" customHeight="1">
      <c r="A59" s="1059"/>
      <c r="B59" s="1056"/>
      <c r="C59" s="1056"/>
      <c r="D59" s="1056"/>
      <c r="E59" s="1056"/>
      <c r="F59" s="1056"/>
      <c r="G59" s="308"/>
      <c r="H59" s="308"/>
      <c r="I59" s="308"/>
      <c r="J59" s="295"/>
      <c r="K59" s="1149"/>
      <c r="L59" s="308"/>
      <c r="M59" s="308"/>
      <c r="N59" s="308"/>
      <c r="O59" s="308"/>
      <c r="P59" s="308"/>
      <c r="Q59" s="1056"/>
      <c r="R59" s="1056"/>
      <c r="S59" s="1056"/>
      <c r="T59" s="1056"/>
      <c r="U59" s="1056"/>
      <c r="V59" s="1056"/>
      <c r="W59" s="1056"/>
      <c r="X59" s="1056"/>
      <c r="Y59" s="1056"/>
      <c r="Z59" s="1056"/>
    </row>
    <row r="60" ht="15.0" customHeight="1">
      <c r="A60" s="1059"/>
      <c r="B60" s="1150"/>
      <c r="C60" s="308"/>
      <c r="D60" s="1151"/>
      <c r="E60" s="1151"/>
      <c r="F60" s="1151"/>
      <c r="G60" s="308"/>
      <c r="H60" s="308"/>
      <c r="I60" s="308"/>
      <c r="J60" s="295"/>
      <c r="K60" s="1149"/>
      <c r="L60" s="308"/>
      <c r="M60" s="308"/>
      <c r="N60" s="308"/>
      <c r="O60" s="308"/>
      <c r="P60" s="308"/>
      <c r="Q60" s="1056"/>
      <c r="R60" s="1056"/>
      <c r="S60" s="1056"/>
      <c r="T60" s="1056"/>
      <c r="U60" s="1056"/>
      <c r="V60" s="1056"/>
      <c r="W60" s="1056"/>
      <c r="X60" s="1056"/>
      <c r="Y60" s="1056"/>
      <c r="Z60" s="1056"/>
    </row>
    <row r="61" ht="15.0" customHeight="1">
      <c r="A61" s="1059"/>
      <c r="B61" s="1150"/>
      <c r="C61" s="1152"/>
      <c r="D61" s="1153"/>
      <c r="E61" s="1153"/>
      <c r="F61" s="1153"/>
      <c r="G61" s="308"/>
      <c r="H61" s="308"/>
      <c r="I61" s="308"/>
      <c r="J61" s="295"/>
      <c r="K61" s="1149"/>
      <c r="L61" s="308"/>
      <c r="M61" s="308"/>
      <c r="N61" s="308"/>
      <c r="O61" s="308"/>
      <c r="P61" s="308"/>
      <c r="Q61" s="1056"/>
      <c r="R61" s="1056"/>
      <c r="S61" s="1056"/>
      <c r="T61" s="1056"/>
      <c r="U61" s="1056"/>
      <c r="V61" s="1056"/>
      <c r="W61" s="1056"/>
      <c r="X61" s="1056"/>
      <c r="Y61" s="1056"/>
      <c r="Z61" s="1056"/>
    </row>
    <row r="62" ht="15.75" customHeight="1">
      <c r="A62" s="1059"/>
      <c r="B62" s="308"/>
      <c r="C62" s="308"/>
      <c r="D62" s="308"/>
      <c r="E62" s="308"/>
      <c r="F62" s="308"/>
      <c r="G62" s="308"/>
      <c r="H62" s="308"/>
      <c r="I62" s="308"/>
      <c r="J62" s="295"/>
      <c r="K62" s="1149"/>
      <c r="L62" s="308"/>
      <c r="M62" s="308"/>
      <c r="N62" s="308"/>
      <c r="O62" s="308"/>
      <c r="P62" s="308"/>
      <c r="Q62" s="1056"/>
      <c r="R62" s="1056"/>
      <c r="S62" s="1056"/>
      <c r="T62" s="1056"/>
      <c r="U62" s="1056"/>
      <c r="V62" s="1056"/>
      <c r="W62" s="1056"/>
      <c r="X62" s="1056"/>
      <c r="Y62" s="1056"/>
      <c r="Z62" s="1056"/>
    </row>
    <row r="63" ht="15.75" customHeight="1">
      <c r="A63" s="1059"/>
      <c r="B63" s="308"/>
      <c r="C63" s="308"/>
      <c r="D63" s="308"/>
      <c r="E63" s="308"/>
      <c r="F63" s="308"/>
      <c r="G63" s="308"/>
      <c r="H63" s="308"/>
      <c r="I63" s="308"/>
      <c r="J63" s="295"/>
      <c r="K63" s="1149"/>
      <c r="L63" s="308"/>
      <c r="M63" s="308"/>
      <c r="N63" s="308"/>
      <c r="O63" s="308"/>
      <c r="P63" s="308"/>
      <c r="Q63" s="1056"/>
      <c r="R63" s="1056"/>
      <c r="S63" s="1056"/>
      <c r="T63" s="1056"/>
      <c r="U63" s="1056"/>
      <c r="V63" s="1056"/>
      <c r="W63" s="1056"/>
      <c r="X63" s="1056"/>
      <c r="Y63" s="1056"/>
      <c r="Z63" s="1056"/>
    </row>
    <row r="64" ht="12.75" customHeight="1">
      <c r="A64" s="1059"/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1056"/>
      <c r="R64" s="1056"/>
      <c r="S64" s="1056"/>
      <c r="T64" s="1056"/>
      <c r="U64" s="1056"/>
      <c r="V64" s="1056"/>
      <c r="W64" s="1056"/>
      <c r="X64" s="1056"/>
      <c r="Y64" s="1056"/>
      <c r="Z64" s="1056"/>
    </row>
    <row r="65" ht="12.75" customHeight="1">
      <c r="A65" s="1059"/>
      <c r="B65" s="308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1056"/>
      <c r="R65" s="1056"/>
      <c r="S65" s="1056"/>
      <c r="T65" s="1056"/>
      <c r="U65" s="1056"/>
      <c r="V65" s="1056"/>
      <c r="W65" s="1056"/>
      <c r="X65" s="1056"/>
      <c r="Y65" s="1056"/>
      <c r="Z65" s="1056"/>
    </row>
    <row r="66" ht="12.75" customHeight="1">
      <c r="A66" s="1059"/>
      <c r="B66" s="308"/>
      <c r="C66" s="308"/>
      <c r="D66" s="308"/>
      <c r="E66" s="308"/>
      <c r="F66" s="308"/>
      <c r="G66" s="308"/>
      <c r="H66" s="308"/>
      <c r="I66" s="308"/>
      <c r="J66" s="308"/>
      <c r="K66" s="308"/>
      <c r="L66" s="308"/>
      <c r="M66" s="308"/>
      <c r="N66" s="308"/>
      <c r="O66" s="308"/>
      <c r="P66" s="308"/>
      <c r="Q66" s="1056"/>
      <c r="R66" s="1056"/>
      <c r="S66" s="1056"/>
      <c r="T66" s="1056"/>
      <c r="U66" s="1056"/>
      <c r="V66" s="1056"/>
      <c r="W66" s="1056"/>
      <c r="X66" s="1056"/>
      <c r="Y66" s="1056"/>
      <c r="Z66" s="1056"/>
    </row>
    <row r="67" ht="12.75" customHeight="1">
      <c r="A67" s="1059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1056"/>
      <c r="R67" s="1056"/>
      <c r="S67" s="1056"/>
      <c r="T67" s="1056"/>
      <c r="U67" s="1056"/>
      <c r="V67" s="1056"/>
      <c r="W67" s="1056"/>
      <c r="X67" s="1056"/>
      <c r="Y67" s="1056"/>
      <c r="Z67" s="1056"/>
    </row>
    <row r="68" ht="12.75" customHeight="1">
      <c r="A68" s="1059"/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1056"/>
      <c r="R68" s="1056"/>
      <c r="S68" s="1056"/>
      <c r="T68" s="1056"/>
      <c r="U68" s="1056"/>
      <c r="V68" s="1056"/>
      <c r="W68" s="1056"/>
      <c r="X68" s="1056"/>
      <c r="Y68" s="1056"/>
      <c r="Z68" s="1056"/>
    </row>
    <row r="69" ht="12.75" customHeight="1">
      <c r="A69" s="1059"/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1056"/>
      <c r="R69" s="1056"/>
      <c r="S69" s="1056"/>
      <c r="T69" s="1056"/>
      <c r="U69" s="1056"/>
      <c r="V69" s="1056"/>
      <c r="W69" s="1056"/>
      <c r="X69" s="1056"/>
      <c r="Y69" s="1056"/>
      <c r="Z69" s="1056"/>
    </row>
    <row r="70" ht="12.75" customHeight="1">
      <c r="A70" s="1059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1056"/>
      <c r="R70" s="1056"/>
      <c r="S70" s="1056"/>
      <c r="T70" s="1056"/>
      <c r="U70" s="1056"/>
      <c r="V70" s="1056"/>
      <c r="W70" s="1056"/>
      <c r="X70" s="1056"/>
      <c r="Y70" s="1056"/>
      <c r="Z70" s="1056"/>
    </row>
    <row r="71" ht="12.75" customHeight="1">
      <c r="A71" s="1059"/>
      <c r="B71" s="308"/>
      <c r="C71" s="308"/>
      <c r="D71" s="308"/>
      <c r="E71" s="308"/>
      <c r="F71" s="308"/>
      <c r="G71" s="308"/>
      <c r="H71" s="308"/>
      <c r="I71" s="308"/>
      <c r="J71" s="308"/>
      <c r="K71" s="308"/>
      <c r="L71" s="308"/>
      <c r="M71" s="308"/>
      <c r="N71" s="308"/>
      <c r="O71" s="308"/>
      <c r="P71" s="308"/>
      <c r="Q71" s="1056"/>
      <c r="R71" s="1056"/>
      <c r="S71" s="1056"/>
      <c r="T71" s="1056"/>
      <c r="U71" s="1056"/>
      <c r="V71" s="1056"/>
      <c r="W71" s="1056"/>
      <c r="X71" s="1056"/>
      <c r="Y71" s="1056"/>
      <c r="Z71" s="1056"/>
    </row>
    <row r="72" ht="12.75" customHeight="1">
      <c r="A72" s="1059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8"/>
      <c r="Q72" s="1056"/>
      <c r="R72" s="1056"/>
      <c r="S72" s="1056"/>
      <c r="T72" s="1056"/>
      <c r="U72" s="1056"/>
      <c r="V72" s="1056"/>
      <c r="W72" s="1056"/>
      <c r="X72" s="1056"/>
      <c r="Y72" s="1056"/>
      <c r="Z72" s="1056"/>
    </row>
    <row r="73" ht="12.75" customHeight="1">
      <c r="A73" s="1059"/>
      <c r="B73" s="308"/>
      <c r="C73" s="308"/>
      <c r="D73" s="308"/>
      <c r="E73" s="308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1056"/>
      <c r="R73" s="1056"/>
      <c r="S73" s="1056"/>
      <c r="T73" s="1056"/>
      <c r="U73" s="1056"/>
      <c r="V73" s="1056"/>
      <c r="W73" s="1056"/>
      <c r="X73" s="1056"/>
      <c r="Y73" s="1056"/>
      <c r="Z73" s="1056"/>
    </row>
    <row r="74" ht="12.75" customHeight="1">
      <c r="A74" s="1059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1056"/>
      <c r="R74" s="1056"/>
      <c r="S74" s="1056"/>
      <c r="T74" s="1056"/>
      <c r="U74" s="1056"/>
      <c r="V74" s="1056"/>
      <c r="W74" s="1056"/>
      <c r="X74" s="1056"/>
      <c r="Y74" s="1056"/>
      <c r="Z74" s="1056"/>
    </row>
    <row r="75" ht="12.75" customHeight="1">
      <c r="A75" s="1059"/>
      <c r="B75" s="308"/>
      <c r="C75" s="308"/>
      <c r="D75" s="308"/>
      <c r="E75" s="308"/>
      <c r="F75" s="308"/>
      <c r="G75" s="308"/>
      <c r="H75" s="308"/>
      <c r="I75" s="308"/>
      <c r="J75" s="308"/>
      <c r="K75" s="308"/>
      <c r="L75" s="308"/>
      <c r="M75" s="308"/>
      <c r="N75" s="308"/>
      <c r="O75" s="308"/>
      <c r="P75" s="308"/>
      <c r="Q75" s="1056"/>
      <c r="R75" s="1056"/>
      <c r="S75" s="1056"/>
      <c r="T75" s="1056"/>
      <c r="U75" s="1056"/>
      <c r="V75" s="1056"/>
      <c r="W75" s="1056"/>
      <c r="X75" s="1056"/>
      <c r="Y75" s="1056"/>
      <c r="Z75" s="1056"/>
    </row>
    <row r="76" ht="12.75" customHeight="1">
      <c r="A76" s="1059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1056"/>
      <c r="R76" s="1056"/>
      <c r="S76" s="1056"/>
      <c r="T76" s="1056"/>
      <c r="U76" s="1056"/>
      <c r="V76" s="1056"/>
      <c r="W76" s="1056"/>
      <c r="X76" s="1056"/>
      <c r="Y76" s="1056"/>
      <c r="Z76" s="1056"/>
    </row>
    <row r="77" ht="12.75" customHeight="1">
      <c r="A77" s="1059"/>
      <c r="B77" s="308"/>
      <c r="C77" s="308"/>
      <c r="D77" s="308"/>
      <c r="E77" s="308"/>
      <c r="F77" s="308"/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1056"/>
      <c r="R77" s="1056"/>
      <c r="S77" s="1056"/>
      <c r="T77" s="1056"/>
      <c r="U77" s="1056"/>
      <c r="V77" s="1056"/>
      <c r="W77" s="1056"/>
      <c r="X77" s="1056"/>
      <c r="Y77" s="1056"/>
      <c r="Z77" s="1056"/>
    </row>
    <row r="78" ht="12.75" customHeight="1">
      <c r="A78" s="1059"/>
      <c r="B78" s="308"/>
      <c r="C78" s="308"/>
      <c r="D78" s="308"/>
      <c r="E78" s="308"/>
      <c r="F78" s="308"/>
      <c r="G78" s="308"/>
      <c r="H78" s="308"/>
      <c r="I78" s="308"/>
      <c r="J78" s="308"/>
      <c r="K78" s="308"/>
      <c r="L78" s="308"/>
      <c r="M78" s="308"/>
      <c r="N78" s="308"/>
      <c r="O78" s="308"/>
      <c r="P78" s="308"/>
      <c r="Q78" s="1056"/>
      <c r="R78" s="1056"/>
      <c r="S78" s="1056"/>
      <c r="T78" s="1056"/>
      <c r="U78" s="1056"/>
      <c r="V78" s="1056"/>
      <c r="W78" s="1056"/>
      <c r="X78" s="1056"/>
      <c r="Y78" s="1056"/>
      <c r="Z78" s="1056"/>
    </row>
    <row r="79" ht="12.75" customHeight="1">
      <c r="A79" s="1059"/>
      <c r="B79" s="308"/>
      <c r="C79" s="308"/>
      <c r="D79" s="308"/>
      <c r="E79" s="308"/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1056"/>
      <c r="R79" s="1056"/>
      <c r="S79" s="1056"/>
      <c r="T79" s="1056"/>
      <c r="U79" s="1056"/>
      <c r="V79" s="1056"/>
      <c r="W79" s="1056"/>
      <c r="X79" s="1056"/>
      <c r="Y79" s="1056"/>
      <c r="Z79" s="1056"/>
    </row>
    <row r="80" ht="12.75" customHeight="1">
      <c r="A80" s="1059"/>
      <c r="B80" s="308"/>
      <c r="C80" s="308"/>
      <c r="D80" s="308"/>
      <c r="E80" s="308"/>
      <c r="F80" s="308"/>
      <c r="G80" s="308"/>
      <c r="H80" s="308"/>
      <c r="I80" s="308"/>
      <c r="J80" s="308"/>
      <c r="K80" s="308"/>
      <c r="L80" s="308"/>
      <c r="M80" s="308"/>
      <c r="N80" s="308"/>
      <c r="O80" s="308"/>
      <c r="P80" s="308"/>
      <c r="Q80" s="1056"/>
      <c r="R80" s="1056"/>
      <c r="S80" s="1056"/>
      <c r="T80" s="1056"/>
      <c r="U80" s="1056"/>
      <c r="V80" s="1056"/>
      <c r="W80" s="1056"/>
      <c r="X80" s="1056"/>
      <c r="Y80" s="1056"/>
      <c r="Z80" s="1056"/>
    </row>
    <row r="81" ht="12.75" customHeight="1">
      <c r="A81" s="1059"/>
      <c r="B81" s="1059"/>
      <c r="C81" s="1059"/>
      <c r="D81" s="1059"/>
      <c r="E81" s="1059"/>
      <c r="F81" s="308"/>
      <c r="G81" s="308"/>
      <c r="H81" s="308"/>
      <c r="I81" s="308"/>
      <c r="J81" s="308"/>
      <c r="K81" s="308"/>
      <c r="L81" s="308"/>
      <c r="M81" s="308"/>
      <c r="N81" s="308"/>
      <c r="O81" s="308"/>
      <c r="P81" s="308"/>
      <c r="Q81" s="1056"/>
      <c r="R81" s="1056"/>
      <c r="S81" s="1056"/>
      <c r="T81" s="1056"/>
      <c r="U81" s="1056"/>
      <c r="V81" s="1056"/>
      <c r="W81" s="1056"/>
      <c r="X81" s="1056"/>
      <c r="Y81" s="1056"/>
      <c r="Z81" s="1056"/>
    </row>
    <row r="82" ht="12.75" customHeight="1">
      <c r="A82" s="1059"/>
      <c r="B82" s="1059"/>
      <c r="C82" s="1059"/>
      <c r="D82" s="1059"/>
      <c r="E82" s="1059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1056"/>
      <c r="R82" s="1056"/>
      <c r="S82" s="1056"/>
      <c r="T82" s="1056"/>
      <c r="U82" s="1056"/>
      <c r="V82" s="1056"/>
      <c r="W82" s="1056"/>
      <c r="X82" s="1056"/>
      <c r="Y82" s="1056"/>
      <c r="Z82" s="1056"/>
    </row>
    <row r="83" ht="12.75" customHeight="1">
      <c r="A83" s="1059"/>
      <c r="B83" s="1059"/>
      <c r="C83" s="1059"/>
      <c r="D83" s="1059"/>
      <c r="E83" s="1059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1056"/>
      <c r="R83" s="1056"/>
      <c r="S83" s="1056"/>
      <c r="T83" s="1056"/>
      <c r="U83" s="1056"/>
      <c r="V83" s="1056"/>
      <c r="W83" s="1056"/>
      <c r="X83" s="1056"/>
      <c r="Y83" s="1056"/>
      <c r="Z83" s="1056"/>
    </row>
    <row r="84" ht="12.75" customHeight="1">
      <c r="A84" s="1059"/>
      <c r="B84" s="1059"/>
      <c r="C84" s="1059"/>
      <c r="D84" s="1059"/>
      <c r="E84" s="1059"/>
      <c r="F84" s="308"/>
      <c r="G84" s="308"/>
      <c r="H84" s="308"/>
      <c r="I84" s="308"/>
      <c r="J84" s="308"/>
      <c r="K84" s="308"/>
      <c r="L84" s="308"/>
      <c r="M84" s="308"/>
      <c r="N84" s="308"/>
      <c r="O84" s="308"/>
      <c r="P84" s="308"/>
      <c r="Q84" s="1056"/>
      <c r="R84" s="1056"/>
      <c r="S84" s="1056"/>
      <c r="T84" s="1056"/>
      <c r="U84" s="1056"/>
      <c r="V84" s="1056"/>
      <c r="W84" s="1056"/>
      <c r="X84" s="1056"/>
      <c r="Y84" s="1056"/>
      <c r="Z84" s="1056"/>
    </row>
    <row r="85" ht="12.75" customHeight="1">
      <c r="A85" s="1059"/>
      <c r="B85" s="1059"/>
      <c r="C85" s="1059"/>
      <c r="D85" s="1059"/>
      <c r="E85" s="1059"/>
      <c r="F85" s="308"/>
      <c r="G85" s="308"/>
      <c r="H85" s="308"/>
      <c r="I85" s="308"/>
      <c r="J85" s="308"/>
      <c r="K85" s="308"/>
      <c r="L85" s="308"/>
      <c r="M85" s="308"/>
      <c r="N85" s="308"/>
      <c r="O85" s="308"/>
      <c r="P85" s="308"/>
      <c r="Q85" s="1056"/>
      <c r="R85" s="1056"/>
      <c r="S85" s="1056"/>
      <c r="T85" s="1056"/>
      <c r="U85" s="1056"/>
      <c r="V85" s="1056"/>
      <c r="W85" s="1056"/>
      <c r="X85" s="1056"/>
      <c r="Y85" s="1056"/>
      <c r="Z85" s="1056"/>
    </row>
    <row r="86" ht="12.75" customHeight="1">
      <c r="A86" s="1059"/>
      <c r="B86" s="1059"/>
      <c r="C86" s="1059"/>
      <c r="D86" s="1059"/>
      <c r="E86" s="1059"/>
      <c r="F86" s="1059"/>
      <c r="G86" s="308"/>
      <c r="H86" s="308"/>
      <c r="I86" s="308"/>
      <c r="J86" s="308"/>
      <c r="K86" s="308"/>
      <c r="L86" s="308"/>
      <c r="M86" s="308"/>
      <c r="N86" s="308"/>
      <c r="O86" s="308"/>
      <c r="P86" s="308"/>
      <c r="Q86" s="1056"/>
      <c r="R86" s="1056"/>
      <c r="S86" s="1056"/>
      <c r="T86" s="1056"/>
      <c r="U86" s="1056"/>
      <c r="V86" s="1056"/>
      <c r="W86" s="1056"/>
      <c r="X86" s="1056"/>
      <c r="Y86" s="1056"/>
      <c r="Z86" s="1056"/>
    </row>
    <row r="87" ht="12.75" customHeight="1">
      <c r="A87" s="1059"/>
      <c r="B87" s="1059"/>
      <c r="C87" s="1059"/>
      <c r="D87" s="1059"/>
      <c r="E87" s="1059"/>
      <c r="F87" s="1059"/>
      <c r="G87" s="1059"/>
      <c r="H87" s="1059"/>
      <c r="I87" s="1059"/>
      <c r="J87" s="308"/>
      <c r="K87" s="308"/>
      <c r="L87" s="308"/>
      <c r="M87" s="308"/>
      <c r="N87" s="308"/>
      <c r="O87" s="308"/>
      <c r="P87" s="308"/>
      <c r="Q87" s="1056"/>
      <c r="R87" s="1056"/>
      <c r="S87" s="1056"/>
      <c r="T87" s="1056"/>
      <c r="U87" s="1056"/>
      <c r="V87" s="1056"/>
      <c r="W87" s="1056"/>
      <c r="X87" s="1056"/>
      <c r="Y87" s="1056"/>
      <c r="Z87" s="1056"/>
    </row>
    <row r="88" ht="12.75" customHeight="1">
      <c r="A88" s="1059"/>
      <c r="B88" s="1059"/>
      <c r="C88" s="1059"/>
      <c r="D88" s="1059"/>
      <c r="E88" s="1059"/>
      <c r="F88" s="1059"/>
      <c r="G88" s="1059"/>
      <c r="H88" s="1059"/>
      <c r="I88" s="1059"/>
      <c r="J88" s="308"/>
      <c r="K88" s="308"/>
      <c r="L88" s="308"/>
      <c r="M88" s="308"/>
      <c r="N88" s="308"/>
      <c r="O88" s="308"/>
      <c r="P88" s="308"/>
      <c r="Q88" s="1056"/>
      <c r="R88" s="1056"/>
      <c r="S88" s="1056"/>
      <c r="T88" s="1056"/>
      <c r="U88" s="1056"/>
      <c r="V88" s="1056"/>
      <c r="W88" s="1056"/>
      <c r="X88" s="1056"/>
      <c r="Y88" s="1056"/>
      <c r="Z88" s="1056"/>
    </row>
    <row r="89" ht="12.75" customHeight="1">
      <c r="A89" s="1059"/>
      <c r="B89" s="1059"/>
      <c r="C89" s="1059"/>
      <c r="D89" s="1059"/>
      <c r="E89" s="1059"/>
      <c r="F89" s="1059"/>
      <c r="G89" s="1059"/>
      <c r="H89" s="1059"/>
      <c r="I89" s="1059"/>
      <c r="J89" s="308"/>
      <c r="K89" s="308"/>
      <c r="L89" s="308"/>
      <c r="M89" s="308"/>
      <c r="N89" s="308"/>
      <c r="O89" s="308"/>
      <c r="P89" s="308"/>
      <c r="Q89" s="1056"/>
      <c r="R89" s="1056"/>
      <c r="S89" s="1056"/>
      <c r="T89" s="1056"/>
      <c r="U89" s="1056"/>
      <c r="V89" s="1056"/>
      <c r="W89" s="1056"/>
      <c r="X89" s="1056"/>
      <c r="Y89" s="1056"/>
      <c r="Z89" s="1056"/>
    </row>
    <row r="90" ht="12.75" customHeight="1">
      <c r="A90" s="1059"/>
      <c r="B90" s="1059"/>
      <c r="C90" s="1059"/>
      <c r="D90" s="1059"/>
      <c r="E90" s="1059"/>
      <c r="F90" s="1059"/>
      <c r="G90" s="1059"/>
      <c r="H90" s="1059"/>
      <c r="I90" s="1059"/>
      <c r="J90" s="308"/>
      <c r="K90" s="308"/>
      <c r="L90" s="308"/>
      <c r="M90" s="308"/>
      <c r="N90" s="308"/>
      <c r="O90" s="308"/>
      <c r="P90" s="308"/>
      <c r="Q90" s="1056"/>
      <c r="R90" s="1056"/>
      <c r="S90" s="1056"/>
      <c r="T90" s="1056"/>
      <c r="U90" s="1056"/>
      <c r="V90" s="1056"/>
      <c r="W90" s="1056"/>
      <c r="X90" s="1056"/>
      <c r="Y90" s="1056"/>
      <c r="Z90" s="1056"/>
    </row>
    <row r="91" ht="12.75" customHeight="1">
      <c r="A91" s="1059"/>
      <c r="B91" s="1059"/>
      <c r="C91" s="1059"/>
      <c r="D91" s="1059"/>
      <c r="E91" s="1059"/>
      <c r="F91" s="1059"/>
      <c r="G91" s="1059"/>
      <c r="H91" s="1059"/>
      <c r="I91" s="1059"/>
      <c r="J91" s="308"/>
      <c r="K91" s="308"/>
      <c r="L91" s="308"/>
      <c r="M91" s="308"/>
      <c r="N91" s="308"/>
      <c r="O91" s="308"/>
      <c r="P91" s="308"/>
      <c r="Q91" s="1056"/>
      <c r="R91" s="1056"/>
      <c r="S91" s="1056"/>
      <c r="T91" s="1056"/>
      <c r="U91" s="1056"/>
      <c r="V91" s="1056"/>
      <c r="W91" s="1056"/>
      <c r="X91" s="1056"/>
      <c r="Y91" s="1056"/>
      <c r="Z91" s="1056"/>
    </row>
    <row r="92" ht="12.75" customHeight="1">
      <c r="A92" s="1059"/>
      <c r="B92" s="1056"/>
      <c r="C92" s="1056"/>
      <c r="D92" s="1056"/>
      <c r="E92" s="1056"/>
      <c r="F92" s="1059"/>
      <c r="G92" s="1059"/>
      <c r="H92" s="1059"/>
      <c r="I92" s="1059"/>
      <c r="J92" s="308"/>
      <c r="K92" s="308"/>
      <c r="L92" s="308"/>
      <c r="M92" s="308"/>
      <c r="N92" s="308"/>
      <c r="O92" s="308"/>
      <c r="P92" s="308"/>
      <c r="Q92" s="1056"/>
      <c r="R92" s="1056"/>
      <c r="S92" s="1056"/>
      <c r="T92" s="1056"/>
      <c r="U92" s="1056"/>
      <c r="V92" s="1056"/>
      <c r="W92" s="1056"/>
      <c r="X92" s="1056"/>
      <c r="Y92" s="1056"/>
      <c r="Z92" s="1056"/>
    </row>
    <row r="93" ht="12.75" customHeight="1">
      <c r="A93" s="1059"/>
      <c r="B93" s="1056"/>
      <c r="C93" s="1056"/>
      <c r="D93" s="1056"/>
      <c r="E93" s="1056"/>
      <c r="F93" s="1059"/>
      <c r="G93" s="1059"/>
      <c r="H93" s="1059"/>
      <c r="I93" s="1059"/>
      <c r="J93" s="308"/>
      <c r="K93" s="308"/>
      <c r="L93" s="308"/>
      <c r="M93" s="308"/>
      <c r="N93" s="308"/>
      <c r="O93" s="308"/>
      <c r="P93" s="308"/>
      <c r="Q93" s="1056"/>
      <c r="R93" s="1056"/>
      <c r="S93" s="1056"/>
      <c r="T93" s="1056"/>
      <c r="U93" s="1056"/>
      <c r="V93" s="1056"/>
      <c r="W93" s="1056"/>
      <c r="X93" s="1056"/>
      <c r="Y93" s="1056"/>
      <c r="Z93" s="1056"/>
    </row>
    <row r="94" ht="12.75" customHeight="1">
      <c r="A94" s="1059"/>
      <c r="B94" s="1056"/>
      <c r="C94" s="1056"/>
      <c r="D94" s="1056"/>
      <c r="E94" s="1056"/>
      <c r="F94" s="1059"/>
      <c r="G94" s="1059"/>
      <c r="H94" s="1059"/>
      <c r="I94" s="1059"/>
      <c r="J94" s="308"/>
      <c r="K94" s="308"/>
      <c r="L94" s="308"/>
      <c r="M94" s="308"/>
      <c r="N94" s="308"/>
      <c r="O94" s="308"/>
      <c r="P94" s="308"/>
      <c r="Q94" s="1056"/>
      <c r="R94" s="1056"/>
      <c r="S94" s="1056"/>
      <c r="T94" s="1056"/>
      <c r="U94" s="1056"/>
      <c r="V94" s="1056"/>
      <c r="W94" s="1056"/>
      <c r="X94" s="1056"/>
      <c r="Y94" s="1056"/>
      <c r="Z94" s="1056"/>
    </row>
    <row r="95" ht="12.75" customHeight="1">
      <c r="A95" s="1059"/>
      <c r="B95" s="1056"/>
      <c r="C95" s="1056"/>
      <c r="D95" s="1056"/>
      <c r="E95" s="1056"/>
      <c r="F95" s="1059"/>
      <c r="G95" s="1059"/>
      <c r="H95" s="1059"/>
      <c r="I95" s="1059"/>
      <c r="J95" s="308"/>
      <c r="K95" s="308"/>
      <c r="L95" s="308"/>
      <c r="M95" s="308"/>
      <c r="N95" s="308"/>
      <c r="O95" s="308"/>
      <c r="P95" s="308"/>
      <c r="Q95" s="1056"/>
      <c r="R95" s="1056"/>
      <c r="S95" s="1056"/>
      <c r="T95" s="1056"/>
      <c r="U95" s="1056"/>
      <c r="V95" s="1056"/>
      <c r="W95" s="1056"/>
      <c r="X95" s="1056"/>
      <c r="Y95" s="1056"/>
      <c r="Z95" s="1056"/>
    </row>
    <row r="96" ht="12.75" customHeight="1">
      <c r="A96" s="1059"/>
      <c r="B96" s="1056"/>
      <c r="C96" s="1056"/>
      <c r="D96" s="1056"/>
      <c r="E96" s="1056"/>
      <c r="F96" s="1059"/>
      <c r="G96" s="1059"/>
      <c r="H96" s="1059"/>
      <c r="I96" s="1059"/>
      <c r="J96" s="1059"/>
      <c r="K96" s="1059"/>
      <c r="L96" s="1059"/>
      <c r="M96" s="1059"/>
      <c r="N96" s="1059"/>
      <c r="O96" s="1059"/>
      <c r="P96" s="1059"/>
      <c r="Q96" s="1056"/>
      <c r="R96" s="1056"/>
      <c r="S96" s="1056"/>
      <c r="T96" s="1056"/>
      <c r="U96" s="1056"/>
      <c r="V96" s="1056"/>
      <c r="W96" s="1056"/>
      <c r="X96" s="1056"/>
      <c r="Y96" s="1056"/>
      <c r="Z96" s="1056"/>
    </row>
    <row r="97" ht="12.75" customHeight="1">
      <c r="A97" s="1059"/>
      <c r="B97" s="1056"/>
      <c r="C97" s="1056"/>
      <c r="D97" s="1056"/>
      <c r="E97" s="1056"/>
      <c r="F97" s="1056"/>
      <c r="G97" s="1059"/>
      <c r="H97" s="1059"/>
      <c r="I97" s="1059"/>
      <c r="J97" s="1059"/>
      <c r="K97" s="1059"/>
      <c r="L97" s="1059"/>
      <c r="M97" s="1059"/>
      <c r="N97" s="1059"/>
      <c r="O97" s="1059"/>
      <c r="P97" s="1059"/>
      <c r="Q97" s="1056"/>
      <c r="R97" s="1056"/>
      <c r="S97" s="1056"/>
      <c r="T97" s="1056"/>
      <c r="U97" s="1056"/>
      <c r="V97" s="1056"/>
      <c r="W97" s="1056"/>
      <c r="X97" s="1056"/>
      <c r="Y97" s="1056"/>
      <c r="Z97" s="1056"/>
    </row>
    <row r="98" ht="12.75" customHeight="1">
      <c r="A98" s="1059"/>
      <c r="B98" s="1056"/>
      <c r="C98" s="1056"/>
      <c r="D98" s="1056"/>
      <c r="E98" s="1056"/>
      <c r="F98" s="1056"/>
      <c r="G98" s="1056"/>
      <c r="H98" s="1056"/>
      <c r="I98" s="1056"/>
      <c r="J98" s="1059"/>
      <c r="K98" s="1059"/>
      <c r="L98" s="1059"/>
      <c r="M98" s="1059"/>
      <c r="N98" s="1059"/>
      <c r="O98" s="1059"/>
      <c r="P98" s="1059"/>
      <c r="Q98" s="1056"/>
      <c r="R98" s="1056"/>
      <c r="S98" s="1056"/>
      <c r="T98" s="1056"/>
      <c r="U98" s="1056"/>
      <c r="V98" s="1056"/>
      <c r="W98" s="1056"/>
      <c r="X98" s="1056"/>
      <c r="Y98" s="1056"/>
      <c r="Z98" s="1056"/>
    </row>
    <row r="99" ht="12.75" customHeight="1">
      <c r="A99" s="1059"/>
      <c r="B99" s="1056"/>
      <c r="C99" s="1056"/>
      <c r="D99" s="1056"/>
      <c r="E99" s="1056"/>
      <c r="F99" s="1056"/>
      <c r="G99" s="1056"/>
      <c r="H99" s="1056"/>
      <c r="I99" s="1056"/>
      <c r="J99" s="1059"/>
      <c r="K99" s="1059"/>
      <c r="L99" s="1059"/>
      <c r="M99" s="1059"/>
      <c r="N99" s="1059"/>
      <c r="O99" s="1059"/>
      <c r="P99" s="1059"/>
      <c r="Q99" s="1056"/>
      <c r="R99" s="1056"/>
      <c r="S99" s="1056"/>
      <c r="T99" s="1056"/>
      <c r="U99" s="1056"/>
      <c r="V99" s="1056"/>
      <c r="W99" s="1056"/>
      <c r="X99" s="1056"/>
      <c r="Y99" s="1056"/>
      <c r="Z99" s="1056"/>
    </row>
    <row r="100" ht="12.75" customHeight="1">
      <c r="A100" s="1059"/>
      <c r="B100" s="1056"/>
      <c r="C100" s="1056"/>
      <c r="D100" s="1056"/>
      <c r="E100" s="1056"/>
      <c r="F100" s="1056"/>
      <c r="G100" s="1056"/>
      <c r="H100" s="1056"/>
      <c r="I100" s="1056"/>
      <c r="J100" s="1059"/>
      <c r="K100" s="1059"/>
      <c r="L100" s="1059"/>
      <c r="M100" s="1059"/>
      <c r="N100" s="1059"/>
      <c r="O100" s="1059"/>
      <c r="P100" s="1059"/>
      <c r="Q100" s="1056"/>
      <c r="R100" s="1056"/>
      <c r="S100" s="1056"/>
      <c r="T100" s="1056"/>
      <c r="U100" s="1056"/>
      <c r="V100" s="1056"/>
      <c r="W100" s="1056"/>
      <c r="X100" s="1056"/>
      <c r="Y100" s="1056"/>
      <c r="Z100" s="1056"/>
    </row>
    <row r="101" ht="12.75" customHeight="1">
      <c r="A101" s="1059"/>
      <c r="B101" s="1056"/>
      <c r="C101" s="1056"/>
      <c r="D101" s="1056"/>
      <c r="E101" s="1056"/>
      <c r="F101" s="1056"/>
      <c r="G101" s="1056"/>
      <c r="H101" s="1056"/>
      <c r="I101" s="1056"/>
      <c r="J101" s="1059"/>
      <c r="K101" s="1059"/>
      <c r="L101" s="1059"/>
      <c r="M101" s="1059"/>
      <c r="N101" s="1059"/>
      <c r="O101" s="1059"/>
      <c r="P101" s="1059"/>
      <c r="Q101" s="1056"/>
      <c r="R101" s="1056"/>
      <c r="S101" s="1056"/>
      <c r="T101" s="1056"/>
      <c r="U101" s="1056"/>
      <c r="V101" s="1056"/>
      <c r="W101" s="1056"/>
      <c r="X101" s="1056"/>
      <c r="Y101" s="1056"/>
      <c r="Z101" s="1056"/>
    </row>
    <row r="102" ht="12.75" customHeight="1">
      <c r="A102" s="1059"/>
      <c r="B102" s="1056"/>
      <c r="C102" s="1056"/>
      <c r="D102" s="1056"/>
      <c r="E102" s="1056"/>
      <c r="F102" s="1056"/>
      <c r="G102" s="1056"/>
      <c r="H102" s="1056"/>
      <c r="I102" s="1056"/>
      <c r="J102" s="1059"/>
      <c r="K102" s="1059"/>
      <c r="L102" s="1059"/>
      <c r="M102" s="1059"/>
      <c r="N102" s="1059"/>
      <c r="O102" s="1059"/>
      <c r="P102" s="1059"/>
      <c r="Q102" s="1056"/>
      <c r="R102" s="1056"/>
      <c r="S102" s="1056"/>
      <c r="T102" s="1056"/>
      <c r="U102" s="1056"/>
      <c r="V102" s="1056"/>
      <c r="W102" s="1056"/>
      <c r="X102" s="1056"/>
      <c r="Y102" s="1056"/>
      <c r="Z102" s="1056"/>
    </row>
    <row r="103" ht="12.75" customHeight="1">
      <c r="A103" s="1059"/>
      <c r="B103" s="1056"/>
      <c r="C103" s="1056"/>
      <c r="D103" s="1056"/>
      <c r="E103" s="1056"/>
      <c r="F103" s="1056"/>
      <c r="G103" s="1056"/>
      <c r="H103" s="1056"/>
      <c r="I103" s="1056"/>
      <c r="J103" s="1059"/>
      <c r="K103" s="1059"/>
      <c r="L103" s="1059"/>
      <c r="M103" s="1059"/>
      <c r="N103" s="1059"/>
      <c r="O103" s="1059"/>
      <c r="P103" s="1059"/>
      <c r="Q103" s="1056"/>
      <c r="R103" s="1056"/>
      <c r="S103" s="1056"/>
      <c r="T103" s="1056"/>
      <c r="U103" s="1056"/>
      <c r="V103" s="1056"/>
      <c r="W103" s="1056"/>
      <c r="X103" s="1056"/>
      <c r="Y103" s="1056"/>
      <c r="Z103" s="1056"/>
    </row>
    <row r="104" ht="12.75" customHeight="1">
      <c r="A104" s="1059"/>
      <c r="B104" s="1056"/>
      <c r="C104" s="1056"/>
      <c r="D104" s="1056"/>
      <c r="E104" s="1056"/>
      <c r="F104" s="1056"/>
      <c r="G104" s="1056"/>
      <c r="H104" s="1056"/>
      <c r="I104" s="1056"/>
      <c r="J104" s="1059"/>
      <c r="K104" s="1059"/>
      <c r="L104" s="1059"/>
      <c r="M104" s="1059"/>
      <c r="N104" s="1059"/>
      <c r="O104" s="1059"/>
      <c r="P104" s="1059"/>
      <c r="Q104" s="1056"/>
      <c r="R104" s="1056"/>
      <c r="S104" s="1056"/>
      <c r="T104" s="1056"/>
      <c r="U104" s="1056"/>
      <c r="V104" s="1056"/>
      <c r="W104" s="1056"/>
      <c r="X104" s="1056"/>
      <c r="Y104" s="1056"/>
      <c r="Z104" s="1056"/>
    </row>
    <row r="105" ht="12.75" customHeight="1">
      <c r="A105" s="1059"/>
      <c r="B105" s="1056"/>
      <c r="C105" s="1056"/>
      <c r="D105" s="1056"/>
      <c r="E105" s="1056"/>
      <c r="F105" s="1056"/>
      <c r="G105" s="1056"/>
      <c r="H105" s="1056"/>
      <c r="I105" s="1056"/>
      <c r="J105" s="1059"/>
      <c r="K105" s="1059"/>
      <c r="L105" s="1059"/>
      <c r="M105" s="1059"/>
      <c r="N105" s="1059"/>
      <c r="O105" s="1059"/>
      <c r="P105" s="1059"/>
      <c r="Q105" s="1056"/>
      <c r="R105" s="1056"/>
      <c r="S105" s="1056"/>
      <c r="T105" s="1056"/>
      <c r="U105" s="1056"/>
      <c r="V105" s="1056"/>
      <c r="W105" s="1056"/>
      <c r="X105" s="1056"/>
      <c r="Y105" s="1056"/>
      <c r="Z105" s="1056"/>
    </row>
    <row r="106" ht="12.75" customHeight="1">
      <c r="A106" s="1059"/>
      <c r="B106" s="1056"/>
      <c r="C106" s="1056"/>
      <c r="D106" s="1056"/>
      <c r="E106" s="1056"/>
      <c r="F106" s="1056"/>
      <c r="G106" s="1056"/>
      <c r="H106" s="1056"/>
      <c r="I106" s="1056"/>
      <c r="J106" s="1059"/>
      <c r="K106" s="1059"/>
      <c r="L106" s="1059"/>
      <c r="M106" s="1059"/>
      <c r="N106" s="1059"/>
      <c r="O106" s="1059"/>
      <c r="P106" s="1059"/>
      <c r="Q106" s="1056"/>
      <c r="R106" s="1056"/>
      <c r="S106" s="1056"/>
      <c r="T106" s="1056"/>
      <c r="U106" s="1056"/>
      <c r="V106" s="1056"/>
      <c r="W106" s="1056"/>
      <c r="X106" s="1056"/>
      <c r="Y106" s="1056"/>
      <c r="Z106" s="1056"/>
    </row>
    <row r="107" ht="12.75" customHeight="1">
      <c r="A107" s="1056"/>
      <c r="B107" s="1056"/>
      <c r="C107" s="1056"/>
      <c r="D107" s="1056"/>
      <c r="E107" s="1056"/>
      <c r="F107" s="1056"/>
      <c r="G107" s="1056"/>
      <c r="H107" s="1056"/>
      <c r="I107" s="1056"/>
      <c r="J107" s="1056"/>
      <c r="K107" s="1056"/>
      <c r="L107" s="1056"/>
      <c r="M107" s="1056"/>
      <c r="N107" s="1056"/>
      <c r="O107" s="1056"/>
      <c r="P107" s="1056"/>
      <c r="Q107" s="1056"/>
      <c r="R107" s="1056"/>
      <c r="S107" s="1056"/>
      <c r="T107" s="1056"/>
      <c r="U107" s="1056"/>
      <c r="V107" s="1056"/>
      <c r="W107" s="1056"/>
      <c r="X107" s="1056"/>
      <c r="Y107" s="1056"/>
      <c r="Z107" s="1056"/>
    </row>
    <row r="108" ht="12.75" customHeight="1">
      <c r="A108" s="1056"/>
      <c r="B108" s="1056"/>
      <c r="C108" s="1056"/>
      <c r="D108" s="1056"/>
      <c r="E108" s="1056"/>
      <c r="F108" s="1056"/>
      <c r="G108" s="1056"/>
      <c r="H108" s="1056"/>
      <c r="I108" s="1056"/>
      <c r="J108" s="1056"/>
      <c r="K108" s="1056"/>
      <c r="L108" s="1056"/>
      <c r="M108" s="1056"/>
      <c r="N108" s="1056"/>
      <c r="O108" s="1056"/>
      <c r="P108" s="1056"/>
      <c r="Q108" s="1056"/>
      <c r="R108" s="1056"/>
      <c r="S108" s="1056"/>
      <c r="T108" s="1056"/>
      <c r="U108" s="1056"/>
      <c r="V108" s="1056"/>
      <c r="W108" s="1056"/>
      <c r="X108" s="1056"/>
      <c r="Y108" s="1056"/>
      <c r="Z108" s="1056"/>
    </row>
    <row r="109" ht="12.75" customHeight="1">
      <c r="A109" s="1056"/>
      <c r="B109" s="1056"/>
      <c r="C109" s="1056"/>
      <c r="D109" s="1056"/>
      <c r="E109" s="1056"/>
      <c r="F109" s="1056"/>
      <c r="G109" s="1056"/>
      <c r="H109" s="1056"/>
      <c r="I109" s="1056"/>
      <c r="J109" s="1056"/>
      <c r="K109" s="1056"/>
      <c r="L109" s="1056"/>
      <c r="M109" s="1056"/>
      <c r="N109" s="1056"/>
      <c r="O109" s="1056"/>
      <c r="P109" s="1056"/>
      <c r="Q109" s="1056"/>
      <c r="R109" s="1056"/>
      <c r="S109" s="1056"/>
      <c r="T109" s="1056"/>
      <c r="U109" s="1056"/>
      <c r="V109" s="1056"/>
      <c r="W109" s="1056"/>
      <c r="X109" s="1056"/>
      <c r="Y109" s="1056"/>
      <c r="Z109" s="1056"/>
    </row>
    <row r="110" ht="12.75" customHeight="1">
      <c r="A110" s="1056"/>
      <c r="B110" s="1056"/>
      <c r="C110" s="1056"/>
      <c r="D110" s="1056"/>
      <c r="E110" s="1056"/>
      <c r="F110" s="1056"/>
      <c r="G110" s="1056"/>
      <c r="H110" s="1056"/>
      <c r="I110" s="1056"/>
      <c r="J110" s="1056"/>
      <c r="K110" s="1056"/>
      <c r="L110" s="1056"/>
      <c r="M110" s="1056"/>
      <c r="N110" s="1056"/>
      <c r="O110" s="1056"/>
      <c r="P110" s="1056"/>
      <c r="Q110" s="1056"/>
      <c r="R110" s="1056"/>
      <c r="S110" s="1056"/>
      <c r="T110" s="1056"/>
      <c r="U110" s="1056"/>
      <c r="V110" s="1056"/>
      <c r="W110" s="1056"/>
      <c r="X110" s="1056"/>
      <c r="Y110" s="1056"/>
      <c r="Z110" s="1056"/>
    </row>
    <row r="111" ht="12.75" customHeight="1">
      <c r="A111" s="1056"/>
      <c r="B111" s="1056"/>
      <c r="C111" s="1056"/>
      <c r="D111" s="1056"/>
      <c r="E111" s="1056"/>
      <c r="F111" s="1056"/>
      <c r="G111" s="1056"/>
      <c r="H111" s="1056"/>
      <c r="I111" s="1056"/>
      <c r="J111" s="1056"/>
      <c r="K111" s="1056"/>
      <c r="L111" s="1056"/>
      <c r="M111" s="1056"/>
      <c r="N111" s="1056"/>
      <c r="O111" s="1056"/>
      <c r="P111" s="1056"/>
      <c r="Q111" s="1056"/>
      <c r="R111" s="1056"/>
      <c r="S111" s="1056"/>
      <c r="T111" s="1056"/>
      <c r="U111" s="1056"/>
      <c r="V111" s="1056"/>
      <c r="W111" s="1056"/>
      <c r="X111" s="1056"/>
      <c r="Y111" s="1056"/>
      <c r="Z111" s="1056"/>
    </row>
    <row r="112" ht="12.75" customHeight="1">
      <c r="A112" s="1056"/>
      <c r="B112" s="1056"/>
      <c r="C112" s="1056"/>
      <c r="D112" s="1056"/>
      <c r="E112" s="1056"/>
      <c r="F112" s="1056"/>
      <c r="G112" s="1056"/>
      <c r="H112" s="1056"/>
      <c r="I112" s="1056"/>
      <c r="J112" s="1056"/>
      <c r="K112" s="1056"/>
      <c r="L112" s="1056"/>
      <c r="M112" s="1056"/>
      <c r="N112" s="1056"/>
      <c r="O112" s="1056"/>
      <c r="P112" s="1056"/>
      <c r="Q112" s="1056"/>
      <c r="R112" s="1056"/>
      <c r="S112" s="1056"/>
      <c r="T112" s="1056"/>
      <c r="U112" s="1056"/>
      <c r="V112" s="1056"/>
      <c r="W112" s="1056"/>
      <c r="X112" s="1056"/>
      <c r="Y112" s="1056"/>
      <c r="Z112" s="1056"/>
    </row>
    <row r="113" ht="12.75" customHeight="1">
      <c r="A113" s="1056"/>
      <c r="B113" s="1056"/>
      <c r="C113" s="1056"/>
      <c r="D113" s="1056"/>
      <c r="E113" s="1056"/>
      <c r="F113" s="1056"/>
      <c r="G113" s="1056"/>
      <c r="H113" s="1056"/>
      <c r="I113" s="1056"/>
      <c r="J113" s="1056"/>
      <c r="K113" s="1056"/>
      <c r="L113" s="1056"/>
      <c r="M113" s="1056"/>
      <c r="N113" s="1056"/>
      <c r="O113" s="1056"/>
      <c r="P113" s="1056"/>
      <c r="Q113" s="1056"/>
      <c r="R113" s="1056"/>
      <c r="S113" s="1056"/>
      <c r="T113" s="1056"/>
      <c r="U113" s="1056"/>
      <c r="V113" s="1056"/>
      <c r="W113" s="1056"/>
      <c r="X113" s="1056"/>
      <c r="Y113" s="1056"/>
      <c r="Z113" s="1056"/>
    </row>
    <row r="114" ht="12.75" customHeight="1">
      <c r="A114" s="1056"/>
      <c r="B114" s="1056"/>
      <c r="C114" s="1056"/>
      <c r="D114" s="1056"/>
      <c r="E114" s="1056"/>
      <c r="F114" s="1056"/>
      <c r="G114" s="1056"/>
      <c r="H114" s="1056"/>
      <c r="I114" s="1056"/>
      <c r="J114" s="1056"/>
      <c r="K114" s="1056"/>
      <c r="L114" s="1056"/>
      <c r="M114" s="1056"/>
      <c r="N114" s="1056"/>
      <c r="O114" s="1056"/>
      <c r="P114" s="1056"/>
      <c r="Q114" s="1056"/>
      <c r="R114" s="1056"/>
      <c r="S114" s="1056"/>
      <c r="T114" s="1056"/>
      <c r="U114" s="1056"/>
      <c r="V114" s="1056"/>
      <c r="W114" s="1056"/>
      <c r="X114" s="1056"/>
      <c r="Y114" s="1056"/>
      <c r="Z114" s="1056"/>
    </row>
    <row r="115" ht="12.75" customHeight="1">
      <c r="A115" s="1056"/>
      <c r="B115" s="1056"/>
      <c r="C115" s="1056"/>
      <c r="D115" s="1056"/>
      <c r="E115" s="1056"/>
      <c r="F115" s="1056"/>
      <c r="G115" s="1056"/>
      <c r="H115" s="1056"/>
      <c r="I115" s="1056"/>
      <c r="J115" s="1056"/>
      <c r="K115" s="1056"/>
      <c r="L115" s="1056"/>
      <c r="M115" s="1056"/>
      <c r="N115" s="1056"/>
      <c r="O115" s="1056"/>
      <c r="P115" s="1056"/>
      <c r="Q115" s="1056"/>
      <c r="R115" s="1056"/>
      <c r="S115" s="1056"/>
      <c r="T115" s="1056"/>
      <c r="U115" s="1056"/>
      <c r="V115" s="1056"/>
      <c r="W115" s="1056"/>
      <c r="X115" s="1056"/>
      <c r="Y115" s="1056"/>
      <c r="Z115" s="1056"/>
    </row>
    <row r="116" ht="12.75" customHeight="1">
      <c r="A116" s="1056"/>
      <c r="B116" s="1056"/>
      <c r="C116" s="1056"/>
      <c r="D116" s="1056"/>
      <c r="E116" s="1056"/>
      <c r="F116" s="1056"/>
      <c r="G116" s="1056"/>
      <c r="H116" s="1056"/>
      <c r="I116" s="1056"/>
      <c r="J116" s="1056"/>
      <c r="K116" s="1056"/>
      <c r="L116" s="1056"/>
      <c r="M116" s="1056"/>
      <c r="N116" s="1056"/>
      <c r="O116" s="1056"/>
      <c r="P116" s="1056"/>
      <c r="Q116" s="1056"/>
      <c r="R116" s="1056"/>
      <c r="S116" s="1056"/>
      <c r="T116" s="1056"/>
      <c r="U116" s="1056"/>
      <c r="V116" s="1056"/>
      <c r="W116" s="1056"/>
      <c r="X116" s="1056"/>
      <c r="Y116" s="1056"/>
      <c r="Z116" s="1056"/>
    </row>
    <row r="117" ht="12.75" customHeight="1">
      <c r="A117" s="1056"/>
      <c r="B117" s="1056"/>
      <c r="C117" s="1056"/>
      <c r="D117" s="1056"/>
      <c r="E117" s="1056"/>
      <c r="F117" s="1056"/>
      <c r="G117" s="1056"/>
      <c r="H117" s="1056"/>
      <c r="I117" s="1056"/>
      <c r="J117" s="1056"/>
      <c r="K117" s="1056"/>
      <c r="L117" s="1056"/>
      <c r="M117" s="1056"/>
      <c r="N117" s="1056"/>
      <c r="O117" s="1056"/>
      <c r="P117" s="1056"/>
      <c r="Q117" s="1056"/>
      <c r="R117" s="1056"/>
      <c r="S117" s="1056"/>
      <c r="T117" s="1056"/>
      <c r="U117" s="1056"/>
      <c r="V117" s="1056"/>
      <c r="W117" s="1056"/>
      <c r="X117" s="1056"/>
      <c r="Y117" s="1056"/>
      <c r="Z117" s="1056"/>
    </row>
    <row r="118" ht="12.75" customHeight="1">
      <c r="A118" s="1056"/>
      <c r="B118" s="1056"/>
      <c r="C118" s="1056"/>
      <c r="D118" s="1056"/>
      <c r="E118" s="1056"/>
      <c r="F118" s="1056"/>
      <c r="G118" s="1056"/>
      <c r="H118" s="1056"/>
      <c r="I118" s="1056"/>
      <c r="J118" s="1056"/>
      <c r="K118" s="1056"/>
      <c r="L118" s="1056"/>
      <c r="M118" s="1056"/>
      <c r="N118" s="1056"/>
      <c r="O118" s="1056"/>
      <c r="P118" s="1056"/>
      <c r="Q118" s="1056"/>
      <c r="R118" s="1056"/>
      <c r="S118" s="1056"/>
      <c r="T118" s="1056"/>
      <c r="U118" s="1056"/>
      <c r="V118" s="1056"/>
      <c r="W118" s="1056"/>
      <c r="X118" s="1056"/>
      <c r="Y118" s="1056"/>
      <c r="Z118" s="1056"/>
    </row>
    <row r="119" ht="12.75" customHeight="1">
      <c r="A119" s="1056"/>
      <c r="B119" s="1056"/>
      <c r="C119" s="1056"/>
      <c r="D119" s="1056"/>
      <c r="E119" s="1056"/>
      <c r="F119" s="1056"/>
      <c r="G119" s="1056"/>
      <c r="H119" s="1056"/>
      <c r="I119" s="1056"/>
      <c r="J119" s="1056"/>
      <c r="K119" s="1056"/>
      <c r="L119" s="1056"/>
      <c r="M119" s="1056"/>
      <c r="N119" s="1056"/>
      <c r="O119" s="1056"/>
      <c r="P119" s="1056"/>
      <c r="Q119" s="1056"/>
      <c r="R119" s="1056"/>
      <c r="S119" s="1056"/>
      <c r="T119" s="1056"/>
      <c r="U119" s="1056"/>
      <c r="V119" s="1056"/>
      <c r="W119" s="1056"/>
      <c r="X119" s="1056"/>
      <c r="Y119" s="1056"/>
      <c r="Z119" s="1056"/>
    </row>
    <row r="120" ht="12.75" customHeight="1">
      <c r="A120" s="1056"/>
      <c r="B120" s="1056"/>
      <c r="C120" s="1056"/>
      <c r="D120" s="1056"/>
      <c r="E120" s="1056"/>
      <c r="F120" s="1056"/>
      <c r="G120" s="1056"/>
      <c r="H120" s="1056"/>
      <c r="I120" s="1056"/>
      <c r="J120" s="1056"/>
      <c r="K120" s="1056"/>
      <c r="L120" s="1056"/>
      <c r="M120" s="1056"/>
      <c r="N120" s="1056"/>
      <c r="O120" s="1056"/>
      <c r="P120" s="1056"/>
      <c r="Q120" s="1056"/>
      <c r="R120" s="1056"/>
      <c r="S120" s="1056"/>
      <c r="T120" s="1056"/>
      <c r="U120" s="1056"/>
      <c r="V120" s="1056"/>
      <c r="W120" s="1056"/>
      <c r="X120" s="1056"/>
      <c r="Y120" s="1056"/>
      <c r="Z120" s="1056"/>
    </row>
    <row r="121" ht="12.75" customHeight="1">
      <c r="A121" s="1056"/>
      <c r="B121" s="1056"/>
      <c r="C121" s="1056"/>
      <c r="D121" s="1056"/>
      <c r="E121" s="1056"/>
      <c r="F121" s="1056"/>
      <c r="G121" s="1056"/>
      <c r="H121" s="1056"/>
      <c r="I121" s="1056"/>
      <c r="J121" s="1056"/>
      <c r="K121" s="1056"/>
      <c r="L121" s="1056"/>
      <c r="M121" s="1056"/>
      <c r="N121" s="1056"/>
      <c r="O121" s="1056"/>
      <c r="P121" s="1056"/>
      <c r="Q121" s="1056"/>
      <c r="R121" s="1056"/>
      <c r="S121" s="1056"/>
      <c r="T121" s="1056"/>
      <c r="U121" s="1056"/>
      <c r="V121" s="1056"/>
      <c r="W121" s="1056"/>
      <c r="X121" s="1056"/>
      <c r="Y121" s="1056"/>
      <c r="Z121" s="1056"/>
    </row>
    <row r="122" ht="12.75" customHeight="1">
      <c r="A122" s="1056"/>
      <c r="B122" s="1056"/>
      <c r="C122" s="1056"/>
      <c r="D122" s="1056"/>
      <c r="E122" s="1056"/>
      <c r="F122" s="1056"/>
      <c r="G122" s="1056"/>
      <c r="H122" s="1056"/>
      <c r="I122" s="1056"/>
      <c r="J122" s="1056"/>
      <c r="K122" s="1056"/>
      <c r="L122" s="1056"/>
      <c r="M122" s="1056"/>
      <c r="N122" s="1056"/>
      <c r="O122" s="1056"/>
      <c r="P122" s="1056"/>
      <c r="Q122" s="1056"/>
      <c r="R122" s="1056"/>
      <c r="S122" s="1056"/>
      <c r="T122" s="1056"/>
      <c r="U122" s="1056"/>
      <c r="V122" s="1056"/>
      <c r="W122" s="1056"/>
      <c r="X122" s="1056"/>
      <c r="Y122" s="1056"/>
      <c r="Z122" s="1056"/>
    </row>
    <row r="123" ht="12.75" customHeight="1">
      <c r="A123" s="1056"/>
      <c r="B123" s="1056"/>
      <c r="C123" s="1056"/>
      <c r="D123" s="1056"/>
      <c r="E123" s="1056"/>
      <c r="F123" s="1056"/>
      <c r="G123" s="1056"/>
      <c r="H123" s="1056"/>
      <c r="I123" s="1056"/>
      <c r="J123" s="1056"/>
      <c r="K123" s="1056"/>
      <c r="L123" s="1056"/>
      <c r="M123" s="1056"/>
      <c r="N123" s="1056"/>
      <c r="O123" s="1056"/>
      <c r="P123" s="1056"/>
      <c r="Q123" s="1056"/>
      <c r="R123" s="1056"/>
      <c r="S123" s="1056"/>
      <c r="T123" s="1056"/>
      <c r="U123" s="1056"/>
      <c r="V123" s="1056"/>
      <c r="W123" s="1056"/>
      <c r="X123" s="1056"/>
      <c r="Y123" s="1056"/>
      <c r="Z123" s="1056"/>
    </row>
    <row r="124" ht="12.75" customHeight="1">
      <c r="A124" s="1056"/>
      <c r="B124" s="1056"/>
      <c r="C124" s="1056"/>
      <c r="D124" s="1056"/>
      <c r="E124" s="1056"/>
      <c r="F124" s="1056"/>
      <c r="G124" s="1056"/>
      <c r="H124" s="1056"/>
      <c r="I124" s="1056"/>
      <c r="J124" s="1056"/>
      <c r="K124" s="1056"/>
      <c r="L124" s="1056"/>
      <c r="M124" s="1056"/>
      <c r="N124" s="1056"/>
      <c r="O124" s="1056"/>
      <c r="P124" s="1056"/>
      <c r="Q124" s="1056"/>
      <c r="R124" s="1056"/>
      <c r="S124" s="1056"/>
      <c r="T124" s="1056"/>
      <c r="U124" s="1056"/>
      <c r="V124" s="1056"/>
      <c r="W124" s="1056"/>
      <c r="X124" s="1056"/>
      <c r="Y124" s="1056"/>
      <c r="Z124" s="1056"/>
    </row>
    <row r="125" ht="12.75" customHeight="1">
      <c r="A125" s="1056"/>
      <c r="B125" s="1056"/>
      <c r="C125" s="1056"/>
      <c r="D125" s="1056"/>
      <c r="E125" s="1056"/>
      <c r="F125" s="1056"/>
      <c r="G125" s="1056"/>
      <c r="H125" s="1056"/>
      <c r="I125" s="1056"/>
      <c r="J125" s="1056"/>
      <c r="K125" s="1056"/>
      <c r="L125" s="1056"/>
      <c r="M125" s="1056"/>
      <c r="N125" s="1056"/>
      <c r="O125" s="1056"/>
      <c r="P125" s="1056"/>
      <c r="Q125" s="1056"/>
      <c r="R125" s="1056"/>
      <c r="S125" s="1056"/>
      <c r="T125" s="1056"/>
      <c r="U125" s="1056"/>
      <c r="V125" s="1056"/>
      <c r="W125" s="1056"/>
      <c r="X125" s="1056"/>
      <c r="Y125" s="1056"/>
      <c r="Z125" s="1056"/>
    </row>
    <row r="126" ht="12.75" customHeight="1">
      <c r="A126" s="1056"/>
      <c r="B126" s="1056"/>
      <c r="C126" s="1056"/>
      <c r="D126" s="1056"/>
      <c r="E126" s="1056"/>
      <c r="F126" s="1056"/>
      <c r="G126" s="1056"/>
      <c r="H126" s="1056"/>
      <c r="I126" s="1056"/>
      <c r="J126" s="1056"/>
      <c r="K126" s="1056"/>
      <c r="L126" s="1056"/>
      <c r="M126" s="1056"/>
      <c r="N126" s="1056"/>
      <c r="O126" s="1056"/>
      <c r="P126" s="1056"/>
      <c r="Q126" s="1056"/>
      <c r="R126" s="1056"/>
      <c r="S126" s="1056"/>
      <c r="T126" s="1056"/>
      <c r="U126" s="1056"/>
      <c r="V126" s="1056"/>
      <c r="W126" s="1056"/>
      <c r="X126" s="1056"/>
      <c r="Y126" s="1056"/>
      <c r="Z126" s="1056"/>
    </row>
    <row r="127" ht="12.75" customHeight="1">
      <c r="A127" s="1056"/>
      <c r="B127" s="1056"/>
      <c r="C127" s="1056"/>
      <c r="D127" s="1056"/>
      <c r="E127" s="1056"/>
      <c r="F127" s="1056"/>
      <c r="G127" s="1056"/>
      <c r="H127" s="1056"/>
      <c r="I127" s="1056"/>
      <c r="J127" s="1056"/>
      <c r="K127" s="1056"/>
      <c r="L127" s="1056"/>
      <c r="M127" s="1056"/>
      <c r="N127" s="1056"/>
      <c r="O127" s="1056"/>
      <c r="P127" s="1056"/>
      <c r="Q127" s="1056"/>
      <c r="R127" s="1056"/>
      <c r="S127" s="1056"/>
      <c r="T127" s="1056"/>
      <c r="U127" s="1056"/>
      <c r="V127" s="1056"/>
      <c r="W127" s="1056"/>
      <c r="X127" s="1056"/>
      <c r="Y127" s="1056"/>
      <c r="Z127" s="1056"/>
    </row>
    <row r="128" ht="12.75" customHeight="1">
      <c r="A128" s="1056"/>
      <c r="B128" s="1056"/>
      <c r="C128" s="1056"/>
      <c r="D128" s="1056"/>
      <c r="E128" s="1056"/>
      <c r="F128" s="1056"/>
      <c r="G128" s="1056"/>
      <c r="H128" s="1056"/>
      <c r="I128" s="1056"/>
      <c r="J128" s="1056"/>
      <c r="K128" s="1056"/>
      <c r="L128" s="1056"/>
      <c r="M128" s="1056"/>
      <c r="N128" s="1056"/>
      <c r="O128" s="1056"/>
      <c r="P128" s="1056"/>
      <c r="Q128" s="1056"/>
      <c r="R128" s="1056"/>
      <c r="S128" s="1056"/>
      <c r="T128" s="1056"/>
      <c r="U128" s="1056"/>
      <c r="V128" s="1056"/>
      <c r="W128" s="1056"/>
      <c r="X128" s="1056"/>
      <c r="Y128" s="1056"/>
      <c r="Z128" s="1056"/>
    </row>
    <row r="129" ht="12.75" customHeight="1">
      <c r="A129" s="1056"/>
      <c r="B129" s="1056"/>
      <c r="C129" s="1056"/>
      <c r="D129" s="1056"/>
      <c r="E129" s="1056"/>
      <c r="F129" s="1056"/>
      <c r="G129" s="1056"/>
      <c r="H129" s="1056"/>
      <c r="I129" s="1056"/>
      <c r="J129" s="1056"/>
      <c r="K129" s="1056"/>
      <c r="L129" s="1056"/>
      <c r="M129" s="1056"/>
      <c r="N129" s="1056"/>
      <c r="O129" s="1056"/>
      <c r="P129" s="1056"/>
      <c r="Q129" s="1056"/>
      <c r="R129" s="1056"/>
      <c r="S129" s="1056"/>
      <c r="T129" s="1056"/>
      <c r="U129" s="1056"/>
      <c r="V129" s="1056"/>
      <c r="W129" s="1056"/>
      <c r="X129" s="1056"/>
      <c r="Y129" s="1056"/>
      <c r="Z129" s="1056"/>
    </row>
    <row r="130" ht="12.75" customHeight="1">
      <c r="A130" s="1056"/>
      <c r="B130" s="1056"/>
      <c r="C130" s="1056"/>
      <c r="D130" s="1056"/>
      <c r="E130" s="1056"/>
      <c r="F130" s="1056"/>
      <c r="G130" s="1056"/>
      <c r="H130" s="1056"/>
      <c r="I130" s="1056"/>
      <c r="J130" s="1056"/>
      <c r="K130" s="1056"/>
      <c r="L130" s="1056"/>
      <c r="M130" s="1056"/>
      <c r="N130" s="1056"/>
      <c r="O130" s="1056"/>
      <c r="P130" s="1056"/>
      <c r="Q130" s="1056"/>
      <c r="R130" s="1056"/>
      <c r="S130" s="1056"/>
      <c r="T130" s="1056"/>
      <c r="U130" s="1056"/>
      <c r="V130" s="1056"/>
      <c r="W130" s="1056"/>
      <c r="X130" s="1056"/>
      <c r="Y130" s="1056"/>
      <c r="Z130" s="1056"/>
    </row>
    <row r="131" ht="12.75" customHeight="1">
      <c r="A131" s="1056"/>
      <c r="B131" s="1056"/>
      <c r="C131" s="1056"/>
      <c r="D131" s="1056"/>
      <c r="E131" s="1056"/>
      <c r="F131" s="1056"/>
      <c r="G131" s="1056"/>
      <c r="H131" s="1056"/>
      <c r="I131" s="1056"/>
      <c r="J131" s="1056"/>
      <c r="K131" s="1056"/>
      <c r="L131" s="1056"/>
      <c r="M131" s="1056"/>
      <c r="N131" s="1056"/>
      <c r="O131" s="1056"/>
      <c r="P131" s="1056"/>
      <c r="Q131" s="1056"/>
      <c r="R131" s="1056"/>
      <c r="S131" s="1056"/>
      <c r="T131" s="1056"/>
      <c r="U131" s="1056"/>
      <c r="V131" s="1056"/>
      <c r="W131" s="1056"/>
      <c r="X131" s="1056"/>
      <c r="Y131" s="1056"/>
      <c r="Z131" s="1056"/>
    </row>
    <row r="132" ht="12.75" customHeight="1">
      <c r="A132" s="1056"/>
      <c r="B132" s="1056"/>
      <c r="C132" s="1056"/>
      <c r="D132" s="1056"/>
      <c r="E132" s="1056"/>
      <c r="F132" s="1056"/>
      <c r="G132" s="1056"/>
      <c r="H132" s="1056"/>
      <c r="I132" s="1056"/>
      <c r="J132" s="1056"/>
      <c r="K132" s="1056"/>
      <c r="L132" s="1056"/>
      <c r="M132" s="1056"/>
      <c r="N132" s="1056"/>
      <c r="O132" s="1056"/>
      <c r="P132" s="1056"/>
      <c r="Q132" s="1056"/>
      <c r="R132" s="1056"/>
      <c r="S132" s="1056"/>
      <c r="T132" s="1056"/>
      <c r="U132" s="1056"/>
      <c r="V132" s="1056"/>
      <c r="W132" s="1056"/>
      <c r="X132" s="1056"/>
      <c r="Y132" s="1056"/>
      <c r="Z132" s="1056"/>
    </row>
    <row r="133" ht="12.75" customHeight="1">
      <c r="A133" s="1056"/>
      <c r="B133" s="1056"/>
      <c r="C133" s="1056"/>
      <c r="D133" s="1056"/>
      <c r="E133" s="1056"/>
      <c r="F133" s="1056"/>
      <c r="G133" s="1056"/>
      <c r="H133" s="1056"/>
      <c r="I133" s="1056"/>
      <c r="J133" s="1056"/>
      <c r="K133" s="1056"/>
      <c r="L133" s="1056"/>
      <c r="M133" s="1056"/>
      <c r="N133" s="1056"/>
      <c r="O133" s="1056"/>
      <c r="P133" s="1056"/>
      <c r="Q133" s="1056"/>
      <c r="R133" s="1056"/>
      <c r="S133" s="1056"/>
      <c r="T133" s="1056"/>
      <c r="U133" s="1056"/>
      <c r="V133" s="1056"/>
      <c r="W133" s="1056"/>
      <c r="X133" s="1056"/>
      <c r="Y133" s="1056"/>
      <c r="Z133" s="1056"/>
    </row>
    <row r="134" ht="12.75" customHeight="1">
      <c r="A134" s="1056"/>
      <c r="B134" s="1056"/>
      <c r="C134" s="1056"/>
      <c r="D134" s="1056"/>
      <c r="E134" s="1056"/>
      <c r="F134" s="1056"/>
      <c r="G134" s="1056"/>
      <c r="H134" s="1056"/>
      <c r="I134" s="1056"/>
      <c r="J134" s="1056"/>
      <c r="K134" s="1056"/>
      <c r="L134" s="1056"/>
      <c r="M134" s="1056"/>
      <c r="N134" s="1056"/>
      <c r="O134" s="1056"/>
      <c r="P134" s="1056"/>
      <c r="Q134" s="1056"/>
      <c r="R134" s="1056"/>
      <c r="S134" s="1056"/>
      <c r="T134" s="1056"/>
      <c r="U134" s="1056"/>
      <c r="V134" s="1056"/>
      <c r="W134" s="1056"/>
      <c r="X134" s="1056"/>
      <c r="Y134" s="1056"/>
      <c r="Z134" s="1056"/>
    </row>
    <row r="135" ht="12.75" customHeight="1">
      <c r="A135" s="1056"/>
      <c r="B135" s="1056"/>
      <c r="C135" s="1056"/>
      <c r="D135" s="1056"/>
      <c r="E135" s="1056"/>
      <c r="F135" s="1056"/>
      <c r="G135" s="1056"/>
      <c r="H135" s="1056"/>
      <c r="I135" s="1056"/>
      <c r="J135" s="1056"/>
      <c r="K135" s="1056"/>
      <c r="L135" s="1056"/>
      <c r="M135" s="1056"/>
      <c r="N135" s="1056"/>
      <c r="O135" s="1056"/>
      <c r="P135" s="1056"/>
      <c r="Q135" s="1056"/>
      <c r="R135" s="1056"/>
      <c r="S135" s="1056"/>
      <c r="T135" s="1056"/>
      <c r="U135" s="1056"/>
      <c r="V135" s="1056"/>
      <c r="W135" s="1056"/>
      <c r="X135" s="1056"/>
      <c r="Y135" s="1056"/>
      <c r="Z135" s="1056"/>
    </row>
    <row r="136" ht="12.75" customHeight="1">
      <c r="A136" s="1056"/>
      <c r="B136" s="1056"/>
      <c r="C136" s="1056"/>
      <c r="D136" s="1056"/>
      <c r="E136" s="1056"/>
      <c r="F136" s="1056"/>
      <c r="G136" s="1056"/>
      <c r="H136" s="1056"/>
      <c r="I136" s="1056"/>
      <c r="J136" s="1056"/>
      <c r="K136" s="1056"/>
      <c r="L136" s="1056"/>
      <c r="M136" s="1056"/>
      <c r="N136" s="1056"/>
      <c r="O136" s="1056"/>
      <c r="P136" s="1056"/>
      <c r="Q136" s="1056"/>
      <c r="R136" s="1056"/>
      <c r="S136" s="1056"/>
      <c r="T136" s="1056"/>
      <c r="U136" s="1056"/>
      <c r="V136" s="1056"/>
      <c r="W136" s="1056"/>
      <c r="X136" s="1056"/>
      <c r="Y136" s="1056"/>
      <c r="Z136" s="1056"/>
    </row>
    <row r="137" ht="12.75" customHeight="1">
      <c r="A137" s="1056"/>
      <c r="B137" s="1056"/>
      <c r="C137" s="1056"/>
      <c r="D137" s="1056"/>
      <c r="E137" s="1056"/>
      <c r="F137" s="1056"/>
      <c r="G137" s="1056"/>
      <c r="H137" s="1056"/>
      <c r="I137" s="1056"/>
      <c r="J137" s="1056"/>
      <c r="K137" s="1056"/>
      <c r="L137" s="1056"/>
      <c r="M137" s="1056"/>
      <c r="N137" s="1056"/>
      <c r="O137" s="1056"/>
      <c r="P137" s="1056"/>
      <c r="Q137" s="1056"/>
      <c r="R137" s="1056"/>
      <c r="S137" s="1056"/>
      <c r="T137" s="1056"/>
      <c r="U137" s="1056"/>
      <c r="V137" s="1056"/>
      <c r="W137" s="1056"/>
      <c r="X137" s="1056"/>
      <c r="Y137" s="1056"/>
      <c r="Z137" s="1056"/>
    </row>
    <row r="138" ht="12.75" customHeight="1">
      <c r="A138" s="1056"/>
      <c r="B138" s="1056"/>
      <c r="C138" s="1056"/>
      <c r="D138" s="1056"/>
      <c r="E138" s="1056"/>
      <c r="F138" s="1056"/>
      <c r="G138" s="1056"/>
      <c r="H138" s="1056"/>
      <c r="I138" s="1056"/>
      <c r="J138" s="1056"/>
      <c r="K138" s="1056"/>
      <c r="L138" s="1056"/>
      <c r="M138" s="1056"/>
      <c r="N138" s="1056"/>
      <c r="O138" s="1056"/>
      <c r="P138" s="1056"/>
      <c r="Q138" s="1056"/>
      <c r="R138" s="1056"/>
      <c r="S138" s="1056"/>
      <c r="T138" s="1056"/>
      <c r="U138" s="1056"/>
      <c r="V138" s="1056"/>
      <c r="W138" s="1056"/>
      <c r="X138" s="1056"/>
      <c r="Y138" s="1056"/>
      <c r="Z138" s="1056"/>
    </row>
    <row r="139" ht="12.75" customHeight="1">
      <c r="A139" s="1056"/>
      <c r="B139" s="1056"/>
      <c r="C139" s="1056"/>
      <c r="D139" s="1056"/>
      <c r="E139" s="1056"/>
      <c r="F139" s="1056"/>
      <c r="G139" s="1056"/>
      <c r="H139" s="1056"/>
      <c r="I139" s="1056"/>
      <c r="J139" s="1056"/>
      <c r="K139" s="1056"/>
      <c r="L139" s="1056"/>
      <c r="M139" s="1056"/>
      <c r="N139" s="1056"/>
      <c r="O139" s="1056"/>
      <c r="P139" s="1056"/>
      <c r="Q139" s="1056"/>
      <c r="R139" s="1056"/>
      <c r="S139" s="1056"/>
      <c r="T139" s="1056"/>
      <c r="U139" s="1056"/>
      <c r="V139" s="1056"/>
      <c r="W139" s="1056"/>
      <c r="X139" s="1056"/>
      <c r="Y139" s="1056"/>
      <c r="Z139" s="1056"/>
    </row>
    <row r="140" ht="12.75" customHeight="1">
      <c r="A140" s="1056"/>
      <c r="B140" s="1056"/>
      <c r="C140" s="1056"/>
      <c r="D140" s="1056"/>
      <c r="E140" s="1056"/>
      <c r="F140" s="1056"/>
      <c r="G140" s="1056"/>
      <c r="H140" s="1056"/>
      <c r="I140" s="1056"/>
      <c r="J140" s="1056"/>
      <c r="K140" s="1056"/>
      <c r="L140" s="1056"/>
      <c r="M140" s="1056"/>
      <c r="N140" s="1056"/>
      <c r="O140" s="1056"/>
      <c r="P140" s="1056"/>
      <c r="Q140" s="1056"/>
      <c r="R140" s="1056"/>
      <c r="S140" s="1056"/>
      <c r="T140" s="1056"/>
      <c r="U140" s="1056"/>
      <c r="V140" s="1056"/>
      <c r="W140" s="1056"/>
      <c r="X140" s="1056"/>
      <c r="Y140" s="1056"/>
      <c r="Z140" s="1056"/>
    </row>
    <row r="141" ht="12.75" customHeight="1">
      <c r="A141" s="1056"/>
      <c r="B141" s="1056"/>
      <c r="C141" s="1056"/>
      <c r="D141" s="1056"/>
      <c r="E141" s="1056"/>
      <c r="F141" s="1056"/>
      <c r="G141" s="1056"/>
      <c r="H141" s="1056"/>
      <c r="I141" s="1056"/>
      <c r="J141" s="1056"/>
      <c r="K141" s="1056"/>
      <c r="L141" s="1056"/>
      <c r="M141" s="1056"/>
      <c r="N141" s="1056"/>
      <c r="O141" s="1056"/>
      <c r="P141" s="1056"/>
      <c r="Q141" s="1056"/>
      <c r="R141" s="1056"/>
      <c r="S141" s="1056"/>
      <c r="T141" s="1056"/>
      <c r="U141" s="1056"/>
      <c r="V141" s="1056"/>
      <c r="W141" s="1056"/>
      <c r="X141" s="1056"/>
      <c r="Y141" s="1056"/>
      <c r="Z141" s="1056"/>
    </row>
    <row r="142" ht="12.75" customHeight="1">
      <c r="A142" s="1056"/>
      <c r="B142" s="1056"/>
      <c r="C142" s="1056"/>
      <c r="D142" s="1056"/>
      <c r="E142" s="1056"/>
      <c r="F142" s="1056"/>
      <c r="G142" s="1056"/>
      <c r="H142" s="1056"/>
      <c r="I142" s="1056"/>
      <c r="J142" s="1056"/>
      <c r="K142" s="1056"/>
      <c r="L142" s="1056"/>
      <c r="M142" s="1056"/>
      <c r="N142" s="1056"/>
      <c r="O142" s="1056"/>
      <c r="P142" s="1056"/>
      <c r="Q142" s="1056"/>
      <c r="R142" s="1056"/>
      <c r="S142" s="1056"/>
      <c r="T142" s="1056"/>
      <c r="U142" s="1056"/>
      <c r="V142" s="1056"/>
      <c r="W142" s="1056"/>
      <c r="X142" s="1056"/>
      <c r="Y142" s="1056"/>
      <c r="Z142" s="1056"/>
    </row>
    <row r="143" ht="12.75" customHeight="1">
      <c r="A143" s="1056"/>
      <c r="B143" s="1056"/>
      <c r="C143" s="1056"/>
      <c r="D143" s="1056"/>
      <c r="E143" s="1056"/>
      <c r="F143" s="1056"/>
      <c r="G143" s="1056"/>
      <c r="H143" s="1056"/>
      <c r="I143" s="1056"/>
      <c r="J143" s="1056"/>
      <c r="K143" s="1056"/>
      <c r="L143" s="1056"/>
      <c r="M143" s="1056"/>
      <c r="N143" s="1056"/>
      <c r="O143" s="1056"/>
      <c r="P143" s="1056"/>
      <c r="Q143" s="1056"/>
      <c r="R143" s="1056"/>
      <c r="S143" s="1056"/>
      <c r="T143" s="1056"/>
      <c r="U143" s="1056"/>
      <c r="V143" s="1056"/>
      <c r="W143" s="1056"/>
      <c r="X143" s="1056"/>
      <c r="Y143" s="1056"/>
      <c r="Z143" s="1056"/>
    </row>
    <row r="144" ht="12.75" customHeight="1">
      <c r="A144" s="1056"/>
      <c r="B144" s="1056"/>
      <c r="C144" s="1056"/>
      <c r="D144" s="1056"/>
      <c r="E144" s="1056"/>
      <c r="F144" s="1056"/>
      <c r="G144" s="1056"/>
      <c r="H144" s="1056"/>
      <c r="I144" s="1056"/>
      <c r="J144" s="1056"/>
      <c r="K144" s="1056"/>
      <c r="L144" s="1056"/>
      <c r="M144" s="1056"/>
      <c r="N144" s="1056"/>
      <c r="O144" s="1056"/>
      <c r="P144" s="1056"/>
      <c r="Q144" s="1056"/>
      <c r="R144" s="1056"/>
      <c r="S144" s="1056"/>
      <c r="T144" s="1056"/>
      <c r="U144" s="1056"/>
      <c r="V144" s="1056"/>
      <c r="W144" s="1056"/>
      <c r="X144" s="1056"/>
      <c r="Y144" s="1056"/>
      <c r="Z144" s="1056"/>
    </row>
    <row r="145" ht="12.75" customHeight="1">
      <c r="A145" s="1056"/>
      <c r="B145" s="1056"/>
      <c r="C145" s="1056"/>
      <c r="D145" s="1056"/>
      <c r="E145" s="1056"/>
      <c r="F145" s="1056"/>
      <c r="G145" s="1056"/>
      <c r="H145" s="1056"/>
      <c r="I145" s="1056"/>
      <c r="J145" s="1056"/>
      <c r="K145" s="1056"/>
      <c r="L145" s="1056"/>
      <c r="M145" s="1056"/>
      <c r="N145" s="1056"/>
      <c r="O145" s="1056"/>
      <c r="P145" s="1056"/>
      <c r="Q145" s="1056"/>
      <c r="R145" s="1056"/>
      <c r="S145" s="1056"/>
      <c r="T145" s="1056"/>
      <c r="U145" s="1056"/>
      <c r="V145" s="1056"/>
      <c r="W145" s="1056"/>
      <c r="X145" s="1056"/>
      <c r="Y145" s="1056"/>
      <c r="Z145" s="1056"/>
    </row>
    <row r="146" ht="12.75" customHeight="1">
      <c r="A146" s="1056"/>
      <c r="B146" s="1056"/>
      <c r="C146" s="1056"/>
      <c r="D146" s="1056"/>
      <c r="E146" s="1056"/>
      <c r="F146" s="1056"/>
      <c r="G146" s="1056"/>
      <c r="H146" s="1056"/>
      <c r="I146" s="1056"/>
      <c r="J146" s="1056"/>
      <c r="K146" s="1056"/>
      <c r="L146" s="1056"/>
      <c r="M146" s="1056"/>
      <c r="N146" s="1056"/>
      <c r="O146" s="1056"/>
      <c r="P146" s="1056"/>
      <c r="Q146" s="1056"/>
      <c r="R146" s="1056"/>
      <c r="S146" s="1056"/>
      <c r="T146" s="1056"/>
      <c r="U146" s="1056"/>
      <c r="V146" s="1056"/>
      <c r="W146" s="1056"/>
      <c r="X146" s="1056"/>
      <c r="Y146" s="1056"/>
      <c r="Z146" s="1056"/>
    </row>
    <row r="147" ht="12.75" customHeight="1">
      <c r="A147" s="1056"/>
      <c r="B147" s="1056"/>
      <c r="C147" s="1056"/>
      <c r="D147" s="1056"/>
      <c r="E147" s="1056"/>
      <c r="F147" s="1056"/>
      <c r="G147" s="1056"/>
      <c r="H147" s="1056"/>
      <c r="I147" s="1056"/>
      <c r="J147" s="1056"/>
      <c r="K147" s="1056"/>
      <c r="L147" s="1056"/>
      <c r="M147" s="1056"/>
      <c r="N147" s="1056"/>
      <c r="O147" s="1056"/>
      <c r="P147" s="1056"/>
      <c r="Q147" s="1056"/>
      <c r="R147" s="1056"/>
      <c r="S147" s="1056"/>
      <c r="T147" s="1056"/>
      <c r="U147" s="1056"/>
      <c r="V147" s="1056"/>
      <c r="W147" s="1056"/>
      <c r="X147" s="1056"/>
      <c r="Y147" s="1056"/>
      <c r="Z147" s="1056"/>
    </row>
    <row r="148" ht="12.75" customHeight="1">
      <c r="A148" s="1056"/>
      <c r="B148" s="1056"/>
      <c r="C148" s="1056"/>
      <c r="D148" s="1056"/>
      <c r="E148" s="1056"/>
      <c r="F148" s="1056"/>
      <c r="G148" s="1056"/>
      <c r="H148" s="1056"/>
      <c r="I148" s="1056"/>
      <c r="J148" s="1056"/>
      <c r="K148" s="1056"/>
      <c r="L148" s="1056"/>
      <c r="M148" s="1056"/>
      <c r="N148" s="1056"/>
      <c r="O148" s="1056"/>
      <c r="P148" s="1056"/>
      <c r="Q148" s="1056"/>
      <c r="R148" s="1056"/>
      <c r="S148" s="1056"/>
      <c r="T148" s="1056"/>
      <c r="U148" s="1056"/>
      <c r="V148" s="1056"/>
      <c r="W148" s="1056"/>
      <c r="X148" s="1056"/>
      <c r="Y148" s="1056"/>
      <c r="Z148" s="1056"/>
    </row>
    <row r="149" ht="12.75" customHeight="1">
      <c r="A149" s="1056"/>
      <c r="B149" s="1056"/>
      <c r="C149" s="1056"/>
      <c r="D149" s="1056"/>
      <c r="E149" s="1056"/>
      <c r="F149" s="1056"/>
      <c r="G149" s="1056"/>
      <c r="H149" s="1056"/>
      <c r="I149" s="1056"/>
      <c r="J149" s="1056"/>
      <c r="K149" s="1056"/>
      <c r="L149" s="1056"/>
      <c r="M149" s="1056"/>
      <c r="N149" s="1056"/>
      <c r="O149" s="1056"/>
      <c r="P149" s="1056"/>
      <c r="Q149" s="1056"/>
      <c r="R149" s="1056"/>
      <c r="S149" s="1056"/>
      <c r="T149" s="1056"/>
      <c r="U149" s="1056"/>
      <c r="V149" s="1056"/>
      <c r="W149" s="1056"/>
      <c r="X149" s="1056"/>
      <c r="Y149" s="1056"/>
      <c r="Z149" s="1056"/>
    </row>
    <row r="150" ht="12.75" customHeight="1">
      <c r="A150" s="1056"/>
      <c r="B150" s="1056"/>
      <c r="C150" s="1056"/>
      <c r="D150" s="1056"/>
      <c r="E150" s="1056"/>
      <c r="F150" s="1056"/>
      <c r="G150" s="1056"/>
      <c r="H150" s="1056"/>
      <c r="I150" s="1056"/>
      <c r="J150" s="1056"/>
      <c r="K150" s="1056"/>
      <c r="L150" s="1056"/>
      <c r="M150" s="1056"/>
      <c r="N150" s="1056"/>
      <c r="O150" s="1056"/>
      <c r="P150" s="1056"/>
      <c r="Q150" s="1056"/>
      <c r="R150" s="1056"/>
      <c r="S150" s="1056"/>
      <c r="T150" s="1056"/>
      <c r="U150" s="1056"/>
      <c r="V150" s="1056"/>
      <c r="W150" s="1056"/>
      <c r="X150" s="1056"/>
      <c r="Y150" s="1056"/>
      <c r="Z150" s="1056"/>
    </row>
    <row r="151" ht="12.75" customHeight="1">
      <c r="A151" s="1056"/>
      <c r="B151" s="1056"/>
      <c r="C151" s="1056"/>
      <c r="D151" s="1056"/>
      <c r="E151" s="1056"/>
      <c r="F151" s="1056"/>
      <c r="G151" s="1056"/>
      <c r="H151" s="1056"/>
      <c r="I151" s="1056"/>
      <c r="J151" s="1056"/>
      <c r="K151" s="1056"/>
      <c r="L151" s="1056"/>
      <c r="M151" s="1056"/>
      <c r="N151" s="1056"/>
      <c r="O151" s="1056"/>
      <c r="P151" s="1056"/>
      <c r="Q151" s="1056"/>
      <c r="R151" s="1056"/>
      <c r="S151" s="1056"/>
      <c r="T151" s="1056"/>
      <c r="U151" s="1056"/>
      <c r="V151" s="1056"/>
      <c r="W151" s="1056"/>
      <c r="X151" s="1056"/>
      <c r="Y151" s="1056"/>
      <c r="Z151" s="1056"/>
    </row>
    <row r="152" ht="12.75" customHeight="1">
      <c r="A152" s="1056"/>
      <c r="B152" s="1056"/>
      <c r="C152" s="1056"/>
      <c r="D152" s="1056"/>
      <c r="E152" s="1056"/>
      <c r="F152" s="1056"/>
      <c r="G152" s="1056"/>
      <c r="H152" s="1056"/>
      <c r="I152" s="1056"/>
      <c r="J152" s="1056"/>
      <c r="K152" s="1056"/>
      <c r="L152" s="1056"/>
      <c r="M152" s="1056"/>
      <c r="N152" s="1056"/>
      <c r="O152" s="1056"/>
      <c r="P152" s="1056"/>
      <c r="Q152" s="1056"/>
      <c r="R152" s="1056"/>
      <c r="S152" s="1056"/>
      <c r="T152" s="1056"/>
      <c r="U152" s="1056"/>
      <c r="V152" s="1056"/>
      <c r="W152" s="1056"/>
      <c r="X152" s="1056"/>
      <c r="Y152" s="1056"/>
      <c r="Z152" s="1056"/>
    </row>
    <row r="153" ht="12.75" customHeight="1">
      <c r="A153" s="1056"/>
      <c r="B153" s="1056"/>
      <c r="C153" s="1056"/>
      <c r="D153" s="1056"/>
      <c r="E153" s="1056"/>
      <c r="F153" s="1056"/>
      <c r="G153" s="1056"/>
      <c r="H153" s="1056"/>
      <c r="I153" s="1056"/>
      <c r="J153" s="1056"/>
      <c r="K153" s="1056"/>
      <c r="L153" s="1056"/>
      <c r="M153" s="1056"/>
      <c r="N153" s="1056"/>
      <c r="O153" s="1056"/>
      <c r="P153" s="1056"/>
      <c r="Q153" s="1056"/>
      <c r="R153" s="1056"/>
      <c r="S153" s="1056"/>
      <c r="T153" s="1056"/>
      <c r="U153" s="1056"/>
      <c r="V153" s="1056"/>
      <c r="W153" s="1056"/>
      <c r="X153" s="1056"/>
      <c r="Y153" s="1056"/>
      <c r="Z153" s="1056"/>
    </row>
    <row r="154" ht="12.75" customHeight="1">
      <c r="A154" s="1056"/>
      <c r="B154" s="1056"/>
      <c r="C154" s="1056"/>
      <c r="D154" s="1056"/>
      <c r="E154" s="1056"/>
      <c r="F154" s="1056"/>
      <c r="G154" s="1056"/>
      <c r="H154" s="1056"/>
      <c r="I154" s="1056"/>
      <c r="J154" s="1056"/>
      <c r="K154" s="1056"/>
      <c r="L154" s="1056"/>
      <c r="M154" s="1056"/>
      <c r="N154" s="1056"/>
      <c r="O154" s="1056"/>
      <c r="P154" s="1056"/>
      <c r="Q154" s="1056"/>
      <c r="R154" s="1056"/>
      <c r="S154" s="1056"/>
      <c r="T154" s="1056"/>
      <c r="U154" s="1056"/>
      <c r="V154" s="1056"/>
      <c r="W154" s="1056"/>
      <c r="X154" s="1056"/>
      <c r="Y154" s="1056"/>
      <c r="Z154" s="1056"/>
    </row>
    <row r="155" ht="12.75" customHeight="1">
      <c r="A155" s="1056"/>
      <c r="B155" s="1056"/>
      <c r="C155" s="1056"/>
      <c r="D155" s="1056"/>
      <c r="E155" s="1056"/>
      <c r="F155" s="1056"/>
      <c r="G155" s="1056"/>
      <c r="H155" s="1056"/>
      <c r="I155" s="1056"/>
      <c r="J155" s="1056"/>
      <c r="K155" s="1056"/>
      <c r="L155" s="1056"/>
      <c r="M155" s="1056"/>
      <c r="N155" s="1056"/>
      <c r="O155" s="1056"/>
      <c r="P155" s="1056"/>
      <c r="Q155" s="1056"/>
      <c r="R155" s="1056"/>
      <c r="S155" s="1056"/>
      <c r="T155" s="1056"/>
      <c r="U155" s="1056"/>
      <c r="V155" s="1056"/>
      <c r="W155" s="1056"/>
      <c r="X155" s="1056"/>
      <c r="Y155" s="1056"/>
      <c r="Z155" s="1056"/>
    </row>
    <row r="156" ht="12.75" customHeight="1">
      <c r="A156" s="1056"/>
      <c r="B156" s="1056"/>
      <c r="C156" s="1056"/>
      <c r="D156" s="1056"/>
      <c r="E156" s="1056"/>
      <c r="F156" s="1056"/>
      <c r="G156" s="1056"/>
      <c r="H156" s="1056"/>
      <c r="I156" s="1056"/>
      <c r="J156" s="1056"/>
      <c r="K156" s="1056"/>
      <c r="L156" s="1056"/>
      <c r="M156" s="1056"/>
      <c r="N156" s="1056"/>
      <c r="O156" s="1056"/>
      <c r="P156" s="1056"/>
      <c r="Q156" s="1056"/>
      <c r="R156" s="1056"/>
      <c r="S156" s="1056"/>
      <c r="T156" s="1056"/>
      <c r="U156" s="1056"/>
      <c r="V156" s="1056"/>
      <c r="W156" s="1056"/>
      <c r="X156" s="1056"/>
      <c r="Y156" s="1056"/>
      <c r="Z156" s="1056"/>
    </row>
    <row r="157" ht="12.75" customHeight="1">
      <c r="A157" s="1056"/>
      <c r="B157" s="1056"/>
      <c r="C157" s="1056"/>
      <c r="D157" s="1056"/>
      <c r="E157" s="1056"/>
      <c r="F157" s="1056"/>
      <c r="G157" s="1056"/>
      <c r="H157" s="1056"/>
      <c r="I157" s="1056"/>
      <c r="J157" s="1056"/>
      <c r="K157" s="1056"/>
      <c r="L157" s="1056"/>
      <c r="M157" s="1056"/>
      <c r="N157" s="1056"/>
      <c r="O157" s="1056"/>
      <c r="P157" s="1056"/>
      <c r="Q157" s="1056"/>
      <c r="R157" s="1056"/>
      <c r="S157" s="1056"/>
      <c r="T157" s="1056"/>
      <c r="U157" s="1056"/>
      <c r="V157" s="1056"/>
      <c r="W157" s="1056"/>
      <c r="X157" s="1056"/>
      <c r="Y157" s="1056"/>
      <c r="Z157" s="1056"/>
    </row>
    <row r="158" ht="12.75" customHeight="1">
      <c r="A158" s="1056"/>
      <c r="B158" s="1056"/>
      <c r="C158" s="1056"/>
      <c r="D158" s="1056"/>
      <c r="E158" s="1056"/>
      <c r="F158" s="1056"/>
      <c r="G158" s="1056"/>
      <c r="H158" s="1056"/>
      <c r="I158" s="1056"/>
      <c r="J158" s="1056"/>
      <c r="K158" s="1056"/>
      <c r="L158" s="1056"/>
      <c r="M158" s="1056"/>
      <c r="N158" s="1056"/>
      <c r="O158" s="1056"/>
      <c r="P158" s="1056"/>
      <c r="Q158" s="1056"/>
      <c r="R158" s="1056"/>
      <c r="S158" s="1056"/>
      <c r="T158" s="1056"/>
      <c r="U158" s="1056"/>
      <c r="V158" s="1056"/>
      <c r="W158" s="1056"/>
      <c r="X158" s="1056"/>
      <c r="Y158" s="1056"/>
      <c r="Z158" s="1056"/>
    </row>
    <row r="159" ht="12.75" customHeight="1">
      <c r="A159" s="1056"/>
      <c r="B159" s="1056"/>
      <c r="C159" s="1056"/>
      <c r="D159" s="1056"/>
      <c r="E159" s="1056"/>
      <c r="F159" s="1056"/>
      <c r="G159" s="1056"/>
      <c r="H159" s="1056"/>
      <c r="I159" s="1056"/>
      <c r="J159" s="1056"/>
      <c r="K159" s="1056"/>
      <c r="L159" s="1056"/>
      <c r="M159" s="1056"/>
      <c r="N159" s="1056"/>
      <c r="O159" s="1056"/>
      <c r="P159" s="1056"/>
      <c r="Q159" s="1056"/>
      <c r="R159" s="1056"/>
      <c r="S159" s="1056"/>
      <c r="T159" s="1056"/>
      <c r="U159" s="1056"/>
      <c r="V159" s="1056"/>
      <c r="W159" s="1056"/>
      <c r="X159" s="1056"/>
      <c r="Y159" s="1056"/>
      <c r="Z159" s="1056"/>
    </row>
    <row r="160" ht="12.75" customHeight="1">
      <c r="A160" s="1056"/>
      <c r="B160" s="1056"/>
      <c r="C160" s="1056"/>
      <c r="D160" s="1056"/>
      <c r="E160" s="1056"/>
      <c r="F160" s="1056"/>
      <c r="G160" s="1056"/>
      <c r="H160" s="1056"/>
      <c r="I160" s="1056"/>
      <c r="J160" s="1056"/>
      <c r="K160" s="1056"/>
      <c r="L160" s="1056"/>
      <c r="M160" s="1056"/>
      <c r="N160" s="1056"/>
      <c r="O160" s="1056"/>
      <c r="P160" s="1056"/>
      <c r="Q160" s="1056"/>
      <c r="R160" s="1056"/>
      <c r="S160" s="1056"/>
      <c r="T160" s="1056"/>
      <c r="U160" s="1056"/>
      <c r="V160" s="1056"/>
      <c r="W160" s="1056"/>
      <c r="X160" s="1056"/>
      <c r="Y160" s="1056"/>
      <c r="Z160" s="1056"/>
    </row>
    <row r="161" ht="12.75" customHeight="1">
      <c r="A161" s="1056"/>
      <c r="B161" s="1056"/>
      <c r="C161" s="1056"/>
      <c r="D161" s="1056"/>
      <c r="E161" s="1056"/>
      <c r="F161" s="1056"/>
      <c r="G161" s="1056"/>
      <c r="H161" s="1056"/>
      <c r="I161" s="1056"/>
      <c r="J161" s="1056"/>
      <c r="K161" s="1056"/>
      <c r="L161" s="1056"/>
      <c r="M161" s="1056"/>
      <c r="N161" s="1056"/>
      <c r="O161" s="1056"/>
      <c r="P161" s="1056"/>
      <c r="Q161" s="1056"/>
      <c r="R161" s="1056"/>
      <c r="S161" s="1056"/>
      <c r="T161" s="1056"/>
      <c r="U161" s="1056"/>
      <c r="V161" s="1056"/>
      <c r="W161" s="1056"/>
      <c r="X161" s="1056"/>
      <c r="Y161" s="1056"/>
      <c r="Z161" s="1056"/>
    </row>
    <row r="162" ht="12.75" customHeight="1">
      <c r="A162" s="1056"/>
      <c r="B162" s="1056"/>
      <c r="C162" s="1056"/>
      <c r="D162" s="1056"/>
      <c r="E162" s="1056"/>
      <c r="F162" s="1056"/>
      <c r="G162" s="1056"/>
      <c r="H162" s="1056"/>
      <c r="I162" s="1056"/>
      <c r="J162" s="1056"/>
      <c r="K162" s="1056"/>
      <c r="L162" s="1056"/>
      <c r="M162" s="1056"/>
      <c r="N162" s="1056"/>
      <c r="O162" s="1056"/>
      <c r="P162" s="1056"/>
      <c r="Q162" s="1056"/>
      <c r="R162" s="1056"/>
      <c r="S162" s="1056"/>
      <c r="T162" s="1056"/>
      <c r="U162" s="1056"/>
      <c r="V162" s="1056"/>
      <c r="W162" s="1056"/>
      <c r="X162" s="1056"/>
      <c r="Y162" s="1056"/>
      <c r="Z162" s="1056"/>
    </row>
    <row r="163" ht="12.75" customHeight="1">
      <c r="A163" s="1056"/>
      <c r="B163" s="1056"/>
      <c r="C163" s="1056"/>
      <c r="D163" s="1056"/>
      <c r="E163" s="1056"/>
      <c r="F163" s="1056"/>
      <c r="G163" s="1056"/>
      <c r="H163" s="1056"/>
      <c r="I163" s="1056"/>
      <c r="J163" s="1056"/>
      <c r="K163" s="1056"/>
      <c r="L163" s="1056"/>
      <c r="M163" s="1056"/>
      <c r="N163" s="1056"/>
      <c r="O163" s="1056"/>
      <c r="P163" s="1056"/>
      <c r="Q163" s="1056"/>
      <c r="R163" s="1056"/>
      <c r="S163" s="1056"/>
      <c r="T163" s="1056"/>
      <c r="U163" s="1056"/>
      <c r="V163" s="1056"/>
      <c r="W163" s="1056"/>
      <c r="X163" s="1056"/>
      <c r="Y163" s="1056"/>
      <c r="Z163" s="1056"/>
    </row>
    <row r="164" ht="12.75" customHeight="1">
      <c r="A164" s="1056"/>
      <c r="B164" s="1056"/>
      <c r="C164" s="1056"/>
      <c r="D164" s="1056"/>
      <c r="E164" s="1056"/>
      <c r="F164" s="1056"/>
      <c r="G164" s="1056"/>
      <c r="H164" s="1056"/>
      <c r="I164" s="1056"/>
      <c r="J164" s="1056"/>
      <c r="K164" s="1056"/>
      <c r="L164" s="1056"/>
      <c r="M164" s="1056"/>
      <c r="N164" s="1056"/>
      <c r="O164" s="1056"/>
      <c r="P164" s="1056"/>
      <c r="Q164" s="1056"/>
      <c r="R164" s="1056"/>
      <c r="S164" s="1056"/>
      <c r="T164" s="1056"/>
      <c r="U164" s="1056"/>
      <c r="V164" s="1056"/>
      <c r="W164" s="1056"/>
      <c r="X164" s="1056"/>
      <c r="Y164" s="1056"/>
      <c r="Z164" s="1056"/>
    </row>
    <row r="165" ht="12.75" customHeight="1">
      <c r="A165" s="1056"/>
      <c r="B165" s="1056"/>
      <c r="C165" s="1056"/>
      <c r="D165" s="1056"/>
      <c r="E165" s="1056"/>
      <c r="F165" s="1056"/>
      <c r="G165" s="1056"/>
      <c r="H165" s="1056"/>
      <c r="I165" s="1056"/>
      <c r="J165" s="1056"/>
      <c r="K165" s="1056"/>
      <c r="L165" s="1056"/>
      <c r="M165" s="1056"/>
      <c r="N165" s="1056"/>
      <c r="O165" s="1056"/>
      <c r="P165" s="1056"/>
      <c r="Q165" s="1056"/>
      <c r="R165" s="1056"/>
      <c r="S165" s="1056"/>
      <c r="T165" s="1056"/>
      <c r="U165" s="1056"/>
      <c r="V165" s="1056"/>
      <c r="W165" s="1056"/>
      <c r="X165" s="1056"/>
      <c r="Y165" s="1056"/>
      <c r="Z165" s="1056"/>
    </row>
    <row r="166" ht="12.75" customHeight="1">
      <c r="A166" s="1056"/>
      <c r="B166" s="1056"/>
      <c r="C166" s="1056"/>
      <c r="D166" s="1056"/>
      <c r="E166" s="1056"/>
      <c r="F166" s="1056"/>
      <c r="G166" s="1056"/>
      <c r="H166" s="1056"/>
      <c r="I166" s="1056"/>
      <c r="J166" s="1056"/>
      <c r="K166" s="1056"/>
      <c r="L166" s="1056"/>
      <c r="M166" s="1056"/>
      <c r="N166" s="1056"/>
      <c r="O166" s="1056"/>
      <c r="P166" s="1056"/>
      <c r="Q166" s="1056"/>
      <c r="R166" s="1056"/>
      <c r="S166" s="1056"/>
      <c r="T166" s="1056"/>
      <c r="U166" s="1056"/>
      <c r="V166" s="1056"/>
      <c r="W166" s="1056"/>
      <c r="X166" s="1056"/>
      <c r="Y166" s="1056"/>
      <c r="Z166" s="1056"/>
    </row>
    <row r="167" ht="12.75" customHeight="1">
      <c r="A167" s="1056"/>
      <c r="B167" s="1056"/>
      <c r="C167" s="1056"/>
      <c r="D167" s="1056"/>
      <c r="E167" s="1056"/>
      <c r="F167" s="1056"/>
      <c r="G167" s="1056"/>
      <c r="H167" s="1056"/>
      <c r="I167" s="1056"/>
      <c r="J167" s="1056"/>
      <c r="K167" s="1056"/>
      <c r="L167" s="1056"/>
      <c r="M167" s="1056"/>
      <c r="N167" s="1056"/>
      <c r="O167" s="1056"/>
      <c r="P167" s="1056"/>
      <c r="Q167" s="1056"/>
      <c r="R167" s="1056"/>
      <c r="S167" s="1056"/>
      <c r="T167" s="1056"/>
      <c r="U167" s="1056"/>
      <c r="V167" s="1056"/>
      <c r="W167" s="1056"/>
      <c r="X167" s="1056"/>
      <c r="Y167" s="1056"/>
      <c r="Z167" s="1056"/>
    </row>
    <row r="168" ht="12.75" customHeight="1">
      <c r="A168" s="1056"/>
      <c r="B168" s="1056"/>
      <c r="C168" s="1056"/>
      <c r="D168" s="1056"/>
      <c r="E168" s="1056"/>
      <c r="F168" s="1056"/>
      <c r="G168" s="1056"/>
      <c r="H168" s="1056"/>
      <c r="I168" s="1056"/>
      <c r="J168" s="1056"/>
      <c r="K168" s="1056"/>
      <c r="L168" s="1056"/>
      <c r="M168" s="1056"/>
      <c r="N168" s="1056"/>
      <c r="O168" s="1056"/>
      <c r="P168" s="1056"/>
      <c r="Q168" s="1056"/>
      <c r="R168" s="1056"/>
      <c r="S168" s="1056"/>
      <c r="T168" s="1056"/>
      <c r="U168" s="1056"/>
      <c r="V168" s="1056"/>
      <c r="W168" s="1056"/>
      <c r="X168" s="1056"/>
      <c r="Y168" s="1056"/>
      <c r="Z168" s="1056"/>
    </row>
    <row r="169" ht="12.75" customHeight="1">
      <c r="A169" s="1056"/>
      <c r="B169" s="1056"/>
      <c r="C169" s="1056"/>
      <c r="D169" s="1056"/>
      <c r="E169" s="1056"/>
      <c r="F169" s="1056"/>
      <c r="G169" s="1056"/>
      <c r="H169" s="1056"/>
      <c r="I169" s="1056"/>
      <c r="J169" s="1056"/>
      <c r="K169" s="1056"/>
      <c r="L169" s="1056"/>
      <c r="M169" s="1056"/>
      <c r="N169" s="1056"/>
      <c r="O169" s="1056"/>
      <c r="P169" s="1056"/>
      <c r="Q169" s="1056"/>
      <c r="R169" s="1056"/>
      <c r="S169" s="1056"/>
      <c r="T169" s="1056"/>
      <c r="U169" s="1056"/>
      <c r="V169" s="1056"/>
      <c r="W169" s="1056"/>
      <c r="X169" s="1056"/>
      <c r="Y169" s="1056"/>
      <c r="Z169" s="1056"/>
    </row>
    <row r="170" ht="12.75" customHeight="1">
      <c r="A170" s="1056"/>
      <c r="B170" s="1056"/>
      <c r="C170" s="1056"/>
      <c r="D170" s="1056"/>
      <c r="E170" s="1056"/>
      <c r="F170" s="1056"/>
      <c r="G170" s="1056"/>
      <c r="H170" s="1056"/>
      <c r="I170" s="1056"/>
      <c r="J170" s="1056"/>
      <c r="K170" s="1056"/>
      <c r="L170" s="1056"/>
      <c r="M170" s="1056"/>
      <c r="N170" s="1056"/>
      <c r="O170" s="1056"/>
      <c r="P170" s="1056"/>
      <c r="Q170" s="1056"/>
      <c r="R170" s="1056"/>
      <c r="S170" s="1056"/>
      <c r="T170" s="1056"/>
      <c r="U170" s="1056"/>
      <c r="V170" s="1056"/>
      <c r="W170" s="1056"/>
      <c r="X170" s="1056"/>
      <c r="Y170" s="1056"/>
      <c r="Z170" s="1056"/>
    </row>
    <row r="171" ht="12.75" customHeight="1">
      <c r="A171" s="1056"/>
      <c r="B171" s="1056"/>
      <c r="C171" s="1056"/>
      <c r="D171" s="1056"/>
      <c r="E171" s="1056"/>
      <c r="F171" s="1056"/>
      <c r="G171" s="1056"/>
      <c r="H171" s="1056"/>
      <c r="I171" s="1056"/>
      <c r="J171" s="1056"/>
      <c r="K171" s="1056"/>
      <c r="L171" s="1056"/>
      <c r="M171" s="1056"/>
      <c r="N171" s="1056"/>
      <c r="O171" s="1056"/>
      <c r="P171" s="1056"/>
      <c r="Q171" s="1056"/>
      <c r="R171" s="1056"/>
      <c r="S171" s="1056"/>
      <c r="T171" s="1056"/>
      <c r="U171" s="1056"/>
      <c r="V171" s="1056"/>
      <c r="W171" s="1056"/>
      <c r="X171" s="1056"/>
      <c r="Y171" s="1056"/>
      <c r="Z171" s="1056"/>
    </row>
    <row r="172" ht="12.75" customHeight="1">
      <c r="A172" s="1056"/>
      <c r="B172" s="1056"/>
      <c r="C172" s="1056"/>
      <c r="D172" s="1056"/>
      <c r="E172" s="1056"/>
      <c r="F172" s="1056"/>
      <c r="G172" s="1056"/>
      <c r="H172" s="1056"/>
      <c r="I172" s="1056"/>
      <c r="J172" s="1056"/>
      <c r="K172" s="1056"/>
      <c r="L172" s="1056"/>
      <c r="M172" s="1056"/>
      <c r="N172" s="1056"/>
      <c r="O172" s="1056"/>
      <c r="P172" s="1056"/>
      <c r="Q172" s="1056"/>
      <c r="R172" s="1056"/>
      <c r="S172" s="1056"/>
      <c r="T172" s="1056"/>
      <c r="U172" s="1056"/>
      <c r="V172" s="1056"/>
      <c r="W172" s="1056"/>
      <c r="X172" s="1056"/>
      <c r="Y172" s="1056"/>
      <c r="Z172" s="1056"/>
    </row>
    <row r="173" ht="12.75" customHeight="1">
      <c r="A173" s="1056"/>
      <c r="B173" s="1056"/>
      <c r="C173" s="1056"/>
      <c r="D173" s="1056"/>
      <c r="E173" s="1056"/>
      <c r="F173" s="1056"/>
      <c r="G173" s="1056"/>
      <c r="H173" s="1056"/>
      <c r="I173" s="1056"/>
      <c r="J173" s="1056"/>
      <c r="K173" s="1056"/>
      <c r="L173" s="1056"/>
      <c r="M173" s="1056"/>
      <c r="N173" s="1056"/>
      <c r="O173" s="1056"/>
      <c r="P173" s="1056"/>
      <c r="Q173" s="1056"/>
      <c r="R173" s="1056"/>
      <c r="S173" s="1056"/>
      <c r="T173" s="1056"/>
      <c r="U173" s="1056"/>
      <c r="V173" s="1056"/>
      <c r="W173" s="1056"/>
      <c r="X173" s="1056"/>
      <c r="Y173" s="1056"/>
      <c r="Z173" s="1056"/>
    </row>
    <row r="174" ht="12.75" customHeight="1">
      <c r="A174" s="1056"/>
      <c r="B174" s="1056"/>
      <c r="C174" s="1056"/>
      <c r="D174" s="1056"/>
      <c r="E174" s="1056"/>
      <c r="F174" s="1056"/>
      <c r="G174" s="1056"/>
      <c r="H174" s="1056"/>
      <c r="I174" s="1056"/>
      <c r="J174" s="1056"/>
      <c r="K174" s="1056"/>
      <c r="L174" s="1056"/>
      <c r="M174" s="1056"/>
      <c r="N174" s="1056"/>
      <c r="O174" s="1056"/>
      <c r="P174" s="1056"/>
      <c r="Q174" s="1056"/>
      <c r="R174" s="1056"/>
      <c r="S174" s="1056"/>
      <c r="T174" s="1056"/>
      <c r="U174" s="1056"/>
      <c r="V174" s="1056"/>
      <c r="W174" s="1056"/>
      <c r="X174" s="1056"/>
      <c r="Y174" s="1056"/>
      <c r="Z174" s="1056"/>
    </row>
    <row r="175" ht="12.75" customHeight="1">
      <c r="A175" s="1056"/>
      <c r="B175" s="1056"/>
      <c r="C175" s="1056"/>
      <c r="D175" s="1056"/>
      <c r="E175" s="1056"/>
      <c r="F175" s="1056"/>
      <c r="G175" s="1056"/>
      <c r="H175" s="1056"/>
      <c r="I175" s="1056"/>
      <c r="J175" s="1056"/>
      <c r="K175" s="1056"/>
      <c r="L175" s="1056"/>
      <c r="M175" s="1056"/>
      <c r="N175" s="1056"/>
      <c r="O175" s="1056"/>
      <c r="P175" s="1056"/>
      <c r="Q175" s="1056"/>
      <c r="R175" s="1056"/>
      <c r="S175" s="1056"/>
      <c r="T175" s="1056"/>
      <c r="U175" s="1056"/>
      <c r="V175" s="1056"/>
      <c r="W175" s="1056"/>
      <c r="X175" s="1056"/>
      <c r="Y175" s="1056"/>
      <c r="Z175" s="1056"/>
    </row>
    <row r="176" ht="12.75" customHeight="1">
      <c r="A176" s="1056"/>
      <c r="B176" s="1056"/>
      <c r="C176" s="1056"/>
      <c r="D176" s="1056"/>
      <c r="E176" s="1056"/>
      <c r="F176" s="1056"/>
      <c r="G176" s="1056"/>
      <c r="H176" s="1056"/>
      <c r="I176" s="1056"/>
      <c r="J176" s="1056"/>
      <c r="K176" s="1056"/>
      <c r="L176" s="1056"/>
      <c r="M176" s="1056"/>
      <c r="N176" s="1056"/>
      <c r="O176" s="1056"/>
      <c r="P176" s="1056"/>
      <c r="Q176" s="1056"/>
      <c r="R176" s="1056"/>
      <c r="S176" s="1056"/>
      <c r="T176" s="1056"/>
      <c r="U176" s="1056"/>
      <c r="V176" s="1056"/>
      <c r="W176" s="1056"/>
      <c r="X176" s="1056"/>
      <c r="Y176" s="1056"/>
      <c r="Z176" s="1056"/>
    </row>
    <row r="177" ht="12.75" customHeight="1">
      <c r="A177" s="1056"/>
      <c r="B177" s="1056"/>
      <c r="C177" s="1056"/>
      <c r="D177" s="1056"/>
      <c r="E177" s="1056"/>
      <c r="F177" s="1056"/>
      <c r="G177" s="1056"/>
      <c r="H177" s="1056"/>
      <c r="I177" s="1056"/>
      <c r="J177" s="1056"/>
      <c r="K177" s="1056"/>
      <c r="L177" s="1056"/>
      <c r="M177" s="1056"/>
      <c r="N177" s="1056"/>
      <c r="O177" s="1056"/>
      <c r="P177" s="1056"/>
      <c r="Q177" s="1056"/>
      <c r="R177" s="1056"/>
      <c r="S177" s="1056"/>
      <c r="T177" s="1056"/>
      <c r="U177" s="1056"/>
      <c r="V177" s="1056"/>
      <c r="W177" s="1056"/>
      <c r="X177" s="1056"/>
      <c r="Y177" s="1056"/>
      <c r="Z177" s="1056"/>
    </row>
    <row r="178" ht="12.75" customHeight="1">
      <c r="A178" s="1056"/>
      <c r="B178" s="1056"/>
      <c r="C178" s="1056"/>
      <c r="D178" s="1056"/>
      <c r="E178" s="1056"/>
      <c r="F178" s="1056"/>
      <c r="G178" s="1056"/>
      <c r="H178" s="1056"/>
      <c r="I178" s="1056"/>
      <c r="J178" s="1056"/>
      <c r="K178" s="1056"/>
      <c r="L178" s="1056"/>
      <c r="M178" s="1056"/>
      <c r="N178" s="1056"/>
      <c r="O178" s="1056"/>
      <c r="P178" s="1056"/>
      <c r="Q178" s="1056"/>
      <c r="R178" s="1056"/>
      <c r="S178" s="1056"/>
      <c r="T178" s="1056"/>
      <c r="U178" s="1056"/>
      <c r="V178" s="1056"/>
      <c r="W178" s="1056"/>
      <c r="X178" s="1056"/>
      <c r="Y178" s="1056"/>
      <c r="Z178" s="1056"/>
    </row>
    <row r="179" ht="12.75" customHeight="1">
      <c r="A179" s="1056"/>
      <c r="B179" s="1056"/>
      <c r="C179" s="1056"/>
      <c r="D179" s="1056"/>
      <c r="E179" s="1056"/>
      <c r="F179" s="1056"/>
      <c r="G179" s="1056"/>
      <c r="H179" s="1056"/>
      <c r="I179" s="1056"/>
      <c r="J179" s="1056"/>
      <c r="K179" s="1056"/>
      <c r="L179" s="1056"/>
      <c r="M179" s="1056"/>
      <c r="N179" s="1056"/>
      <c r="O179" s="1056"/>
      <c r="P179" s="1056"/>
      <c r="Q179" s="1056"/>
      <c r="R179" s="1056"/>
      <c r="S179" s="1056"/>
      <c r="T179" s="1056"/>
      <c r="U179" s="1056"/>
      <c r="V179" s="1056"/>
      <c r="W179" s="1056"/>
      <c r="X179" s="1056"/>
      <c r="Y179" s="1056"/>
      <c r="Z179" s="1056"/>
    </row>
    <row r="180" ht="12.75" customHeight="1">
      <c r="A180" s="1056"/>
      <c r="B180" s="1056"/>
      <c r="C180" s="1056"/>
      <c r="D180" s="1056"/>
      <c r="E180" s="1056"/>
      <c r="F180" s="1056"/>
      <c r="G180" s="1056"/>
      <c r="H180" s="1056"/>
      <c r="I180" s="1056"/>
      <c r="J180" s="1056"/>
      <c r="K180" s="1056"/>
      <c r="L180" s="1056"/>
      <c r="M180" s="1056"/>
      <c r="N180" s="1056"/>
      <c r="O180" s="1056"/>
      <c r="P180" s="1056"/>
      <c r="Q180" s="1056"/>
      <c r="R180" s="1056"/>
      <c r="S180" s="1056"/>
      <c r="T180" s="1056"/>
      <c r="U180" s="1056"/>
      <c r="V180" s="1056"/>
      <c r="W180" s="1056"/>
      <c r="X180" s="1056"/>
      <c r="Y180" s="1056"/>
      <c r="Z180" s="1056"/>
    </row>
    <row r="181" ht="12.75" customHeight="1">
      <c r="A181" s="1056"/>
      <c r="B181" s="1056"/>
      <c r="C181" s="1056"/>
      <c r="D181" s="1056"/>
      <c r="E181" s="1056"/>
      <c r="F181" s="1056"/>
      <c r="G181" s="1056"/>
      <c r="H181" s="1056"/>
      <c r="I181" s="1056"/>
      <c r="J181" s="1056"/>
      <c r="K181" s="1056"/>
      <c r="L181" s="1056"/>
      <c r="M181" s="1056"/>
      <c r="N181" s="1056"/>
      <c r="O181" s="1056"/>
      <c r="P181" s="1056"/>
      <c r="Q181" s="1056"/>
      <c r="R181" s="1056"/>
      <c r="S181" s="1056"/>
      <c r="T181" s="1056"/>
      <c r="U181" s="1056"/>
      <c r="V181" s="1056"/>
      <c r="W181" s="1056"/>
      <c r="X181" s="1056"/>
      <c r="Y181" s="1056"/>
      <c r="Z181" s="1056"/>
    </row>
    <row r="182" ht="12.75" customHeight="1">
      <c r="A182" s="1056"/>
      <c r="B182" s="1056"/>
      <c r="C182" s="1056"/>
      <c r="D182" s="1056"/>
      <c r="E182" s="1056"/>
      <c r="F182" s="1056"/>
      <c r="G182" s="1056"/>
      <c r="H182" s="1056"/>
      <c r="I182" s="1056"/>
      <c r="J182" s="1056"/>
      <c r="K182" s="1056"/>
      <c r="L182" s="1056"/>
      <c r="M182" s="1056"/>
      <c r="N182" s="1056"/>
      <c r="O182" s="1056"/>
      <c r="P182" s="1056"/>
      <c r="Q182" s="1056"/>
      <c r="R182" s="1056"/>
      <c r="S182" s="1056"/>
      <c r="T182" s="1056"/>
      <c r="U182" s="1056"/>
      <c r="V182" s="1056"/>
      <c r="W182" s="1056"/>
      <c r="X182" s="1056"/>
      <c r="Y182" s="1056"/>
      <c r="Z182" s="1056"/>
    </row>
    <row r="183" ht="12.75" customHeight="1">
      <c r="A183" s="1056"/>
      <c r="B183" s="1056"/>
      <c r="C183" s="1056"/>
      <c r="D183" s="1056"/>
      <c r="E183" s="1056"/>
      <c r="F183" s="1056"/>
      <c r="G183" s="1056"/>
      <c r="H183" s="1056"/>
      <c r="I183" s="1056"/>
      <c r="J183" s="1056"/>
      <c r="K183" s="1056"/>
      <c r="L183" s="1056"/>
      <c r="M183" s="1056"/>
      <c r="N183" s="1056"/>
      <c r="O183" s="1056"/>
      <c r="P183" s="1056"/>
      <c r="Q183" s="1056"/>
      <c r="R183" s="1056"/>
      <c r="S183" s="1056"/>
      <c r="T183" s="1056"/>
      <c r="U183" s="1056"/>
      <c r="V183" s="1056"/>
      <c r="W183" s="1056"/>
      <c r="X183" s="1056"/>
      <c r="Y183" s="1056"/>
      <c r="Z183" s="1056"/>
    </row>
    <row r="184" ht="12.75" customHeight="1">
      <c r="A184" s="1056"/>
      <c r="B184" s="1056"/>
      <c r="C184" s="1056"/>
      <c r="D184" s="1056"/>
      <c r="E184" s="1056"/>
      <c r="F184" s="1056"/>
      <c r="G184" s="1056"/>
      <c r="H184" s="1056"/>
      <c r="I184" s="1056"/>
      <c r="J184" s="1056"/>
      <c r="K184" s="1056"/>
      <c r="L184" s="1056"/>
      <c r="M184" s="1056"/>
      <c r="N184" s="1056"/>
      <c r="O184" s="1056"/>
      <c r="P184" s="1056"/>
      <c r="Q184" s="1056"/>
      <c r="R184" s="1056"/>
      <c r="S184" s="1056"/>
      <c r="T184" s="1056"/>
      <c r="U184" s="1056"/>
      <c r="V184" s="1056"/>
      <c r="W184" s="1056"/>
      <c r="X184" s="1056"/>
      <c r="Y184" s="1056"/>
      <c r="Z184" s="1056"/>
    </row>
    <row r="185" ht="12.75" customHeight="1">
      <c r="A185" s="1056"/>
      <c r="B185" s="1056"/>
      <c r="C185" s="1056"/>
      <c r="D185" s="1056"/>
      <c r="E185" s="1056"/>
      <c r="F185" s="1056"/>
      <c r="G185" s="1056"/>
      <c r="H185" s="1056"/>
      <c r="I185" s="1056"/>
      <c r="J185" s="1056"/>
      <c r="K185" s="1056"/>
      <c r="L185" s="1056"/>
      <c r="M185" s="1056"/>
      <c r="N185" s="1056"/>
      <c r="O185" s="1056"/>
      <c r="P185" s="1056"/>
      <c r="Q185" s="1056"/>
      <c r="R185" s="1056"/>
      <c r="S185" s="1056"/>
      <c r="T185" s="1056"/>
      <c r="U185" s="1056"/>
      <c r="V185" s="1056"/>
      <c r="W185" s="1056"/>
      <c r="X185" s="1056"/>
      <c r="Y185" s="1056"/>
      <c r="Z185" s="1056"/>
    </row>
    <row r="186" ht="12.75" customHeight="1">
      <c r="A186" s="1056"/>
      <c r="B186" s="1056"/>
      <c r="C186" s="1056"/>
      <c r="D186" s="1056"/>
      <c r="E186" s="1056"/>
      <c r="F186" s="1056"/>
      <c r="G186" s="1056"/>
      <c r="H186" s="1056"/>
      <c r="I186" s="1056"/>
      <c r="J186" s="1056"/>
      <c r="K186" s="1056"/>
      <c r="L186" s="1056"/>
      <c r="M186" s="1056"/>
      <c r="N186" s="1056"/>
      <c r="O186" s="1056"/>
      <c r="P186" s="1056"/>
      <c r="Q186" s="1056"/>
      <c r="R186" s="1056"/>
      <c r="S186" s="1056"/>
      <c r="T186" s="1056"/>
      <c r="U186" s="1056"/>
      <c r="V186" s="1056"/>
      <c r="W186" s="1056"/>
      <c r="X186" s="1056"/>
      <c r="Y186" s="1056"/>
      <c r="Z186" s="1056"/>
    </row>
    <row r="187" ht="12.75" customHeight="1">
      <c r="A187" s="1056"/>
      <c r="B187" s="1056"/>
      <c r="C187" s="1056"/>
      <c r="D187" s="1056"/>
      <c r="E187" s="1056"/>
      <c r="F187" s="1056"/>
      <c r="G187" s="1056"/>
      <c r="H187" s="1056"/>
      <c r="I187" s="1056"/>
      <c r="J187" s="1056"/>
      <c r="K187" s="1056"/>
      <c r="L187" s="1056"/>
      <c r="M187" s="1056"/>
      <c r="N187" s="1056"/>
      <c r="O187" s="1056"/>
      <c r="P187" s="1056"/>
      <c r="Q187" s="1056"/>
      <c r="R187" s="1056"/>
      <c r="S187" s="1056"/>
      <c r="T187" s="1056"/>
      <c r="U187" s="1056"/>
      <c r="V187" s="1056"/>
      <c r="W187" s="1056"/>
      <c r="X187" s="1056"/>
      <c r="Y187" s="1056"/>
      <c r="Z187" s="1056"/>
    </row>
    <row r="188" ht="12.75" customHeight="1">
      <c r="A188" s="1056"/>
      <c r="B188" s="1056"/>
      <c r="C188" s="1056"/>
      <c r="D188" s="1056"/>
      <c r="E188" s="1056"/>
      <c r="F188" s="1056"/>
      <c r="G188" s="1056"/>
      <c r="H188" s="1056"/>
      <c r="I188" s="1056"/>
      <c r="J188" s="1056"/>
      <c r="K188" s="1056"/>
      <c r="L188" s="1056"/>
      <c r="M188" s="1056"/>
      <c r="N188" s="1056"/>
      <c r="O188" s="1056"/>
      <c r="P188" s="1056"/>
      <c r="Q188" s="1056"/>
      <c r="R188" s="1056"/>
      <c r="S188" s="1056"/>
      <c r="T188" s="1056"/>
      <c r="U188" s="1056"/>
      <c r="V188" s="1056"/>
      <c r="W188" s="1056"/>
      <c r="X188" s="1056"/>
      <c r="Y188" s="1056"/>
      <c r="Z188" s="1056"/>
    </row>
    <row r="189" ht="12.75" customHeight="1">
      <c r="A189" s="1056"/>
      <c r="B189" s="1056"/>
      <c r="C189" s="1056"/>
      <c r="D189" s="1056"/>
      <c r="E189" s="1056"/>
      <c r="F189" s="1056"/>
      <c r="G189" s="1056"/>
      <c r="H189" s="1056"/>
      <c r="I189" s="1056"/>
      <c r="J189" s="1056"/>
      <c r="K189" s="1056"/>
      <c r="L189" s="1056"/>
      <c r="M189" s="1056"/>
      <c r="N189" s="1056"/>
      <c r="O189" s="1056"/>
      <c r="P189" s="1056"/>
      <c r="Q189" s="1056"/>
      <c r="R189" s="1056"/>
      <c r="S189" s="1056"/>
      <c r="T189" s="1056"/>
      <c r="U189" s="1056"/>
      <c r="V189" s="1056"/>
      <c r="W189" s="1056"/>
      <c r="X189" s="1056"/>
      <c r="Y189" s="1056"/>
      <c r="Z189" s="1056"/>
    </row>
    <row r="190" ht="12.75" customHeight="1">
      <c r="A190" s="1056"/>
      <c r="B190" s="1056"/>
      <c r="C190" s="1056"/>
      <c r="D190" s="1056"/>
      <c r="E190" s="1056"/>
      <c r="F190" s="1056"/>
      <c r="G190" s="1056"/>
      <c r="H190" s="1056"/>
      <c r="I190" s="1056"/>
      <c r="J190" s="1056"/>
      <c r="K190" s="1056"/>
      <c r="L190" s="1056"/>
      <c r="M190" s="1056"/>
      <c r="N190" s="1056"/>
      <c r="O190" s="1056"/>
      <c r="P190" s="1056"/>
      <c r="Q190" s="1056"/>
      <c r="R190" s="1056"/>
      <c r="S190" s="1056"/>
      <c r="T190" s="1056"/>
      <c r="U190" s="1056"/>
      <c r="V190" s="1056"/>
      <c r="W190" s="1056"/>
      <c r="X190" s="1056"/>
      <c r="Y190" s="1056"/>
      <c r="Z190" s="1056"/>
    </row>
    <row r="191" ht="12.75" customHeight="1">
      <c r="A191" s="1056"/>
      <c r="B191" s="1056"/>
      <c r="C191" s="1056"/>
      <c r="D191" s="1056"/>
      <c r="E191" s="1056"/>
      <c r="F191" s="1056"/>
      <c r="G191" s="1056"/>
      <c r="H191" s="1056"/>
      <c r="I191" s="1056"/>
      <c r="J191" s="1056"/>
      <c r="K191" s="1056"/>
      <c r="L191" s="1056"/>
      <c r="M191" s="1056"/>
      <c r="N191" s="1056"/>
      <c r="O191" s="1056"/>
      <c r="P191" s="1056"/>
      <c r="Q191" s="1056"/>
      <c r="R191" s="1056"/>
      <c r="S191" s="1056"/>
      <c r="T191" s="1056"/>
      <c r="U191" s="1056"/>
      <c r="V191" s="1056"/>
      <c r="W191" s="1056"/>
      <c r="X191" s="1056"/>
      <c r="Y191" s="1056"/>
      <c r="Z191" s="1056"/>
    </row>
    <row r="192" ht="12.75" customHeight="1">
      <c r="A192" s="1056"/>
      <c r="B192" s="1056"/>
      <c r="C192" s="1056"/>
      <c r="D192" s="1056"/>
      <c r="E192" s="1056"/>
      <c r="F192" s="1056"/>
      <c r="G192" s="1056"/>
      <c r="H192" s="1056"/>
      <c r="I192" s="1056"/>
      <c r="J192" s="1056"/>
      <c r="K192" s="1056"/>
      <c r="L192" s="1056"/>
      <c r="M192" s="1056"/>
      <c r="N192" s="1056"/>
      <c r="O192" s="1056"/>
      <c r="P192" s="1056"/>
      <c r="Q192" s="1056"/>
      <c r="R192" s="1056"/>
      <c r="S192" s="1056"/>
      <c r="T192" s="1056"/>
      <c r="U192" s="1056"/>
      <c r="V192" s="1056"/>
      <c r="W192" s="1056"/>
      <c r="X192" s="1056"/>
      <c r="Y192" s="1056"/>
      <c r="Z192" s="1056"/>
    </row>
    <row r="193" ht="12.75" customHeight="1">
      <c r="A193" s="1056"/>
      <c r="B193" s="1056"/>
      <c r="C193" s="1056"/>
      <c r="D193" s="1056"/>
      <c r="E193" s="1056"/>
      <c r="F193" s="1056"/>
      <c r="G193" s="1056"/>
      <c r="H193" s="1056"/>
      <c r="I193" s="1056"/>
      <c r="J193" s="1056"/>
      <c r="K193" s="1056"/>
      <c r="L193" s="1056"/>
      <c r="M193" s="1056"/>
      <c r="N193" s="1056"/>
      <c r="O193" s="1056"/>
      <c r="P193" s="1056"/>
      <c r="Q193" s="1056"/>
      <c r="R193" s="1056"/>
      <c r="S193" s="1056"/>
      <c r="T193" s="1056"/>
      <c r="U193" s="1056"/>
      <c r="V193" s="1056"/>
      <c r="W193" s="1056"/>
      <c r="X193" s="1056"/>
      <c r="Y193" s="1056"/>
      <c r="Z193" s="1056"/>
    </row>
    <row r="194" ht="12.75" customHeight="1">
      <c r="A194" s="1056"/>
      <c r="B194" s="1056"/>
      <c r="C194" s="1056"/>
      <c r="D194" s="1056"/>
      <c r="E194" s="1056"/>
      <c r="F194" s="1056"/>
      <c r="G194" s="1056"/>
      <c r="H194" s="1056"/>
      <c r="I194" s="1056"/>
      <c r="J194" s="1056"/>
      <c r="K194" s="1056"/>
      <c r="L194" s="1056"/>
      <c r="M194" s="1056"/>
      <c r="N194" s="1056"/>
      <c r="O194" s="1056"/>
      <c r="P194" s="1056"/>
      <c r="Q194" s="1056"/>
      <c r="R194" s="1056"/>
      <c r="S194" s="1056"/>
      <c r="T194" s="1056"/>
      <c r="U194" s="1056"/>
      <c r="V194" s="1056"/>
      <c r="W194" s="1056"/>
      <c r="X194" s="1056"/>
      <c r="Y194" s="1056"/>
      <c r="Z194" s="1056"/>
    </row>
    <row r="195" ht="12.75" customHeight="1">
      <c r="A195" s="1056"/>
      <c r="B195" s="1056"/>
      <c r="C195" s="1056"/>
      <c r="D195" s="1056"/>
      <c r="E195" s="1056"/>
      <c r="F195" s="1056"/>
      <c r="G195" s="1056"/>
      <c r="H195" s="1056"/>
      <c r="I195" s="1056"/>
      <c r="J195" s="1056"/>
      <c r="K195" s="1056"/>
      <c r="L195" s="1056"/>
      <c r="M195" s="1056"/>
      <c r="N195" s="1056"/>
      <c r="O195" s="1056"/>
      <c r="P195" s="1056"/>
      <c r="Q195" s="1056"/>
      <c r="R195" s="1056"/>
      <c r="S195" s="1056"/>
      <c r="T195" s="1056"/>
      <c r="U195" s="1056"/>
      <c r="V195" s="1056"/>
      <c r="W195" s="1056"/>
      <c r="X195" s="1056"/>
      <c r="Y195" s="1056"/>
      <c r="Z195" s="1056"/>
    </row>
    <row r="196" ht="12.75" customHeight="1">
      <c r="A196" s="1056"/>
      <c r="B196" s="1056"/>
      <c r="C196" s="1056"/>
      <c r="D196" s="1056"/>
      <c r="E196" s="1056"/>
      <c r="F196" s="1056"/>
      <c r="G196" s="1056"/>
      <c r="H196" s="1056"/>
      <c r="I196" s="1056"/>
      <c r="J196" s="1056"/>
      <c r="K196" s="1056"/>
      <c r="L196" s="1056"/>
      <c r="M196" s="1056"/>
      <c r="N196" s="1056"/>
      <c r="O196" s="1056"/>
      <c r="P196" s="1056"/>
      <c r="Q196" s="1056"/>
      <c r="R196" s="1056"/>
      <c r="S196" s="1056"/>
      <c r="T196" s="1056"/>
      <c r="U196" s="1056"/>
      <c r="V196" s="1056"/>
      <c r="W196" s="1056"/>
      <c r="X196" s="1056"/>
      <c r="Y196" s="1056"/>
      <c r="Z196" s="1056"/>
    </row>
    <row r="197" ht="12.75" customHeight="1">
      <c r="A197" s="1056"/>
      <c r="B197" s="1056"/>
      <c r="C197" s="1056"/>
      <c r="D197" s="1056"/>
      <c r="E197" s="1056"/>
      <c r="F197" s="1056"/>
      <c r="G197" s="1056"/>
      <c r="H197" s="1056"/>
      <c r="I197" s="1056"/>
      <c r="J197" s="1056"/>
      <c r="K197" s="1056"/>
      <c r="L197" s="1056"/>
      <c r="M197" s="1056"/>
      <c r="N197" s="1056"/>
      <c r="O197" s="1056"/>
      <c r="P197" s="1056"/>
      <c r="Q197" s="1056"/>
      <c r="R197" s="1056"/>
      <c r="S197" s="1056"/>
      <c r="T197" s="1056"/>
      <c r="U197" s="1056"/>
      <c r="V197" s="1056"/>
      <c r="W197" s="1056"/>
      <c r="X197" s="1056"/>
      <c r="Y197" s="1056"/>
      <c r="Z197" s="1056"/>
    </row>
    <row r="198" ht="12.75" customHeight="1">
      <c r="A198" s="1056"/>
      <c r="B198" s="1056"/>
      <c r="C198" s="1056"/>
      <c r="D198" s="1056"/>
      <c r="E198" s="1056"/>
      <c r="F198" s="1056"/>
      <c r="G198" s="1056"/>
      <c r="H198" s="1056"/>
      <c r="I198" s="1056"/>
      <c r="J198" s="1056"/>
      <c r="K198" s="1056"/>
      <c r="L198" s="1056"/>
      <c r="M198" s="1056"/>
      <c r="N198" s="1056"/>
      <c r="O198" s="1056"/>
      <c r="P198" s="1056"/>
      <c r="Q198" s="1056"/>
      <c r="R198" s="1056"/>
      <c r="S198" s="1056"/>
      <c r="T198" s="1056"/>
      <c r="U198" s="1056"/>
      <c r="V198" s="1056"/>
      <c r="W198" s="1056"/>
      <c r="X198" s="1056"/>
      <c r="Y198" s="1056"/>
      <c r="Z198" s="1056"/>
    </row>
    <row r="199" ht="12.75" customHeight="1">
      <c r="A199" s="1056"/>
      <c r="B199" s="1056"/>
      <c r="C199" s="1056"/>
      <c r="D199" s="1056"/>
      <c r="E199" s="1056"/>
      <c r="F199" s="1056"/>
      <c r="G199" s="1056"/>
      <c r="H199" s="1056"/>
      <c r="I199" s="1056"/>
      <c r="J199" s="1056"/>
      <c r="K199" s="1056"/>
      <c r="L199" s="1056"/>
      <c r="M199" s="1056"/>
      <c r="N199" s="1056"/>
      <c r="O199" s="1056"/>
      <c r="P199" s="1056"/>
      <c r="Q199" s="1056"/>
      <c r="R199" s="1056"/>
      <c r="S199" s="1056"/>
      <c r="T199" s="1056"/>
      <c r="U199" s="1056"/>
      <c r="V199" s="1056"/>
      <c r="W199" s="1056"/>
      <c r="X199" s="1056"/>
      <c r="Y199" s="1056"/>
      <c r="Z199" s="1056"/>
    </row>
    <row r="200" ht="12.75" customHeight="1">
      <c r="A200" s="1056"/>
      <c r="B200" s="1056"/>
      <c r="C200" s="1056"/>
      <c r="D200" s="1056"/>
      <c r="E200" s="1056"/>
      <c r="F200" s="1056"/>
      <c r="G200" s="1056"/>
      <c r="H200" s="1056"/>
      <c r="I200" s="1056"/>
      <c r="J200" s="1056"/>
      <c r="K200" s="1056"/>
      <c r="L200" s="1056"/>
      <c r="M200" s="1056"/>
      <c r="N200" s="1056"/>
      <c r="O200" s="1056"/>
      <c r="P200" s="1056"/>
      <c r="Q200" s="1056"/>
      <c r="R200" s="1056"/>
      <c r="S200" s="1056"/>
      <c r="T200" s="1056"/>
      <c r="U200" s="1056"/>
      <c r="V200" s="1056"/>
      <c r="W200" s="1056"/>
      <c r="X200" s="1056"/>
      <c r="Y200" s="1056"/>
      <c r="Z200" s="1056"/>
    </row>
    <row r="201" ht="12.75" customHeight="1">
      <c r="A201" s="1056"/>
      <c r="B201" s="1056"/>
      <c r="C201" s="1056"/>
      <c r="D201" s="1056"/>
      <c r="E201" s="1056"/>
      <c r="F201" s="1056"/>
      <c r="G201" s="1056"/>
      <c r="H201" s="1056"/>
      <c r="I201" s="1056"/>
      <c r="J201" s="1056"/>
      <c r="K201" s="1056"/>
      <c r="L201" s="1056"/>
      <c r="M201" s="1056"/>
      <c r="N201" s="1056"/>
      <c r="O201" s="1056"/>
      <c r="P201" s="1056"/>
      <c r="Q201" s="1056"/>
      <c r="R201" s="1056"/>
      <c r="S201" s="1056"/>
      <c r="T201" s="1056"/>
      <c r="U201" s="1056"/>
      <c r="V201" s="1056"/>
      <c r="W201" s="1056"/>
      <c r="X201" s="1056"/>
      <c r="Y201" s="1056"/>
      <c r="Z201" s="1056"/>
    </row>
    <row r="202" ht="12.75" customHeight="1">
      <c r="A202" s="1056"/>
      <c r="B202" s="1056"/>
      <c r="C202" s="1056"/>
      <c r="D202" s="1056"/>
      <c r="E202" s="1056"/>
      <c r="F202" s="1056"/>
      <c r="G202" s="1056"/>
      <c r="H202" s="1056"/>
      <c r="I202" s="1056"/>
      <c r="J202" s="1056"/>
      <c r="K202" s="1056"/>
      <c r="L202" s="1056"/>
      <c r="M202" s="1056"/>
      <c r="N202" s="1056"/>
      <c r="O202" s="1056"/>
      <c r="P202" s="1056"/>
      <c r="Q202" s="1056"/>
      <c r="R202" s="1056"/>
      <c r="S202" s="1056"/>
      <c r="T202" s="1056"/>
      <c r="U202" s="1056"/>
      <c r="V202" s="1056"/>
      <c r="W202" s="1056"/>
      <c r="X202" s="1056"/>
      <c r="Y202" s="1056"/>
      <c r="Z202" s="1056"/>
    </row>
    <row r="203" ht="12.75" customHeight="1">
      <c r="A203" s="1056"/>
      <c r="B203" s="1056"/>
      <c r="C203" s="1056"/>
      <c r="D203" s="1056"/>
      <c r="E203" s="1056"/>
      <c r="F203" s="1056"/>
      <c r="G203" s="1056"/>
      <c r="H203" s="1056"/>
      <c r="I203" s="1056"/>
      <c r="J203" s="1056"/>
      <c r="K203" s="1056"/>
      <c r="L203" s="1056"/>
      <c r="M203" s="1056"/>
      <c r="N203" s="1056"/>
      <c r="O203" s="1056"/>
      <c r="P203" s="1056"/>
      <c r="Q203" s="1056"/>
      <c r="R203" s="1056"/>
      <c r="S203" s="1056"/>
      <c r="T203" s="1056"/>
      <c r="U203" s="1056"/>
      <c r="V203" s="1056"/>
      <c r="W203" s="1056"/>
      <c r="X203" s="1056"/>
      <c r="Y203" s="1056"/>
      <c r="Z203" s="1056"/>
    </row>
    <row r="204" ht="12.75" customHeight="1">
      <c r="A204" s="1056"/>
      <c r="B204" s="1056"/>
      <c r="C204" s="1056"/>
      <c r="D204" s="1056"/>
      <c r="E204" s="1056"/>
      <c r="F204" s="1056"/>
      <c r="G204" s="1056"/>
      <c r="H204" s="1056"/>
      <c r="I204" s="1056"/>
      <c r="J204" s="1056"/>
      <c r="K204" s="1056"/>
      <c r="L204" s="1056"/>
      <c r="M204" s="1056"/>
      <c r="N204" s="1056"/>
      <c r="O204" s="1056"/>
      <c r="P204" s="1056"/>
      <c r="Q204" s="1056"/>
      <c r="R204" s="1056"/>
      <c r="S204" s="1056"/>
      <c r="T204" s="1056"/>
      <c r="U204" s="1056"/>
      <c r="V204" s="1056"/>
      <c r="W204" s="1056"/>
      <c r="X204" s="1056"/>
      <c r="Y204" s="1056"/>
      <c r="Z204" s="1056"/>
    </row>
    <row r="205" ht="12.75" customHeight="1">
      <c r="A205" s="1056"/>
      <c r="B205" s="1056"/>
      <c r="C205" s="1056"/>
      <c r="D205" s="1056"/>
      <c r="E205" s="1056"/>
      <c r="F205" s="1056"/>
      <c r="G205" s="1056"/>
      <c r="H205" s="1056"/>
      <c r="I205" s="1056"/>
      <c r="J205" s="1056"/>
      <c r="K205" s="1056"/>
      <c r="L205" s="1056"/>
      <c r="M205" s="1056"/>
      <c r="N205" s="1056"/>
      <c r="O205" s="1056"/>
      <c r="P205" s="1056"/>
      <c r="Q205" s="1056"/>
      <c r="R205" s="1056"/>
      <c r="S205" s="1056"/>
      <c r="T205" s="1056"/>
      <c r="U205" s="1056"/>
      <c r="V205" s="1056"/>
      <c r="W205" s="1056"/>
      <c r="X205" s="1056"/>
      <c r="Y205" s="1056"/>
      <c r="Z205" s="1056"/>
    </row>
    <row r="206" ht="12.75" customHeight="1">
      <c r="A206" s="1056"/>
      <c r="B206" s="1056"/>
      <c r="C206" s="1056"/>
      <c r="D206" s="1056"/>
      <c r="E206" s="1056"/>
      <c r="F206" s="1056"/>
      <c r="G206" s="1056"/>
      <c r="H206" s="1056"/>
      <c r="I206" s="1056"/>
      <c r="J206" s="1056"/>
      <c r="K206" s="1056"/>
      <c r="L206" s="1056"/>
      <c r="M206" s="1056"/>
      <c r="N206" s="1056"/>
      <c r="O206" s="1056"/>
      <c r="P206" s="1056"/>
      <c r="Q206" s="1056"/>
      <c r="R206" s="1056"/>
      <c r="S206" s="1056"/>
      <c r="T206" s="1056"/>
      <c r="U206" s="1056"/>
      <c r="V206" s="1056"/>
      <c r="W206" s="1056"/>
      <c r="X206" s="1056"/>
      <c r="Y206" s="1056"/>
      <c r="Z206" s="1056"/>
    </row>
    <row r="207" ht="12.75" customHeight="1">
      <c r="A207" s="1056"/>
      <c r="B207" s="1056"/>
      <c r="C207" s="1056"/>
      <c r="D207" s="1056"/>
      <c r="E207" s="1056"/>
      <c r="F207" s="1056"/>
      <c r="G207" s="1056"/>
      <c r="H207" s="1056"/>
      <c r="I207" s="1056"/>
      <c r="J207" s="1056"/>
      <c r="K207" s="1056"/>
      <c r="L207" s="1056"/>
      <c r="M207" s="1056"/>
      <c r="N207" s="1056"/>
      <c r="O207" s="1056"/>
      <c r="P207" s="1056"/>
      <c r="Q207" s="1056"/>
      <c r="R207" s="1056"/>
      <c r="S207" s="1056"/>
      <c r="T207" s="1056"/>
      <c r="U207" s="1056"/>
      <c r="V207" s="1056"/>
      <c r="W207" s="1056"/>
      <c r="X207" s="1056"/>
      <c r="Y207" s="1056"/>
      <c r="Z207" s="1056"/>
    </row>
    <row r="208" ht="12.75" customHeight="1">
      <c r="A208" s="1056"/>
      <c r="B208" s="1056"/>
      <c r="C208" s="1056"/>
      <c r="D208" s="1056"/>
      <c r="E208" s="1056"/>
      <c r="F208" s="1056"/>
      <c r="G208" s="1056"/>
      <c r="H208" s="1056"/>
      <c r="I208" s="1056"/>
      <c r="J208" s="1056"/>
      <c r="K208" s="1056"/>
      <c r="L208" s="1056"/>
      <c r="M208" s="1056"/>
      <c r="N208" s="1056"/>
      <c r="O208" s="1056"/>
      <c r="P208" s="1056"/>
      <c r="Q208" s="1056"/>
      <c r="R208" s="1056"/>
      <c r="S208" s="1056"/>
      <c r="T208" s="1056"/>
      <c r="U208" s="1056"/>
      <c r="V208" s="1056"/>
      <c r="W208" s="1056"/>
      <c r="X208" s="1056"/>
      <c r="Y208" s="1056"/>
      <c r="Z208" s="1056"/>
    </row>
    <row r="209" ht="12.75" customHeight="1">
      <c r="A209" s="1056"/>
      <c r="B209" s="1056"/>
      <c r="C209" s="1056"/>
      <c r="D209" s="1056"/>
      <c r="E209" s="1056"/>
      <c r="F209" s="1056"/>
      <c r="G209" s="1056"/>
      <c r="H209" s="1056"/>
      <c r="I209" s="1056"/>
      <c r="J209" s="1056"/>
      <c r="K209" s="1056"/>
      <c r="L209" s="1056"/>
      <c r="M209" s="1056"/>
      <c r="N209" s="1056"/>
      <c r="O209" s="1056"/>
      <c r="P209" s="1056"/>
      <c r="Q209" s="1056"/>
      <c r="R209" s="1056"/>
      <c r="S209" s="1056"/>
      <c r="T209" s="1056"/>
      <c r="U209" s="1056"/>
      <c r="V209" s="1056"/>
      <c r="W209" s="1056"/>
      <c r="X209" s="1056"/>
      <c r="Y209" s="1056"/>
      <c r="Z209" s="1056"/>
    </row>
    <row r="210" ht="12.75" customHeight="1">
      <c r="A210" s="1056"/>
      <c r="B210" s="1056"/>
      <c r="C210" s="1056"/>
      <c r="D210" s="1056"/>
      <c r="E210" s="1056"/>
      <c r="F210" s="1056"/>
      <c r="G210" s="1056"/>
      <c r="H210" s="1056"/>
      <c r="I210" s="1056"/>
      <c r="J210" s="1056"/>
      <c r="K210" s="1056"/>
      <c r="L210" s="1056"/>
      <c r="M210" s="1056"/>
      <c r="N210" s="1056"/>
      <c r="O210" s="1056"/>
      <c r="P210" s="1056"/>
      <c r="Q210" s="1056"/>
      <c r="R210" s="1056"/>
      <c r="S210" s="1056"/>
      <c r="T210" s="1056"/>
      <c r="U210" s="1056"/>
      <c r="V210" s="1056"/>
      <c r="W210" s="1056"/>
      <c r="X210" s="1056"/>
      <c r="Y210" s="1056"/>
      <c r="Z210" s="1056"/>
    </row>
    <row r="211" ht="12.75" customHeight="1">
      <c r="A211" s="1056"/>
      <c r="B211" s="1056"/>
      <c r="C211" s="1056"/>
      <c r="D211" s="1056"/>
      <c r="E211" s="1056"/>
      <c r="F211" s="1056"/>
      <c r="G211" s="1056"/>
      <c r="H211" s="1056"/>
      <c r="I211" s="1056"/>
      <c r="J211" s="1056"/>
      <c r="K211" s="1056"/>
      <c r="L211" s="1056"/>
      <c r="M211" s="1056"/>
      <c r="N211" s="1056"/>
      <c r="O211" s="1056"/>
      <c r="P211" s="1056"/>
      <c r="Q211" s="1056"/>
      <c r="R211" s="1056"/>
      <c r="S211" s="1056"/>
      <c r="T211" s="1056"/>
      <c r="U211" s="1056"/>
      <c r="V211" s="1056"/>
      <c r="W211" s="1056"/>
      <c r="X211" s="1056"/>
      <c r="Y211" s="1056"/>
      <c r="Z211" s="1056"/>
    </row>
    <row r="212" ht="12.75" customHeight="1">
      <c r="A212" s="1056"/>
      <c r="B212" s="1056"/>
      <c r="C212" s="1056"/>
      <c r="D212" s="1056"/>
      <c r="E212" s="1056"/>
      <c r="F212" s="1056"/>
      <c r="G212" s="1056"/>
      <c r="H212" s="1056"/>
      <c r="I212" s="1056"/>
      <c r="J212" s="1056"/>
      <c r="K212" s="1056"/>
      <c r="L212" s="1056"/>
      <c r="M212" s="1056"/>
      <c r="N212" s="1056"/>
      <c r="O212" s="1056"/>
      <c r="P212" s="1056"/>
      <c r="Q212" s="1056"/>
      <c r="R212" s="1056"/>
      <c r="S212" s="1056"/>
      <c r="T212" s="1056"/>
      <c r="U212" s="1056"/>
      <c r="V212" s="1056"/>
      <c r="W212" s="1056"/>
      <c r="X212" s="1056"/>
      <c r="Y212" s="1056"/>
      <c r="Z212" s="1056"/>
    </row>
    <row r="213" ht="12.75" customHeight="1">
      <c r="A213" s="1056"/>
      <c r="B213" s="1056"/>
      <c r="C213" s="1056"/>
      <c r="D213" s="1056"/>
      <c r="E213" s="1056"/>
      <c r="F213" s="1056"/>
      <c r="G213" s="1056"/>
      <c r="H213" s="1056"/>
      <c r="I213" s="1056"/>
      <c r="J213" s="1056"/>
      <c r="K213" s="1056"/>
      <c r="L213" s="1056"/>
      <c r="M213" s="1056"/>
      <c r="N213" s="1056"/>
      <c r="O213" s="1056"/>
      <c r="P213" s="1056"/>
      <c r="Q213" s="1056"/>
      <c r="R213" s="1056"/>
      <c r="S213" s="1056"/>
      <c r="T213" s="1056"/>
      <c r="U213" s="1056"/>
      <c r="V213" s="1056"/>
      <c r="W213" s="1056"/>
      <c r="X213" s="1056"/>
      <c r="Y213" s="1056"/>
      <c r="Z213" s="1056"/>
    </row>
    <row r="214" ht="12.75" customHeight="1">
      <c r="A214" s="1056"/>
      <c r="B214" s="1056"/>
      <c r="C214" s="1056"/>
      <c r="D214" s="1056"/>
      <c r="E214" s="1056"/>
      <c r="F214" s="1056"/>
      <c r="G214" s="1056"/>
      <c r="H214" s="1056"/>
      <c r="I214" s="1056"/>
      <c r="J214" s="1056"/>
      <c r="K214" s="1056"/>
      <c r="L214" s="1056"/>
      <c r="M214" s="1056"/>
      <c r="N214" s="1056"/>
      <c r="O214" s="1056"/>
      <c r="P214" s="1056"/>
      <c r="Q214" s="1056"/>
      <c r="R214" s="1056"/>
      <c r="S214" s="1056"/>
      <c r="T214" s="1056"/>
      <c r="U214" s="1056"/>
      <c r="V214" s="1056"/>
      <c r="W214" s="1056"/>
      <c r="X214" s="1056"/>
      <c r="Y214" s="1056"/>
      <c r="Z214" s="1056"/>
    </row>
    <row r="215" ht="12.75" customHeight="1">
      <c r="A215" s="1056"/>
      <c r="B215" s="1056"/>
      <c r="C215" s="1056"/>
      <c r="D215" s="1056"/>
      <c r="E215" s="1056"/>
      <c r="F215" s="1056"/>
      <c r="G215" s="1056"/>
      <c r="H215" s="1056"/>
      <c r="I215" s="1056"/>
      <c r="J215" s="1056"/>
      <c r="K215" s="1056"/>
      <c r="L215" s="1056"/>
      <c r="M215" s="1056"/>
      <c r="N215" s="1056"/>
      <c r="O215" s="1056"/>
      <c r="P215" s="1056"/>
      <c r="Q215" s="1056"/>
      <c r="R215" s="1056"/>
      <c r="S215" s="1056"/>
      <c r="T215" s="1056"/>
      <c r="U215" s="1056"/>
      <c r="V215" s="1056"/>
      <c r="W215" s="1056"/>
      <c r="X215" s="1056"/>
      <c r="Y215" s="1056"/>
      <c r="Z215" s="1056"/>
    </row>
    <row r="216" ht="12.75" customHeight="1">
      <c r="A216" s="1056"/>
      <c r="B216" s="1056"/>
      <c r="C216" s="1056"/>
      <c r="D216" s="1056"/>
      <c r="E216" s="1056"/>
      <c r="F216" s="1056"/>
      <c r="G216" s="1056"/>
      <c r="H216" s="1056"/>
      <c r="I216" s="1056"/>
      <c r="J216" s="1056"/>
      <c r="K216" s="1056"/>
      <c r="L216" s="1056"/>
      <c r="M216" s="1056"/>
      <c r="N216" s="1056"/>
      <c r="O216" s="1056"/>
      <c r="P216" s="1056"/>
      <c r="Q216" s="1056"/>
      <c r="R216" s="1056"/>
      <c r="S216" s="1056"/>
      <c r="T216" s="1056"/>
      <c r="U216" s="1056"/>
      <c r="V216" s="1056"/>
      <c r="W216" s="1056"/>
      <c r="X216" s="1056"/>
      <c r="Y216" s="1056"/>
      <c r="Z216" s="1056"/>
    </row>
    <row r="217" ht="12.75" customHeight="1">
      <c r="A217" s="1056"/>
      <c r="B217" s="1056"/>
      <c r="C217" s="1056"/>
      <c r="D217" s="1056"/>
      <c r="E217" s="1056"/>
      <c r="F217" s="1056"/>
      <c r="G217" s="1056"/>
      <c r="H217" s="1056"/>
      <c r="I217" s="1056"/>
      <c r="J217" s="1056"/>
      <c r="K217" s="1056"/>
      <c r="L217" s="1056"/>
      <c r="M217" s="1056"/>
      <c r="N217" s="1056"/>
      <c r="O217" s="1056"/>
      <c r="P217" s="1056"/>
      <c r="Q217" s="1056"/>
      <c r="R217" s="1056"/>
      <c r="S217" s="1056"/>
      <c r="T217" s="1056"/>
      <c r="U217" s="1056"/>
      <c r="V217" s="1056"/>
      <c r="W217" s="1056"/>
      <c r="X217" s="1056"/>
      <c r="Y217" s="1056"/>
      <c r="Z217" s="1056"/>
    </row>
    <row r="218" ht="12.75" customHeight="1">
      <c r="A218" s="1056"/>
      <c r="B218" s="1056"/>
      <c r="C218" s="1056"/>
      <c r="D218" s="1056"/>
      <c r="E218" s="1056"/>
      <c r="F218" s="1056"/>
      <c r="G218" s="1056"/>
      <c r="H218" s="1056"/>
      <c r="I218" s="1056"/>
      <c r="J218" s="1056"/>
      <c r="K218" s="1056"/>
      <c r="L218" s="1056"/>
      <c r="M218" s="1056"/>
      <c r="N218" s="1056"/>
      <c r="O218" s="1056"/>
      <c r="P218" s="1056"/>
      <c r="Q218" s="1056"/>
      <c r="R218" s="1056"/>
      <c r="S218" s="1056"/>
      <c r="T218" s="1056"/>
      <c r="U218" s="1056"/>
      <c r="V218" s="1056"/>
      <c r="W218" s="1056"/>
      <c r="X218" s="1056"/>
      <c r="Y218" s="1056"/>
      <c r="Z218" s="1056"/>
    </row>
    <row r="219" ht="12.75" customHeight="1">
      <c r="A219" s="1056"/>
      <c r="B219" s="1056"/>
      <c r="C219" s="1056"/>
      <c r="D219" s="1056"/>
      <c r="E219" s="1056"/>
      <c r="F219" s="1056"/>
      <c r="G219" s="1056"/>
      <c r="H219" s="1056"/>
      <c r="I219" s="1056"/>
      <c r="J219" s="1056"/>
      <c r="K219" s="1056"/>
      <c r="L219" s="1056"/>
      <c r="M219" s="1056"/>
      <c r="N219" s="1056"/>
      <c r="O219" s="1056"/>
      <c r="P219" s="1056"/>
      <c r="Q219" s="1056"/>
      <c r="R219" s="1056"/>
      <c r="S219" s="1056"/>
      <c r="T219" s="1056"/>
      <c r="U219" s="1056"/>
      <c r="V219" s="1056"/>
      <c r="W219" s="1056"/>
      <c r="X219" s="1056"/>
      <c r="Y219" s="1056"/>
      <c r="Z219" s="1056"/>
    </row>
    <row r="220" ht="12.75" customHeight="1">
      <c r="A220" s="1056"/>
      <c r="B220" s="1056"/>
      <c r="C220" s="1056"/>
      <c r="D220" s="1056"/>
      <c r="E220" s="1056"/>
      <c r="F220" s="1056"/>
      <c r="G220" s="1056"/>
      <c r="H220" s="1056"/>
      <c r="I220" s="1056"/>
      <c r="J220" s="1056"/>
      <c r="K220" s="1056"/>
      <c r="L220" s="1056"/>
      <c r="M220" s="1056"/>
      <c r="N220" s="1056"/>
      <c r="O220" s="1056"/>
      <c r="P220" s="1056"/>
      <c r="Q220" s="1056"/>
      <c r="R220" s="1056"/>
      <c r="S220" s="1056"/>
      <c r="T220" s="1056"/>
      <c r="U220" s="1056"/>
      <c r="V220" s="1056"/>
      <c r="W220" s="1056"/>
      <c r="X220" s="1056"/>
      <c r="Y220" s="1056"/>
      <c r="Z220" s="1056"/>
    </row>
    <row r="221" ht="12.75" customHeight="1">
      <c r="A221" s="1056"/>
      <c r="B221" s="1056"/>
      <c r="C221" s="1056"/>
      <c r="D221" s="1056"/>
      <c r="E221" s="1056"/>
      <c r="F221" s="1056"/>
      <c r="G221" s="1056"/>
      <c r="H221" s="1056"/>
      <c r="I221" s="1056"/>
      <c r="J221" s="1056"/>
      <c r="K221" s="1056"/>
      <c r="L221" s="1056"/>
      <c r="M221" s="1056"/>
      <c r="N221" s="1056"/>
      <c r="O221" s="1056"/>
      <c r="P221" s="1056"/>
      <c r="Q221" s="1056"/>
      <c r="R221" s="1056"/>
      <c r="S221" s="1056"/>
      <c r="T221" s="1056"/>
      <c r="U221" s="1056"/>
      <c r="V221" s="1056"/>
      <c r="W221" s="1056"/>
      <c r="X221" s="1056"/>
      <c r="Y221" s="1056"/>
      <c r="Z221" s="1056"/>
    </row>
    <row r="222" ht="12.75" customHeight="1">
      <c r="A222" s="1056"/>
      <c r="B222" s="1056"/>
      <c r="C222" s="1056"/>
      <c r="D222" s="1056"/>
      <c r="E222" s="1056"/>
      <c r="F222" s="1056"/>
      <c r="G222" s="1056"/>
      <c r="H222" s="1056"/>
      <c r="I222" s="1056"/>
      <c r="J222" s="1056"/>
      <c r="K222" s="1056"/>
      <c r="L222" s="1056"/>
      <c r="M222" s="1056"/>
      <c r="N222" s="1056"/>
      <c r="O222" s="1056"/>
      <c r="P222" s="1056"/>
      <c r="Q222" s="1056"/>
      <c r="R222" s="1056"/>
      <c r="S222" s="1056"/>
      <c r="T222" s="1056"/>
      <c r="U222" s="1056"/>
      <c r="V222" s="1056"/>
      <c r="W222" s="1056"/>
      <c r="X222" s="1056"/>
      <c r="Y222" s="1056"/>
      <c r="Z222" s="1056"/>
    </row>
    <row r="223" ht="12.75" customHeight="1">
      <c r="A223" s="1056"/>
      <c r="B223" s="1056"/>
      <c r="C223" s="1056"/>
      <c r="D223" s="1056"/>
      <c r="E223" s="1056"/>
      <c r="F223" s="1056"/>
      <c r="G223" s="1056"/>
      <c r="H223" s="1056"/>
      <c r="I223" s="1056"/>
      <c r="J223" s="1056"/>
      <c r="K223" s="1056"/>
      <c r="L223" s="1056"/>
      <c r="M223" s="1056"/>
      <c r="N223" s="1056"/>
      <c r="O223" s="1056"/>
      <c r="P223" s="1056"/>
      <c r="Q223" s="1056"/>
      <c r="R223" s="1056"/>
      <c r="S223" s="1056"/>
      <c r="T223" s="1056"/>
      <c r="U223" s="1056"/>
      <c r="V223" s="1056"/>
      <c r="W223" s="1056"/>
      <c r="X223" s="1056"/>
      <c r="Y223" s="1056"/>
      <c r="Z223" s="1056"/>
    </row>
    <row r="224" ht="12.75" customHeight="1">
      <c r="A224" s="1056"/>
      <c r="B224" s="1056"/>
      <c r="C224" s="1056"/>
      <c r="D224" s="1056"/>
      <c r="E224" s="1056"/>
      <c r="F224" s="1056"/>
      <c r="G224" s="1056"/>
      <c r="H224" s="1056"/>
      <c r="I224" s="1056"/>
      <c r="J224" s="1056"/>
      <c r="K224" s="1056"/>
      <c r="L224" s="1056"/>
      <c r="M224" s="1056"/>
      <c r="N224" s="1056"/>
      <c r="O224" s="1056"/>
      <c r="P224" s="1056"/>
      <c r="Q224" s="1056"/>
      <c r="R224" s="1056"/>
      <c r="S224" s="1056"/>
      <c r="T224" s="1056"/>
      <c r="U224" s="1056"/>
      <c r="V224" s="1056"/>
      <c r="W224" s="1056"/>
      <c r="X224" s="1056"/>
      <c r="Y224" s="1056"/>
      <c r="Z224" s="1056"/>
    </row>
    <row r="225" ht="12.75" customHeight="1">
      <c r="A225" s="1056"/>
      <c r="B225" s="1056"/>
      <c r="C225" s="1056"/>
      <c r="D225" s="1056"/>
      <c r="E225" s="1056"/>
      <c r="F225" s="1056"/>
      <c r="G225" s="1056"/>
      <c r="H225" s="1056"/>
      <c r="I225" s="1056"/>
      <c r="J225" s="1056"/>
      <c r="K225" s="1056"/>
      <c r="L225" s="1056"/>
      <c r="M225" s="1056"/>
      <c r="N225" s="1056"/>
      <c r="O225" s="1056"/>
      <c r="P225" s="1056"/>
      <c r="Q225" s="1056"/>
      <c r="R225" s="1056"/>
      <c r="S225" s="1056"/>
      <c r="T225" s="1056"/>
      <c r="U225" s="1056"/>
      <c r="V225" s="1056"/>
      <c r="W225" s="1056"/>
      <c r="X225" s="1056"/>
      <c r="Y225" s="1056"/>
      <c r="Z225" s="1056"/>
    </row>
    <row r="226" ht="12.75" customHeight="1">
      <c r="A226" s="1056"/>
      <c r="B226" s="1056"/>
      <c r="C226" s="1056"/>
      <c r="D226" s="1056"/>
      <c r="E226" s="1056"/>
      <c r="F226" s="1056"/>
      <c r="G226" s="1056"/>
      <c r="H226" s="1056"/>
      <c r="I226" s="1056"/>
      <c r="J226" s="1056"/>
      <c r="K226" s="1056"/>
      <c r="L226" s="1056"/>
      <c r="M226" s="1056"/>
      <c r="N226" s="1056"/>
      <c r="O226" s="1056"/>
      <c r="P226" s="1056"/>
      <c r="Q226" s="1056"/>
      <c r="R226" s="1056"/>
      <c r="S226" s="1056"/>
      <c r="T226" s="1056"/>
      <c r="U226" s="1056"/>
      <c r="V226" s="1056"/>
      <c r="W226" s="1056"/>
      <c r="X226" s="1056"/>
      <c r="Y226" s="1056"/>
      <c r="Z226" s="1056"/>
    </row>
    <row r="227" ht="12.75" customHeight="1">
      <c r="A227" s="1056"/>
      <c r="B227" s="1056"/>
      <c r="C227" s="1056"/>
      <c r="D227" s="1056"/>
      <c r="E227" s="1056"/>
      <c r="F227" s="1056"/>
      <c r="G227" s="1056"/>
      <c r="H227" s="1056"/>
      <c r="I227" s="1056"/>
      <c r="J227" s="1056"/>
      <c r="K227" s="1056"/>
      <c r="L227" s="1056"/>
      <c r="M227" s="1056"/>
      <c r="N227" s="1056"/>
      <c r="O227" s="1056"/>
      <c r="P227" s="1056"/>
      <c r="Q227" s="1056"/>
      <c r="R227" s="1056"/>
      <c r="S227" s="1056"/>
      <c r="T227" s="1056"/>
      <c r="U227" s="1056"/>
      <c r="V227" s="1056"/>
      <c r="W227" s="1056"/>
      <c r="X227" s="1056"/>
      <c r="Y227" s="1056"/>
      <c r="Z227" s="1056"/>
    </row>
    <row r="228" ht="12.75" customHeight="1">
      <c r="A228" s="1056"/>
      <c r="B228" s="1056"/>
      <c r="C228" s="1056"/>
      <c r="D228" s="1056"/>
      <c r="E228" s="1056"/>
      <c r="F228" s="1056"/>
      <c r="G228" s="1056"/>
      <c r="H228" s="1056"/>
      <c r="I228" s="1056"/>
      <c r="J228" s="1056"/>
      <c r="K228" s="1056"/>
      <c r="L228" s="1056"/>
      <c r="M228" s="1056"/>
      <c r="N228" s="1056"/>
      <c r="O228" s="1056"/>
      <c r="P228" s="1056"/>
      <c r="Q228" s="1056"/>
      <c r="R228" s="1056"/>
      <c r="S228" s="1056"/>
      <c r="T228" s="1056"/>
      <c r="U228" s="1056"/>
      <c r="V228" s="1056"/>
      <c r="W228" s="1056"/>
      <c r="X228" s="1056"/>
      <c r="Y228" s="1056"/>
      <c r="Z228" s="1056"/>
    </row>
    <row r="229" ht="12.75" customHeight="1">
      <c r="A229" s="1056"/>
      <c r="B229" s="1056"/>
      <c r="C229" s="1056"/>
      <c r="D229" s="1056"/>
      <c r="E229" s="1056"/>
      <c r="F229" s="1056"/>
      <c r="G229" s="1056"/>
      <c r="H229" s="1056"/>
      <c r="I229" s="1056"/>
      <c r="J229" s="1056"/>
      <c r="K229" s="1056"/>
      <c r="L229" s="1056"/>
      <c r="M229" s="1056"/>
      <c r="N229" s="1056"/>
      <c r="O229" s="1056"/>
      <c r="P229" s="1056"/>
      <c r="Q229" s="1056"/>
      <c r="R229" s="1056"/>
      <c r="S229" s="1056"/>
      <c r="T229" s="1056"/>
      <c r="U229" s="1056"/>
      <c r="V229" s="1056"/>
      <c r="W229" s="1056"/>
      <c r="X229" s="1056"/>
      <c r="Y229" s="1056"/>
      <c r="Z229" s="1056"/>
    </row>
    <row r="230" ht="12.75" customHeight="1">
      <c r="A230" s="1056"/>
      <c r="B230" s="1056"/>
      <c r="C230" s="1056"/>
      <c r="D230" s="1056"/>
      <c r="E230" s="1056"/>
      <c r="F230" s="1056"/>
      <c r="G230" s="1056"/>
      <c r="H230" s="1056"/>
      <c r="I230" s="1056"/>
      <c r="J230" s="1056"/>
      <c r="K230" s="1056"/>
      <c r="L230" s="1056"/>
      <c r="M230" s="1056"/>
      <c r="N230" s="1056"/>
      <c r="O230" s="1056"/>
      <c r="P230" s="1056"/>
      <c r="Q230" s="1056"/>
      <c r="R230" s="1056"/>
      <c r="S230" s="1056"/>
      <c r="T230" s="1056"/>
      <c r="U230" s="1056"/>
      <c r="V230" s="1056"/>
      <c r="W230" s="1056"/>
      <c r="X230" s="1056"/>
      <c r="Y230" s="1056"/>
      <c r="Z230" s="1056"/>
    </row>
    <row r="231" ht="12.75" customHeight="1">
      <c r="A231" s="1056"/>
      <c r="B231" s="1056"/>
      <c r="C231" s="1056"/>
      <c r="D231" s="1056"/>
      <c r="E231" s="1056"/>
      <c r="F231" s="1056"/>
      <c r="G231" s="1056"/>
      <c r="H231" s="1056"/>
      <c r="I231" s="1056"/>
      <c r="J231" s="1056"/>
      <c r="K231" s="1056"/>
      <c r="L231" s="1056"/>
      <c r="M231" s="1056"/>
      <c r="N231" s="1056"/>
      <c r="O231" s="1056"/>
      <c r="P231" s="1056"/>
      <c r="Q231" s="1056"/>
      <c r="R231" s="1056"/>
      <c r="S231" s="1056"/>
      <c r="T231" s="1056"/>
      <c r="U231" s="1056"/>
      <c r="V231" s="1056"/>
      <c r="W231" s="1056"/>
      <c r="X231" s="1056"/>
      <c r="Y231" s="1056"/>
      <c r="Z231" s="1056"/>
    </row>
    <row r="232" ht="12.75" customHeight="1">
      <c r="A232" s="1056"/>
      <c r="B232" s="1056"/>
      <c r="C232" s="1056"/>
      <c r="D232" s="1056"/>
      <c r="E232" s="1056"/>
      <c r="F232" s="1056"/>
      <c r="G232" s="1056"/>
      <c r="H232" s="1056"/>
      <c r="I232" s="1056"/>
      <c r="J232" s="1056"/>
      <c r="K232" s="1056"/>
      <c r="L232" s="1056"/>
      <c r="M232" s="1056"/>
      <c r="N232" s="1056"/>
      <c r="O232" s="1056"/>
      <c r="P232" s="1056"/>
      <c r="Q232" s="1056"/>
      <c r="R232" s="1056"/>
      <c r="S232" s="1056"/>
      <c r="T232" s="1056"/>
      <c r="U232" s="1056"/>
      <c r="V232" s="1056"/>
      <c r="W232" s="1056"/>
      <c r="X232" s="1056"/>
      <c r="Y232" s="1056"/>
      <c r="Z232" s="1056"/>
    </row>
    <row r="233" ht="12.75" customHeight="1">
      <c r="A233" s="1056"/>
      <c r="B233" s="1056"/>
      <c r="C233" s="1056"/>
      <c r="D233" s="1056"/>
      <c r="E233" s="1056"/>
      <c r="F233" s="1056"/>
      <c r="G233" s="1056"/>
      <c r="H233" s="1056"/>
      <c r="I233" s="1056"/>
      <c r="J233" s="1056"/>
      <c r="K233" s="1056"/>
      <c r="L233" s="1056"/>
      <c r="M233" s="1056"/>
      <c r="N233" s="1056"/>
      <c r="O233" s="1056"/>
      <c r="P233" s="1056"/>
      <c r="Q233" s="1056"/>
      <c r="R233" s="1056"/>
      <c r="S233" s="1056"/>
      <c r="T233" s="1056"/>
      <c r="U233" s="1056"/>
      <c r="V233" s="1056"/>
      <c r="W233" s="1056"/>
      <c r="X233" s="1056"/>
      <c r="Y233" s="1056"/>
      <c r="Z233" s="1056"/>
    </row>
    <row r="234" ht="12.75" customHeight="1">
      <c r="A234" s="1056"/>
      <c r="B234" s="1056"/>
      <c r="C234" s="1056"/>
      <c r="D234" s="1056"/>
      <c r="E234" s="1056"/>
      <c r="F234" s="1056"/>
      <c r="G234" s="1056"/>
      <c r="H234" s="1056"/>
      <c r="I234" s="1056"/>
      <c r="J234" s="1056"/>
      <c r="K234" s="1056"/>
      <c r="L234" s="1056"/>
      <c r="M234" s="1056"/>
      <c r="N234" s="1056"/>
      <c r="O234" s="1056"/>
      <c r="P234" s="1056"/>
      <c r="Q234" s="1056"/>
      <c r="R234" s="1056"/>
      <c r="S234" s="1056"/>
      <c r="T234" s="1056"/>
      <c r="U234" s="1056"/>
      <c r="V234" s="1056"/>
      <c r="W234" s="1056"/>
      <c r="X234" s="1056"/>
      <c r="Y234" s="1056"/>
      <c r="Z234" s="1056"/>
    </row>
    <row r="235" ht="12.75" customHeight="1">
      <c r="A235" s="1056"/>
      <c r="B235" s="1056"/>
      <c r="C235" s="1056"/>
      <c r="D235" s="1056"/>
      <c r="E235" s="1056"/>
      <c r="F235" s="1056"/>
      <c r="G235" s="1056"/>
      <c r="H235" s="1056"/>
      <c r="I235" s="1056"/>
      <c r="J235" s="1056"/>
      <c r="K235" s="1056"/>
      <c r="L235" s="1056"/>
      <c r="M235" s="1056"/>
      <c r="N235" s="1056"/>
      <c r="O235" s="1056"/>
      <c r="P235" s="1056"/>
      <c r="Q235" s="1056"/>
      <c r="R235" s="1056"/>
      <c r="S235" s="1056"/>
      <c r="T235" s="1056"/>
      <c r="U235" s="1056"/>
      <c r="V235" s="1056"/>
      <c r="W235" s="1056"/>
      <c r="X235" s="1056"/>
      <c r="Y235" s="1056"/>
      <c r="Z235" s="1056"/>
    </row>
    <row r="236" ht="12.75" customHeight="1">
      <c r="A236" s="1056"/>
      <c r="B236" s="1056"/>
      <c r="C236" s="1056"/>
      <c r="D236" s="1056"/>
      <c r="E236" s="1056"/>
      <c r="F236" s="1056"/>
      <c r="G236" s="1056"/>
      <c r="H236" s="1056"/>
      <c r="I236" s="1056"/>
      <c r="J236" s="1056"/>
      <c r="K236" s="1056"/>
      <c r="L236" s="1056"/>
      <c r="M236" s="1056"/>
      <c r="N236" s="1056"/>
      <c r="O236" s="1056"/>
      <c r="P236" s="1056"/>
      <c r="Q236" s="1056"/>
      <c r="R236" s="1056"/>
      <c r="S236" s="1056"/>
      <c r="T236" s="1056"/>
      <c r="U236" s="1056"/>
      <c r="V236" s="1056"/>
      <c r="W236" s="1056"/>
      <c r="X236" s="1056"/>
      <c r="Y236" s="1056"/>
      <c r="Z236" s="1056"/>
    </row>
    <row r="237" ht="12.75" customHeight="1">
      <c r="A237" s="1056"/>
      <c r="B237" s="1056"/>
      <c r="C237" s="1056"/>
      <c r="D237" s="1056"/>
      <c r="E237" s="1056"/>
      <c r="F237" s="1056"/>
      <c r="G237" s="1056"/>
      <c r="H237" s="1056"/>
      <c r="I237" s="1056"/>
      <c r="J237" s="1056"/>
      <c r="K237" s="1056"/>
      <c r="L237" s="1056"/>
      <c r="M237" s="1056"/>
      <c r="N237" s="1056"/>
      <c r="O237" s="1056"/>
      <c r="P237" s="1056"/>
      <c r="Q237" s="1056"/>
      <c r="R237" s="1056"/>
      <c r="S237" s="1056"/>
      <c r="T237" s="1056"/>
      <c r="U237" s="1056"/>
      <c r="V237" s="1056"/>
      <c r="W237" s="1056"/>
      <c r="X237" s="1056"/>
      <c r="Y237" s="1056"/>
      <c r="Z237" s="1056"/>
    </row>
    <row r="238" ht="12.75" customHeight="1">
      <c r="A238" s="1056"/>
      <c r="B238" s="1056"/>
      <c r="C238" s="1056"/>
      <c r="D238" s="1056"/>
      <c r="E238" s="1056"/>
      <c r="F238" s="1056"/>
      <c r="G238" s="1056"/>
      <c r="H238" s="1056"/>
      <c r="I238" s="1056"/>
      <c r="J238" s="1056"/>
      <c r="K238" s="1056"/>
      <c r="L238" s="1056"/>
      <c r="M238" s="1056"/>
      <c r="N238" s="1056"/>
      <c r="O238" s="1056"/>
      <c r="P238" s="1056"/>
      <c r="Q238" s="1056"/>
      <c r="R238" s="1056"/>
      <c r="S238" s="1056"/>
      <c r="T238" s="1056"/>
      <c r="U238" s="1056"/>
      <c r="V238" s="1056"/>
      <c r="W238" s="1056"/>
      <c r="X238" s="1056"/>
      <c r="Y238" s="1056"/>
      <c r="Z238" s="1056"/>
    </row>
    <row r="239" ht="12.75" customHeight="1">
      <c r="A239" s="1056"/>
      <c r="B239" s="1056"/>
      <c r="C239" s="1056"/>
      <c r="D239" s="1056"/>
      <c r="E239" s="1056"/>
      <c r="F239" s="1056"/>
      <c r="G239" s="1056"/>
      <c r="H239" s="1056"/>
      <c r="I239" s="1056"/>
      <c r="J239" s="1056"/>
      <c r="K239" s="1056"/>
      <c r="L239" s="1056"/>
      <c r="M239" s="1056"/>
      <c r="N239" s="1056"/>
      <c r="O239" s="1056"/>
      <c r="P239" s="1056"/>
      <c r="Q239" s="1056"/>
      <c r="R239" s="1056"/>
      <c r="S239" s="1056"/>
      <c r="T239" s="1056"/>
      <c r="U239" s="1056"/>
      <c r="V239" s="1056"/>
      <c r="W239" s="1056"/>
      <c r="X239" s="1056"/>
      <c r="Y239" s="1056"/>
      <c r="Z239" s="1056"/>
    </row>
    <row r="240" ht="12.75" customHeight="1">
      <c r="A240" s="1056"/>
      <c r="B240" s="1056"/>
      <c r="C240" s="1056"/>
      <c r="D240" s="1056"/>
      <c r="E240" s="1056"/>
      <c r="F240" s="1056"/>
      <c r="G240" s="1056"/>
      <c r="H240" s="1056"/>
      <c r="I240" s="1056"/>
      <c r="J240" s="1056"/>
      <c r="K240" s="1056"/>
      <c r="L240" s="1056"/>
      <c r="M240" s="1056"/>
      <c r="N240" s="1056"/>
      <c r="O240" s="1056"/>
      <c r="P240" s="1056"/>
      <c r="Q240" s="1056"/>
      <c r="R240" s="1056"/>
      <c r="S240" s="1056"/>
      <c r="T240" s="1056"/>
      <c r="U240" s="1056"/>
      <c r="V240" s="1056"/>
      <c r="W240" s="1056"/>
      <c r="X240" s="1056"/>
      <c r="Y240" s="1056"/>
      <c r="Z240" s="1056"/>
    </row>
    <row r="241" ht="12.75" customHeight="1">
      <c r="A241" s="1056"/>
      <c r="B241" s="1056"/>
      <c r="C241" s="1056"/>
      <c r="D241" s="1056"/>
      <c r="E241" s="1056"/>
      <c r="F241" s="1056"/>
      <c r="G241" s="1056"/>
      <c r="H241" s="1056"/>
      <c r="I241" s="1056"/>
      <c r="J241" s="1056"/>
      <c r="K241" s="1056"/>
      <c r="L241" s="1056"/>
      <c r="M241" s="1056"/>
      <c r="N241" s="1056"/>
      <c r="O241" s="1056"/>
      <c r="P241" s="1056"/>
      <c r="Q241" s="1056"/>
      <c r="R241" s="1056"/>
      <c r="S241" s="1056"/>
      <c r="T241" s="1056"/>
      <c r="U241" s="1056"/>
      <c r="V241" s="1056"/>
      <c r="W241" s="1056"/>
      <c r="X241" s="1056"/>
      <c r="Y241" s="1056"/>
      <c r="Z241" s="1056"/>
    </row>
    <row r="242" ht="12.75" customHeight="1">
      <c r="A242" s="1056"/>
      <c r="B242" s="1056"/>
      <c r="C242" s="1056"/>
      <c r="D242" s="1056"/>
      <c r="E242" s="1056"/>
      <c r="F242" s="1056"/>
      <c r="G242" s="1056"/>
      <c r="H242" s="1056"/>
      <c r="I242" s="1056"/>
      <c r="J242" s="1056"/>
      <c r="K242" s="1056"/>
      <c r="L242" s="1056"/>
      <c r="M242" s="1056"/>
      <c r="N242" s="1056"/>
      <c r="O242" s="1056"/>
      <c r="P242" s="1056"/>
      <c r="Q242" s="1056"/>
      <c r="R242" s="1056"/>
      <c r="S242" s="1056"/>
      <c r="T242" s="1056"/>
      <c r="U242" s="1056"/>
      <c r="V242" s="1056"/>
      <c r="W242" s="1056"/>
      <c r="X242" s="1056"/>
      <c r="Y242" s="1056"/>
      <c r="Z242" s="105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L36:N36"/>
    <mergeCell ref="L44:N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2024-02-14T14:20:30Z</dcterms:created>
  <dc:creator>Ghassen Menaouar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0x0101007988FCD43C77704297611F873E40F00D</vt:lpwstr>
  </property>
  <property fmtid="{D5CDD505-2E9C-101B-9397-08002B2CF9AE}" pid="3" name="Order">
    <vt:r8>4200.0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