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d.docs.live.net/53e5cf966a8701eb/Master B4/M2GP/"/>
    </mc:Choice>
  </mc:AlternateContent>
  <xr:revisionPtr revIDLastSave="5773" documentId="8_{580A1EFB-0308-A647-804D-9DD9727B5CAB}" xr6:coauthVersionLast="47" xr6:coauthVersionMax="47" xr10:uidLastSave="{7272EDF8-481A-9F4C-B51E-FFD996A03FDD}"/>
  <bookViews>
    <workbookView xWindow="0" yWindow="500" windowWidth="28800" windowHeight="17500" activeTab="7" xr2:uid="{00000000-000D-0000-FFFF-FFFF00000000}"/>
  </bookViews>
  <sheets>
    <sheet name="0. Sélection des titres" sheetId="1" r:id="rId1"/>
    <sheet name="I. Data" sheetId="2" r:id="rId2"/>
    <sheet name="II. Univ Stats" sheetId="3" r:id="rId3"/>
    <sheet name="III. Covariance" sheetId="4" r:id="rId4"/>
    <sheet name="IV. Corrélation" sheetId="5" r:id="rId5"/>
    <sheet name="V. MVP" sheetId="6" r:id="rId6"/>
    <sheet name="VI. SP 500" sheetId="10" r:id="rId7"/>
    <sheet name="VII. Indicateurs " sheetId="13" r:id="rId8"/>
    <sheet name="VIII. Sources" sheetId="12" r:id="rId9"/>
  </sheets>
  <definedNames>
    <definedName name="_xlnm._FilterDatabase" localSheetId="0" hidden="1">'0. Sélection des titres'!$A$1:$F$30</definedName>
    <definedName name="Average_return">'II. Univ Stats'!$C$3:$Z$3</definedName>
    <definedName name="cc">#REF!</definedName>
    <definedName name="cov_my">#REF!</definedName>
    <definedName name="covariance">'III. Covariance'!$B$2:$Y$25</definedName>
    <definedName name="Quantité">'V. MVP'!$C$4:$C$27</definedName>
    <definedName name="quantite_t">#REF!</definedName>
    <definedName name="quantite_t2">#REF!</definedName>
    <definedName name="quantite_y">#REF!</definedName>
    <definedName name="r_AEEM">'I. Data'!$AS$5:$AS$63</definedName>
    <definedName name="r_Airbus">'I. Data'!$AC$5:$AC$63</definedName>
    <definedName name="r_altria">'I. Data'!$C$5:$C$63</definedName>
    <definedName name="r_apple">'I. Data'!$Y$5:$Y$63</definedName>
    <definedName name="r_bons">'I. Data'!$AW$5:$AW$63</definedName>
    <definedName name="r_coca">'I. Data'!$E$5:$E$63</definedName>
    <definedName name="r_Deere">'I. Data'!$AE$5:$AE$63</definedName>
    <definedName name="r_ebay">'I. Data'!$W$5:$W$63</definedName>
    <definedName name="r_ecolab">'I. Data'!$S$5:$S$63</definedName>
    <definedName name="r_Gass">'I. Data'!$AQ$5:$AQ$63</definedName>
    <definedName name="r_General">'I. Data'!$AM$5:$AM$63</definedName>
    <definedName name="r_Gilead">'I. Data'!$AG$5:$AG$63</definedName>
    <definedName name="r_golgate">'I. Data'!$G$5:$G$63</definedName>
    <definedName name="r_IBM">'I. Data'!$AI$5:$AI$63</definedName>
    <definedName name="r_LVMH">'I. Data'!$M$5:$M$63</definedName>
    <definedName name="r_MCO">'I. Data'!$O$5:$O$63</definedName>
    <definedName name="r_MEH">'I. Data'!$AU$5:$AU$63</definedName>
    <definedName name="r_microsoft">'I. Data'!$AK$5:$AK$63</definedName>
    <definedName name="r_monster">'I. Data'!$I$5:$I$63</definedName>
    <definedName name="r_nvidia">'I. Data'!$U$5:$U$63</definedName>
    <definedName name="r_pepsi">'I. Data'!$K$5:$K$63</definedName>
    <definedName name="r_sp">'VI. SP 500'!$D$4:$D$62</definedName>
    <definedName name="r_tesla">'I. Data'!$Q$5:$Q$63</definedName>
    <definedName name="r_tractor">'I. Data'!$AO$5:$AO$63</definedName>
    <definedName name="r_Tractor_Supply_Co">'I. Data'!$AA$5:$AA$63</definedName>
    <definedName name="return_m">'V. MVP'!$G$4</definedName>
    <definedName name="return_sp">'VI. SP 500'!$G$4</definedName>
    <definedName name="return_t">#REF!</definedName>
    <definedName name="return_t2">#REF!</definedName>
    <definedName name="return_y">#REF!</definedName>
    <definedName name="rf">#REF!</definedName>
    <definedName name="rf_2">#REF!</definedName>
    <definedName name="sd_m">'V. MVP'!$H$4</definedName>
    <definedName name="sd_sp">'VI. SP 500'!$G$5</definedName>
    <definedName name="sd_t">#REF!</definedName>
    <definedName name="sd_t2">#REF!</definedName>
    <definedName name="sd_y">#REF!</definedName>
    <definedName name="solver_adj" localSheetId="5" hidden="1">'V. MVP'!$C$4:$C$27</definedName>
    <definedName name="solver_cvg" localSheetId="5" hidden="1">0.0001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5">1</definedName>
    <definedName name="solver_itr" localSheetId="5" hidden="1">2147483647</definedName>
    <definedName name="solver_lhs1" localSheetId="5" hidden="1">'V. MVP'!$D$27</definedName>
    <definedName name="solver_lhs2" localSheetId="5" hidden="1">'V. MVP'!$D$4:$D$26</definedName>
    <definedName name="solver_lhs3" localSheetId="5" hidden="1">'V. MVP'!$D$4:$D$26</definedName>
    <definedName name="solver_lhs4" localSheetId="5" hidden="1">'V. MVP'!$E$4</definedName>
    <definedName name="solver_lhs5" localSheetId="5" hidden="1">'V. MVP'!$N$4</definedName>
    <definedName name="solver_lin" localSheetId="4" hidden="1">2</definedName>
    <definedName name="solver_lin" localSheetId="5" hidden="1">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5" hidden="1">2147483647</definedName>
    <definedName name="solver_num" localSheetId="4" hidden="1">0</definedName>
    <definedName name="solver_num" localSheetId="5" hidden="1">5</definedName>
    <definedName name="solver_nwt" localSheetId="5">1</definedName>
    <definedName name="solver_opt" localSheetId="4" hidden="1">'IV. Corrélation'!$P$18</definedName>
    <definedName name="solver_opt" localSheetId="5" hidden="1">'V. MVP'!$F$4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1</definedName>
    <definedName name="solver_rel3" localSheetId="5" hidden="1">3</definedName>
    <definedName name="solver_rel4" localSheetId="5" hidden="1">2</definedName>
    <definedName name="solver_rel5" localSheetId="5" hidden="1">1</definedName>
    <definedName name="solver_rhs1" localSheetId="5" hidden="1">0.2</definedName>
    <definedName name="solver_rhs2" localSheetId="5" hidden="1">0.049</definedName>
    <definedName name="solver_rhs3" localSheetId="5" hidden="1">0.01</definedName>
    <definedName name="solver_rhs4" localSheetId="5" hidden="1">1</definedName>
    <definedName name="solver_rhs5" localSheetId="5" hidden="1">'V. MVP'!$N$3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4" hidden="1">1</definedName>
    <definedName name="solver_typ" localSheetId="5" hidden="1">2</definedName>
    <definedName name="solver_val" localSheetId="4" hidden="1">0</definedName>
    <definedName name="solver_val" localSheetId="5" hidden="1">0</definedName>
    <definedName name="solver_ver" localSheetId="4" hidden="1">2</definedName>
    <definedName name="solver_ver" localSheetId="5" hidden="1">2</definedName>
    <definedName name="var_m">'V. MVP'!$F$4</definedName>
    <definedName name="var_t">#REF!</definedName>
    <definedName name="var_t2">#REF!</definedName>
    <definedName name="var_y">#REF!</definedName>
    <definedName name="w_mvp">'V. MVP'!$D$4:$D$27</definedName>
    <definedName name="w_t">#REF!</definedName>
    <definedName name="w_t2">#REF!</definedName>
    <definedName name="w_y">#REF!</definedName>
    <definedName name="weight__m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MsI0zZb8g15MggiUv3CnGtZMGfOQHyD+Cw8lWLJuybo="/>
    </ext>
  </extLst>
</workbook>
</file>

<file path=xl/calcChain.xml><?xml version="1.0" encoding="utf-8"?>
<calcChain xmlns="http://schemas.openxmlformats.org/spreadsheetml/2006/main">
  <c r="D5" i="13" l="1"/>
  <c r="G4" i="6" a="1"/>
  <c r="G4" i="6" s="1"/>
  <c r="E31" i="1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D8" i="13"/>
  <c r="D6" i="13"/>
  <c r="D4" i="13"/>
  <c r="G18" i="6"/>
  <c r="G17" i="6"/>
  <c r="G19" i="6" s="1"/>
  <c r="G16" i="6"/>
  <c r="G15" i="6"/>
  <c r="G14" i="6"/>
  <c r="G13" i="6"/>
  <c r="G12" i="6"/>
  <c r="G9" i="6"/>
  <c r="G8" i="6"/>
  <c r="G7" i="6"/>
  <c r="C17" i="13" a="1"/>
  <c r="C17" i="13" s="1"/>
  <c r="E17" i="13" s="1"/>
  <c r="C18" i="13" a="1"/>
  <c r="C18" i="13" s="1"/>
  <c r="E18" i="13" s="1"/>
  <c r="C19" i="13" a="1"/>
  <c r="C19" i="13" s="1"/>
  <c r="E19" i="13" s="1"/>
  <c r="C20" i="13" a="1"/>
  <c r="C20" i="13" s="1"/>
  <c r="E20" i="13" s="1"/>
  <c r="C21" i="13" a="1"/>
  <c r="C21" i="13" s="1"/>
  <c r="E21" i="13" s="1"/>
  <c r="C22" i="13" a="1"/>
  <c r="C22" i="13" s="1"/>
  <c r="E22" i="13" s="1"/>
  <c r="C23" i="13" a="1"/>
  <c r="C23" i="13" s="1"/>
  <c r="E23" i="13" s="1"/>
  <c r="C24" i="13" a="1"/>
  <c r="C24" i="13" s="1"/>
  <c r="E24" i="13" s="1"/>
  <c r="C25" i="13" a="1"/>
  <c r="C25" i="13" s="1"/>
  <c r="E25" i="13" s="1"/>
  <c r="C26" i="13" a="1"/>
  <c r="C26" i="13" s="1"/>
  <c r="E26" i="13" s="1"/>
  <c r="C27" i="13" a="1"/>
  <c r="C27" i="13" s="1"/>
  <c r="E27" i="13" s="1"/>
  <c r="C28" i="13" a="1"/>
  <c r="C28" i="13"/>
  <c r="E28" i="13" s="1"/>
  <c r="C29" i="13" a="1"/>
  <c r="C29" i="13" s="1"/>
  <c r="E29" i="13" s="1"/>
  <c r="C30" i="13" a="1"/>
  <c r="C30" i="13"/>
  <c r="E30" i="13" s="1"/>
  <c r="C31" i="13" a="1"/>
  <c r="C31" i="13" s="1"/>
  <c r="E31" i="13" s="1"/>
  <c r="C32" i="13" a="1"/>
  <c r="C32" i="13" s="1"/>
  <c r="E32" i="13" s="1"/>
  <c r="C33" i="13" a="1"/>
  <c r="C33" i="13" s="1"/>
  <c r="E33" i="13" s="1"/>
  <c r="C34" i="13" a="1"/>
  <c r="C34" i="13"/>
  <c r="E34" i="13" s="1"/>
  <c r="C35" i="13" a="1"/>
  <c r="C35" i="13" s="1"/>
  <c r="E35" i="13" s="1"/>
  <c r="C36" i="13" a="1"/>
  <c r="C36" i="13"/>
  <c r="E36" i="13" s="1"/>
  <c r="C37" i="13" a="1"/>
  <c r="C37" i="13" s="1"/>
  <c r="E37" i="13" s="1"/>
  <c r="C38" i="13" a="1"/>
  <c r="C38" i="13" s="1"/>
  <c r="E38" i="13" s="1"/>
  <c r="C39" i="13" a="1"/>
  <c r="C39" i="13" s="1"/>
  <c r="E39" i="13" s="1"/>
  <c r="C40" i="13" a="1"/>
  <c r="C40" i="13" s="1"/>
  <c r="E40" i="13" s="1"/>
  <c r="C41" i="13" a="1"/>
  <c r="C41" i="13" s="1"/>
  <c r="E41" i="13" s="1"/>
  <c r="C42" i="13" a="1"/>
  <c r="C42" i="13" s="1"/>
  <c r="E42" i="13" s="1"/>
  <c r="C43" i="13" a="1"/>
  <c r="C43" i="13" s="1"/>
  <c r="E43" i="13" s="1"/>
  <c r="C44" i="13" a="1"/>
  <c r="C44" i="13" s="1"/>
  <c r="E44" i="13" s="1"/>
  <c r="C45" i="13" a="1"/>
  <c r="C45" i="13" s="1"/>
  <c r="E45" i="13" s="1"/>
  <c r="C46" i="13" a="1"/>
  <c r="C46" i="13" s="1"/>
  <c r="E46" i="13" s="1"/>
  <c r="C47" i="13" a="1"/>
  <c r="C47" i="13" s="1"/>
  <c r="E47" i="13" s="1"/>
  <c r="C48" i="13" a="1"/>
  <c r="C48" i="13"/>
  <c r="E48" i="13" s="1"/>
  <c r="C49" i="13" a="1"/>
  <c r="C49" i="13" s="1"/>
  <c r="E49" i="13" s="1"/>
  <c r="C50" i="13" a="1"/>
  <c r="C50" i="13" s="1"/>
  <c r="E50" i="13" s="1"/>
  <c r="C51" i="13" a="1"/>
  <c r="C51" i="13" s="1"/>
  <c r="E51" i="13" s="1"/>
  <c r="C52" i="13" a="1"/>
  <c r="C52" i="13"/>
  <c r="E52" i="13" s="1"/>
  <c r="C53" i="13" a="1"/>
  <c r="C53" i="13" s="1"/>
  <c r="E53" i="13" s="1"/>
  <c r="C54" i="13" a="1"/>
  <c r="C54" i="13" s="1"/>
  <c r="E54" i="13" s="1"/>
  <c r="C55" i="13" a="1"/>
  <c r="C55" i="13" s="1"/>
  <c r="E55" i="13" s="1"/>
  <c r="C56" i="13" a="1"/>
  <c r="C56" i="13" s="1"/>
  <c r="E56" i="13" s="1"/>
  <c r="C57" i="13" a="1"/>
  <c r="C57" i="13" s="1"/>
  <c r="E57" i="13" s="1"/>
  <c r="C58" i="13" a="1"/>
  <c r="C58" i="13" s="1"/>
  <c r="E58" i="13" s="1"/>
  <c r="C59" i="13" a="1"/>
  <c r="C59" i="13" s="1"/>
  <c r="E59" i="13" s="1"/>
  <c r="C60" i="13" a="1"/>
  <c r="C60" i="13"/>
  <c r="E60" i="13" s="1"/>
  <c r="C61" i="13" a="1"/>
  <c r="C61" i="13" s="1"/>
  <c r="E61" i="13" s="1"/>
  <c r="C62" i="13" a="1"/>
  <c r="C62" i="13"/>
  <c r="E62" i="13" s="1"/>
  <c r="C63" i="13" a="1"/>
  <c r="C63" i="13" s="1"/>
  <c r="E63" i="13" s="1"/>
  <c r="C64" i="13" a="1"/>
  <c r="C64" i="13" s="1"/>
  <c r="E64" i="13" s="1"/>
  <c r="C65" i="13" a="1"/>
  <c r="C65" i="13" s="1"/>
  <c r="E65" i="13" s="1"/>
  <c r="C66" i="13" a="1"/>
  <c r="C66" i="13"/>
  <c r="E66" i="13" s="1"/>
  <c r="C67" i="13" a="1"/>
  <c r="C67" i="13" s="1"/>
  <c r="E67" i="13" s="1"/>
  <c r="C68" i="13" a="1"/>
  <c r="C68" i="13" s="1"/>
  <c r="E68" i="13" s="1"/>
  <c r="C69" i="13" a="1"/>
  <c r="C69" i="13" s="1"/>
  <c r="E69" i="13" s="1"/>
  <c r="C70" i="13" a="1"/>
  <c r="C70" i="13" s="1"/>
  <c r="E70" i="13" s="1"/>
  <c r="C71" i="13" a="1"/>
  <c r="C71" i="13" s="1"/>
  <c r="E71" i="13" s="1"/>
  <c r="C72" i="13" a="1"/>
  <c r="C72" i="13" s="1"/>
  <c r="E72" i="13" s="1"/>
  <c r="C73" i="13" a="1"/>
  <c r="C73" i="13" s="1"/>
  <c r="E73" i="13" s="1"/>
  <c r="C74" i="13" a="1"/>
  <c r="C74" i="13" s="1"/>
  <c r="E74" i="13" s="1"/>
  <c r="C16" i="13" a="1"/>
  <c r="C16" i="13" s="1"/>
  <c r="E16" i="13" s="1"/>
  <c r="C7" i="13" a="1"/>
  <c r="C7" i="13" s="1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N4" i="6" a="1"/>
  <c r="N4" i="6" s="1"/>
  <c r="Y25" i="4"/>
  <c r="X24" i="4"/>
  <c r="W23" i="4"/>
  <c r="V22" i="4"/>
  <c r="U21" i="4"/>
  <c r="T20" i="4"/>
  <c r="S19" i="4"/>
  <c r="R18" i="4"/>
  <c r="Q17" i="4"/>
  <c r="P16" i="4"/>
  <c r="O15" i="4"/>
  <c r="N14" i="4"/>
  <c r="M13" i="4"/>
  <c r="L12" i="4"/>
  <c r="K11" i="4"/>
  <c r="J10" i="4"/>
  <c r="I9" i="4"/>
  <c r="H8" i="4"/>
  <c r="G7" i="4"/>
  <c r="F6" i="4"/>
  <c r="E5" i="4"/>
  <c r="D4" i="4"/>
  <c r="C3" i="4"/>
  <c r="B2" i="4"/>
  <c r="F15" i="13" l="1"/>
  <c r="D6" i="6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G5" i="10" s="1"/>
  <c r="D6" i="10"/>
  <c r="D5" i="10"/>
  <c r="D4" i="10"/>
  <c r="G4" i="10" s="1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5" i="6"/>
  <c r="D4" i="6"/>
  <c r="AW63" i="2"/>
  <c r="AU63" i="2"/>
  <c r="AS63" i="2"/>
  <c r="AQ63" i="2"/>
  <c r="Q63" i="2"/>
  <c r="AO63" i="2"/>
  <c r="AE63" i="2"/>
  <c r="AC63" i="2"/>
  <c r="AM63" i="2"/>
  <c r="O63" i="2"/>
  <c r="M63" i="2"/>
  <c r="AA63" i="2"/>
  <c r="K63" i="2"/>
  <c r="I63" i="2"/>
  <c r="AK63" i="2"/>
  <c r="AI63" i="2"/>
  <c r="AG63" i="2"/>
  <c r="S63" i="2"/>
  <c r="G63" i="2"/>
  <c r="E63" i="2"/>
  <c r="C63" i="2"/>
  <c r="Y63" i="2"/>
  <c r="W63" i="2"/>
  <c r="U63" i="2"/>
  <c r="AW62" i="2"/>
  <c r="AU62" i="2"/>
  <c r="AS62" i="2"/>
  <c r="AQ62" i="2"/>
  <c r="Q62" i="2"/>
  <c r="AO62" i="2"/>
  <c r="AE62" i="2"/>
  <c r="AC62" i="2"/>
  <c r="AM62" i="2"/>
  <c r="O62" i="2"/>
  <c r="M62" i="2"/>
  <c r="AA62" i="2"/>
  <c r="K62" i="2"/>
  <c r="I62" i="2"/>
  <c r="AK62" i="2"/>
  <c r="AI62" i="2"/>
  <c r="AG62" i="2"/>
  <c r="S62" i="2"/>
  <c r="G62" i="2"/>
  <c r="E62" i="2"/>
  <c r="C62" i="2"/>
  <c r="Y62" i="2"/>
  <c r="W62" i="2"/>
  <c r="U62" i="2"/>
  <c r="AW61" i="2"/>
  <c r="AU61" i="2"/>
  <c r="AS61" i="2"/>
  <c r="AQ61" i="2"/>
  <c r="Q61" i="2"/>
  <c r="AO61" i="2"/>
  <c r="AE61" i="2"/>
  <c r="AC61" i="2"/>
  <c r="AM61" i="2"/>
  <c r="O61" i="2"/>
  <c r="M61" i="2"/>
  <c r="AA61" i="2"/>
  <c r="K61" i="2"/>
  <c r="I61" i="2"/>
  <c r="AK61" i="2"/>
  <c r="AI61" i="2"/>
  <c r="AG61" i="2"/>
  <c r="S61" i="2"/>
  <c r="G61" i="2"/>
  <c r="E61" i="2"/>
  <c r="C61" i="2"/>
  <c r="Y61" i="2"/>
  <c r="W61" i="2"/>
  <c r="U61" i="2"/>
  <c r="AW60" i="2"/>
  <c r="AU60" i="2"/>
  <c r="AS60" i="2"/>
  <c r="AQ60" i="2"/>
  <c r="Q60" i="2"/>
  <c r="AO60" i="2"/>
  <c r="AE60" i="2"/>
  <c r="AC60" i="2"/>
  <c r="AM60" i="2"/>
  <c r="O60" i="2"/>
  <c r="M60" i="2"/>
  <c r="AA60" i="2"/>
  <c r="K60" i="2"/>
  <c r="I60" i="2"/>
  <c r="AK60" i="2"/>
  <c r="AI60" i="2"/>
  <c r="AG60" i="2"/>
  <c r="S60" i="2"/>
  <c r="G60" i="2"/>
  <c r="E60" i="2"/>
  <c r="C60" i="2"/>
  <c r="Y60" i="2"/>
  <c r="W60" i="2"/>
  <c r="U60" i="2"/>
  <c r="AW59" i="2"/>
  <c r="AU59" i="2"/>
  <c r="AS59" i="2"/>
  <c r="AQ59" i="2"/>
  <c r="Q59" i="2"/>
  <c r="AO59" i="2"/>
  <c r="AE59" i="2"/>
  <c r="AC59" i="2"/>
  <c r="AM59" i="2"/>
  <c r="O59" i="2"/>
  <c r="M59" i="2"/>
  <c r="AA59" i="2"/>
  <c r="K59" i="2"/>
  <c r="I59" i="2"/>
  <c r="AK59" i="2"/>
  <c r="AI59" i="2"/>
  <c r="AG59" i="2"/>
  <c r="S59" i="2"/>
  <c r="G59" i="2"/>
  <c r="E59" i="2"/>
  <c r="C59" i="2"/>
  <c r="Y59" i="2"/>
  <c r="W59" i="2"/>
  <c r="U59" i="2"/>
  <c r="AW58" i="2"/>
  <c r="AU58" i="2"/>
  <c r="AS58" i="2"/>
  <c r="AQ58" i="2"/>
  <c r="Q58" i="2"/>
  <c r="AO58" i="2"/>
  <c r="AE58" i="2"/>
  <c r="AC58" i="2"/>
  <c r="AM58" i="2"/>
  <c r="O58" i="2"/>
  <c r="M58" i="2"/>
  <c r="AA58" i="2"/>
  <c r="K58" i="2"/>
  <c r="I58" i="2"/>
  <c r="AK58" i="2"/>
  <c r="AI58" i="2"/>
  <c r="AG58" i="2"/>
  <c r="S58" i="2"/>
  <c r="G58" i="2"/>
  <c r="E58" i="2"/>
  <c r="C58" i="2"/>
  <c r="Y58" i="2"/>
  <c r="W58" i="2"/>
  <c r="U58" i="2"/>
  <c r="AW57" i="2"/>
  <c r="AU57" i="2"/>
  <c r="AS57" i="2"/>
  <c r="AQ57" i="2"/>
  <c r="Q57" i="2"/>
  <c r="AO57" i="2"/>
  <c r="AE57" i="2"/>
  <c r="AC57" i="2"/>
  <c r="AM57" i="2"/>
  <c r="O57" i="2"/>
  <c r="M57" i="2"/>
  <c r="AA57" i="2"/>
  <c r="K57" i="2"/>
  <c r="I57" i="2"/>
  <c r="AK57" i="2"/>
  <c r="AI57" i="2"/>
  <c r="AG57" i="2"/>
  <c r="S57" i="2"/>
  <c r="G57" i="2"/>
  <c r="E57" i="2"/>
  <c r="C57" i="2"/>
  <c r="Y57" i="2"/>
  <c r="W57" i="2"/>
  <c r="U57" i="2"/>
  <c r="AW56" i="2"/>
  <c r="AU56" i="2"/>
  <c r="AS56" i="2"/>
  <c r="AQ56" i="2"/>
  <c r="Q56" i="2"/>
  <c r="AO56" i="2"/>
  <c r="AE56" i="2"/>
  <c r="AC56" i="2"/>
  <c r="AM56" i="2"/>
  <c r="O56" i="2"/>
  <c r="M56" i="2"/>
  <c r="AA56" i="2"/>
  <c r="K56" i="2"/>
  <c r="I56" i="2"/>
  <c r="AK56" i="2"/>
  <c r="AI56" i="2"/>
  <c r="AG56" i="2"/>
  <c r="S56" i="2"/>
  <c r="G56" i="2"/>
  <c r="E56" i="2"/>
  <c r="C56" i="2"/>
  <c r="Y56" i="2"/>
  <c r="W56" i="2"/>
  <c r="U56" i="2"/>
  <c r="AW55" i="2"/>
  <c r="AU55" i="2"/>
  <c r="AS55" i="2"/>
  <c r="AQ55" i="2"/>
  <c r="Q55" i="2"/>
  <c r="AO55" i="2"/>
  <c r="AE55" i="2"/>
  <c r="AC55" i="2"/>
  <c r="AM55" i="2"/>
  <c r="O55" i="2"/>
  <c r="M55" i="2"/>
  <c r="AA55" i="2"/>
  <c r="K55" i="2"/>
  <c r="I55" i="2"/>
  <c r="AK55" i="2"/>
  <c r="AI55" i="2"/>
  <c r="AG55" i="2"/>
  <c r="S55" i="2"/>
  <c r="G55" i="2"/>
  <c r="E55" i="2"/>
  <c r="C55" i="2"/>
  <c r="Y55" i="2"/>
  <c r="W55" i="2"/>
  <c r="U55" i="2"/>
  <c r="AW54" i="2"/>
  <c r="AU54" i="2"/>
  <c r="AS54" i="2"/>
  <c r="AQ54" i="2"/>
  <c r="Q54" i="2"/>
  <c r="AO54" i="2"/>
  <c r="AE54" i="2"/>
  <c r="AC54" i="2"/>
  <c r="AM54" i="2"/>
  <c r="O54" i="2"/>
  <c r="M54" i="2"/>
  <c r="AA54" i="2"/>
  <c r="K54" i="2"/>
  <c r="I54" i="2"/>
  <c r="AK54" i="2"/>
  <c r="AI54" i="2"/>
  <c r="AG54" i="2"/>
  <c r="S54" i="2"/>
  <c r="G54" i="2"/>
  <c r="E54" i="2"/>
  <c r="C54" i="2"/>
  <c r="Y54" i="2"/>
  <c r="W54" i="2"/>
  <c r="U54" i="2"/>
  <c r="AW53" i="2"/>
  <c r="AU53" i="2"/>
  <c r="AS53" i="2"/>
  <c r="AQ53" i="2"/>
  <c r="Q53" i="2"/>
  <c r="AO53" i="2"/>
  <c r="AE53" i="2"/>
  <c r="AC53" i="2"/>
  <c r="AM53" i="2"/>
  <c r="O53" i="2"/>
  <c r="M53" i="2"/>
  <c r="AA53" i="2"/>
  <c r="K53" i="2"/>
  <c r="I53" i="2"/>
  <c r="AK53" i="2"/>
  <c r="AI53" i="2"/>
  <c r="AG53" i="2"/>
  <c r="S53" i="2"/>
  <c r="G53" i="2"/>
  <c r="E53" i="2"/>
  <c r="C53" i="2"/>
  <c r="Y53" i="2"/>
  <c r="W53" i="2"/>
  <c r="U53" i="2"/>
  <c r="AW52" i="2"/>
  <c r="AU52" i="2"/>
  <c r="AS52" i="2"/>
  <c r="AQ52" i="2"/>
  <c r="Q52" i="2"/>
  <c r="AO52" i="2"/>
  <c r="AE52" i="2"/>
  <c r="AC52" i="2"/>
  <c r="AM52" i="2"/>
  <c r="O52" i="2"/>
  <c r="M52" i="2"/>
  <c r="AA52" i="2"/>
  <c r="K52" i="2"/>
  <c r="I52" i="2"/>
  <c r="AK52" i="2"/>
  <c r="AI52" i="2"/>
  <c r="AG52" i="2"/>
  <c r="S52" i="2"/>
  <c r="G52" i="2"/>
  <c r="E52" i="2"/>
  <c r="C52" i="2"/>
  <c r="Y52" i="2"/>
  <c r="W52" i="2"/>
  <c r="U52" i="2"/>
  <c r="AW51" i="2"/>
  <c r="AU51" i="2"/>
  <c r="AS51" i="2"/>
  <c r="AQ51" i="2"/>
  <c r="Q51" i="2"/>
  <c r="AO51" i="2"/>
  <c r="AE51" i="2"/>
  <c r="AC51" i="2"/>
  <c r="AM51" i="2"/>
  <c r="O51" i="2"/>
  <c r="M51" i="2"/>
  <c r="AA51" i="2"/>
  <c r="K51" i="2"/>
  <c r="I51" i="2"/>
  <c r="AK51" i="2"/>
  <c r="AI51" i="2"/>
  <c r="AG51" i="2"/>
  <c r="S51" i="2"/>
  <c r="G51" i="2"/>
  <c r="E51" i="2"/>
  <c r="C51" i="2"/>
  <c r="Y51" i="2"/>
  <c r="W51" i="2"/>
  <c r="U51" i="2"/>
  <c r="AW50" i="2"/>
  <c r="AU50" i="2"/>
  <c r="AS50" i="2"/>
  <c r="AQ50" i="2"/>
  <c r="Q50" i="2"/>
  <c r="AO50" i="2"/>
  <c r="AE50" i="2"/>
  <c r="AC50" i="2"/>
  <c r="AM50" i="2"/>
  <c r="O50" i="2"/>
  <c r="M50" i="2"/>
  <c r="AA50" i="2"/>
  <c r="K50" i="2"/>
  <c r="I50" i="2"/>
  <c r="AK50" i="2"/>
  <c r="AI50" i="2"/>
  <c r="AG50" i="2"/>
  <c r="S50" i="2"/>
  <c r="G50" i="2"/>
  <c r="E50" i="2"/>
  <c r="C50" i="2"/>
  <c r="Y50" i="2"/>
  <c r="W50" i="2"/>
  <c r="U50" i="2"/>
  <c r="AW49" i="2"/>
  <c r="AU49" i="2"/>
  <c r="AS49" i="2"/>
  <c r="AQ49" i="2"/>
  <c r="Q49" i="2"/>
  <c r="AO49" i="2"/>
  <c r="AE49" i="2"/>
  <c r="AC49" i="2"/>
  <c r="AM49" i="2"/>
  <c r="O49" i="2"/>
  <c r="M49" i="2"/>
  <c r="AA49" i="2"/>
  <c r="K49" i="2"/>
  <c r="I49" i="2"/>
  <c r="AK49" i="2"/>
  <c r="AI49" i="2"/>
  <c r="AG49" i="2"/>
  <c r="S49" i="2"/>
  <c r="G49" i="2"/>
  <c r="E49" i="2"/>
  <c r="C49" i="2"/>
  <c r="Y49" i="2"/>
  <c r="W49" i="2"/>
  <c r="U49" i="2"/>
  <c r="AW48" i="2"/>
  <c r="AU48" i="2"/>
  <c r="AS48" i="2"/>
  <c r="AQ48" i="2"/>
  <c r="Q48" i="2"/>
  <c r="AO48" i="2"/>
  <c r="AE48" i="2"/>
  <c r="AC48" i="2"/>
  <c r="AM48" i="2"/>
  <c r="O48" i="2"/>
  <c r="M48" i="2"/>
  <c r="AA48" i="2"/>
  <c r="K48" i="2"/>
  <c r="I48" i="2"/>
  <c r="AK48" i="2"/>
  <c r="AI48" i="2"/>
  <c r="AG48" i="2"/>
  <c r="S48" i="2"/>
  <c r="G48" i="2"/>
  <c r="E48" i="2"/>
  <c r="C48" i="2"/>
  <c r="Y48" i="2"/>
  <c r="W48" i="2"/>
  <c r="U48" i="2"/>
  <c r="AW47" i="2"/>
  <c r="AU47" i="2"/>
  <c r="AS47" i="2"/>
  <c r="AQ47" i="2"/>
  <c r="Q47" i="2"/>
  <c r="AO47" i="2"/>
  <c r="AE47" i="2"/>
  <c r="AC47" i="2"/>
  <c r="AM47" i="2"/>
  <c r="O47" i="2"/>
  <c r="M47" i="2"/>
  <c r="AA47" i="2"/>
  <c r="K47" i="2"/>
  <c r="I47" i="2"/>
  <c r="AK47" i="2"/>
  <c r="AI47" i="2"/>
  <c r="AG47" i="2"/>
  <c r="S47" i="2"/>
  <c r="G47" i="2"/>
  <c r="E47" i="2"/>
  <c r="C47" i="2"/>
  <c r="Y47" i="2"/>
  <c r="W47" i="2"/>
  <c r="U47" i="2"/>
  <c r="AW46" i="2"/>
  <c r="AU46" i="2"/>
  <c r="AS46" i="2"/>
  <c r="AQ46" i="2"/>
  <c r="Q46" i="2"/>
  <c r="AO46" i="2"/>
  <c r="AE46" i="2"/>
  <c r="AC46" i="2"/>
  <c r="AM46" i="2"/>
  <c r="O46" i="2"/>
  <c r="M46" i="2"/>
  <c r="AA46" i="2"/>
  <c r="K46" i="2"/>
  <c r="I46" i="2"/>
  <c r="AK46" i="2"/>
  <c r="AI46" i="2"/>
  <c r="AG46" i="2"/>
  <c r="S46" i="2"/>
  <c r="G46" i="2"/>
  <c r="E46" i="2"/>
  <c r="C46" i="2"/>
  <c r="Y46" i="2"/>
  <c r="W46" i="2"/>
  <c r="U46" i="2"/>
  <c r="AW45" i="2"/>
  <c r="AU45" i="2"/>
  <c r="AS45" i="2"/>
  <c r="AQ45" i="2"/>
  <c r="Q45" i="2"/>
  <c r="AO45" i="2"/>
  <c r="AE45" i="2"/>
  <c r="AC45" i="2"/>
  <c r="AM45" i="2"/>
  <c r="O45" i="2"/>
  <c r="M45" i="2"/>
  <c r="AA45" i="2"/>
  <c r="K45" i="2"/>
  <c r="I45" i="2"/>
  <c r="AK45" i="2"/>
  <c r="AI45" i="2"/>
  <c r="AG45" i="2"/>
  <c r="S45" i="2"/>
  <c r="G45" i="2"/>
  <c r="E45" i="2"/>
  <c r="C45" i="2"/>
  <c r="Y45" i="2"/>
  <c r="W45" i="2"/>
  <c r="U45" i="2"/>
  <c r="AW44" i="2"/>
  <c r="AU44" i="2"/>
  <c r="AS44" i="2"/>
  <c r="AQ44" i="2"/>
  <c r="Q44" i="2"/>
  <c r="AO44" i="2"/>
  <c r="AE44" i="2"/>
  <c r="AC44" i="2"/>
  <c r="AM44" i="2"/>
  <c r="O44" i="2"/>
  <c r="M44" i="2"/>
  <c r="AA44" i="2"/>
  <c r="K44" i="2"/>
  <c r="I44" i="2"/>
  <c r="AK44" i="2"/>
  <c r="AI44" i="2"/>
  <c r="AG44" i="2"/>
  <c r="S44" i="2"/>
  <c r="G44" i="2"/>
  <c r="E44" i="2"/>
  <c r="C44" i="2"/>
  <c r="Y44" i="2"/>
  <c r="W44" i="2"/>
  <c r="U44" i="2"/>
  <c r="AW43" i="2"/>
  <c r="AU43" i="2"/>
  <c r="AS43" i="2"/>
  <c r="AQ43" i="2"/>
  <c r="Q43" i="2"/>
  <c r="AO43" i="2"/>
  <c r="AE43" i="2"/>
  <c r="AC43" i="2"/>
  <c r="AM43" i="2"/>
  <c r="O43" i="2"/>
  <c r="M43" i="2"/>
  <c r="AA43" i="2"/>
  <c r="K43" i="2"/>
  <c r="I43" i="2"/>
  <c r="AK43" i="2"/>
  <c r="AI43" i="2"/>
  <c r="AG43" i="2"/>
  <c r="S43" i="2"/>
  <c r="G43" i="2"/>
  <c r="E43" i="2"/>
  <c r="C43" i="2"/>
  <c r="Y43" i="2"/>
  <c r="W43" i="2"/>
  <c r="U43" i="2"/>
  <c r="AW42" i="2"/>
  <c r="AU42" i="2"/>
  <c r="AS42" i="2"/>
  <c r="AQ42" i="2"/>
  <c r="Q42" i="2"/>
  <c r="AO42" i="2"/>
  <c r="AE42" i="2"/>
  <c r="AC42" i="2"/>
  <c r="AM42" i="2"/>
  <c r="O42" i="2"/>
  <c r="M42" i="2"/>
  <c r="AA42" i="2"/>
  <c r="K42" i="2"/>
  <c r="I42" i="2"/>
  <c r="AK42" i="2"/>
  <c r="AI42" i="2"/>
  <c r="AG42" i="2"/>
  <c r="S42" i="2"/>
  <c r="G42" i="2"/>
  <c r="E42" i="2"/>
  <c r="C42" i="2"/>
  <c r="Y42" i="2"/>
  <c r="W42" i="2"/>
  <c r="U42" i="2"/>
  <c r="AW41" i="2"/>
  <c r="AU41" i="2"/>
  <c r="AS41" i="2"/>
  <c r="AQ41" i="2"/>
  <c r="Q41" i="2"/>
  <c r="AO41" i="2"/>
  <c r="AE41" i="2"/>
  <c r="AC41" i="2"/>
  <c r="AM41" i="2"/>
  <c r="O41" i="2"/>
  <c r="M41" i="2"/>
  <c r="AA41" i="2"/>
  <c r="K41" i="2"/>
  <c r="I41" i="2"/>
  <c r="AK41" i="2"/>
  <c r="AI41" i="2"/>
  <c r="AG41" i="2"/>
  <c r="S41" i="2"/>
  <c r="G41" i="2"/>
  <c r="E41" i="2"/>
  <c r="C41" i="2"/>
  <c r="Y41" i="2"/>
  <c r="W41" i="2"/>
  <c r="U41" i="2"/>
  <c r="AW40" i="2"/>
  <c r="AU40" i="2"/>
  <c r="AS40" i="2"/>
  <c r="AQ40" i="2"/>
  <c r="Q40" i="2"/>
  <c r="AO40" i="2"/>
  <c r="AE40" i="2"/>
  <c r="AC40" i="2"/>
  <c r="AM40" i="2"/>
  <c r="O40" i="2"/>
  <c r="M40" i="2"/>
  <c r="AA40" i="2"/>
  <c r="K40" i="2"/>
  <c r="I40" i="2"/>
  <c r="AK40" i="2"/>
  <c r="AI40" i="2"/>
  <c r="AG40" i="2"/>
  <c r="S40" i="2"/>
  <c r="G40" i="2"/>
  <c r="E40" i="2"/>
  <c r="C40" i="2"/>
  <c r="Y40" i="2"/>
  <c r="W40" i="2"/>
  <c r="U40" i="2"/>
  <c r="AW39" i="2"/>
  <c r="AU39" i="2"/>
  <c r="AS39" i="2"/>
  <c r="AQ39" i="2"/>
  <c r="Q39" i="2"/>
  <c r="AO39" i="2"/>
  <c r="AE39" i="2"/>
  <c r="AC39" i="2"/>
  <c r="AM39" i="2"/>
  <c r="O39" i="2"/>
  <c r="M39" i="2"/>
  <c r="AA39" i="2"/>
  <c r="K39" i="2"/>
  <c r="I39" i="2"/>
  <c r="AK39" i="2"/>
  <c r="AI39" i="2"/>
  <c r="AG39" i="2"/>
  <c r="S39" i="2"/>
  <c r="G39" i="2"/>
  <c r="E39" i="2"/>
  <c r="C39" i="2"/>
  <c r="Y39" i="2"/>
  <c r="W39" i="2"/>
  <c r="U39" i="2"/>
  <c r="AW38" i="2"/>
  <c r="AU38" i="2"/>
  <c r="AS38" i="2"/>
  <c r="AQ38" i="2"/>
  <c r="Q38" i="2"/>
  <c r="AO38" i="2"/>
  <c r="AE38" i="2"/>
  <c r="AC38" i="2"/>
  <c r="AM38" i="2"/>
  <c r="O38" i="2"/>
  <c r="M38" i="2"/>
  <c r="AA38" i="2"/>
  <c r="K38" i="2"/>
  <c r="I38" i="2"/>
  <c r="AK38" i="2"/>
  <c r="AI38" i="2"/>
  <c r="AG38" i="2"/>
  <c r="S38" i="2"/>
  <c r="G38" i="2"/>
  <c r="E38" i="2"/>
  <c r="C38" i="2"/>
  <c r="Y38" i="2"/>
  <c r="W38" i="2"/>
  <c r="U38" i="2"/>
  <c r="AW37" i="2"/>
  <c r="AU37" i="2"/>
  <c r="AS37" i="2"/>
  <c r="AQ37" i="2"/>
  <c r="Q37" i="2"/>
  <c r="AO37" i="2"/>
  <c r="AE37" i="2"/>
  <c r="AC37" i="2"/>
  <c r="AM37" i="2"/>
  <c r="O37" i="2"/>
  <c r="M37" i="2"/>
  <c r="AA37" i="2"/>
  <c r="K37" i="2"/>
  <c r="I37" i="2"/>
  <c r="AK37" i="2"/>
  <c r="AI37" i="2"/>
  <c r="AG37" i="2"/>
  <c r="S37" i="2"/>
  <c r="G37" i="2"/>
  <c r="E37" i="2"/>
  <c r="C37" i="2"/>
  <c r="Y37" i="2"/>
  <c r="W37" i="2"/>
  <c r="U37" i="2"/>
  <c r="AW36" i="2"/>
  <c r="AU36" i="2"/>
  <c r="AS36" i="2"/>
  <c r="AQ36" i="2"/>
  <c r="Q36" i="2"/>
  <c r="AO36" i="2"/>
  <c r="AE36" i="2"/>
  <c r="AC36" i="2"/>
  <c r="AM36" i="2"/>
  <c r="O36" i="2"/>
  <c r="M36" i="2"/>
  <c r="AA36" i="2"/>
  <c r="K36" i="2"/>
  <c r="I36" i="2"/>
  <c r="AK36" i="2"/>
  <c r="AI36" i="2"/>
  <c r="AG36" i="2"/>
  <c r="S36" i="2"/>
  <c r="G36" i="2"/>
  <c r="E36" i="2"/>
  <c r="C36" i="2"/>
  <c r="Y36" i="2"/>
  <c r="W36" i="2"/>
  <c r="U36" i="2"/>
  <c r="AW35" i="2"/>
  <c r="AU35" i="2"/>
  <c r="AS35" i="2"/>
  <c r="AQ35" i="2"/>
  <c r="Q35" i="2"/>
  <c r="AO35" i="2"/>
  <c r="AE35" i="2"/>
  <c r="AC35" i="2"/>
  <c r="AM35" i="2"/>
  <c r="O35" i="2"/>
  <c r="M35" i="2"/>
  <c r="AA35" i="2"/>
  <c r="K35" i="2"/>
  <c r="I35" i="2"/>
  <c r="AK35" i="2"/>
  <c r="AI35" i="2"/>
  <c r="AG35" i="2"/>
  <c r="S35" i="2"/>
  <c r="G35" i="2"/>
  <c r="E35" i="2"/>
  <c r="C35" i="2"/>
  <c r="Y35" i="2"/>
  <c r="W35" i="2"/>
  <c r="U35" i="2"/>
  <c r="AW34" i="2"/>
  <c r="AU34" i="2"/>
  <c r="AS34" i="2"/>
  <c r="AQ34" i="2"/>
  <c r="Q34" i="2"/>
  <c r="AO34" i="2"/>
  <c r="AE34" i="2"/>
  <c r="AC34" i="2"/>
  <c r="AM34" i="2"/>
  <c r="O34" i="2"/>
  <c r="M34" i="2"/>
  <c r="AA34" i="2"/>
  <c r="K34" i="2"/>
  <c r="I34" i="2"/>
  <c r="AK34" i="2"/>
  <c r="AI34" i="2"/>
  <c r="AG34" i="2"/>
  <c r="S34" i="2"/>
  <c r="G34" i="2"/>
  <c r="E34" i="2"/>
  <c r="C34" i="2"/>
  <c r="Y34" i="2"/>
  <c r="W34" i="2"/>
  <c r="U34" i="2"/>
  <c r="AW33" i="2"/>
  <c r="AU33" i="2"/>
  <c r="AS33" i="2"/>
  <c r="AQ33" i="2"/>
  <c r="Q33" i="2"/>
  <c r="AO33" i="2"/>
  <c r="AE33" i="2"/>
  <c r="AC33" i="2"/>
  <c r="AM33" i="2"/>
  <c r="O33" i="2"/>
  <c r="M33" i="2"/>
  <c r="AA33" i="2"/>
  <c r="K33" i="2"/>
  <c r="I33" i="2"/>
  <c r="AK33" i="2"/>
  <c r="AI33" i="2"/>
  <c r="AG33" i="2"/>
  <c r="S33" i="2"/>
  <c r="G33" i="2"/>
  <c r="E33" i="2"/>
  <c r="C33" i="2"/>
  <c r="Y33" i="2"/>
  <c r="W33" i="2"/>
  <c r="U33" i="2"/>
  <c r="AW32" i="2"/>
  <c r="AU32" i="2"/>
  <c r="AS32" i="2"/>
  <c r="AQ32" i="2"/>
  <c r="Q32" i="2"/>
  <c r="AO32" i="2"/>
  <c r="AE32" i="2"/>
  <c r="AC32" i="2"/>
  <c r="AM32" i="2"/>
  <c r="O32" i="2"/>
  <c r="M32" i="2"/>
  <c r="AA32" i="2"/>
  <c r="K32" i="2"/>
  <c r="I32" i="2"/>
  <c r="AK32" i="2"/>
  <c r="AI32" i="2"/>
  <c r="AG32" i="2"/>
  <c r="S32" i="2"/>
  <c r="G32" i="2"/>
  <c r="E32" i="2"/>
  <c r="C32" i="2"/>
  <c r="Y32" i="2"/>
  <c r="W32" i="2"/>
  <c r="U32" i="2"/>
  <c r="AW31" i="2"/>
  <c r="AU31" i="2"/>
  <c r="AS31" i="2"/>
  <c r="AQ31" i="2"/>
  <c r="Q31" i="2"/>
  <c r="AO31" i="2"/>
  <c r="AE31" i="2"/>
  <c r="AC31" i="2"/>
  <c r="AM31" i="2"/>
  <c r="O31" i="2"/>
  <c r="M31" i="2"/>
  <c r="AA31" i="2"/>
  <c r="K31" i="2"/>
  <c r="I31" i="2"/>
  <c r="AK31" i="2"/>
  <c r="AI31" i="2"/>
  <c r="AG31" i="2"/>
  <c r="S31" i="2"/>
  <c r="G31" i="2"/>
  <c r="E31" i="2"/>
  <c r="C31" i="2"/>
  <c r="Y31" i="2"/>
  <c r="W31" i="2"/>
  <c r="U31" i="2"/>
  <c r="AW30" i="2"/>
  <c r="AU30" i="2"/>
  <c r="AS30" i="2"/>
  <c r="AQ30" i="2"/>
  <c r="Q30" i="2"/>
  <c r="AO30" i="2"/>
  <c r="AE30" i="2"/>
  <c r="AC30" i="2"/>
  <c r="AM30" i="2"/>
  <c r="O30" i="2"/>
  <c r="M30" i="2"/>
  <c r="AA30" i="2"/>
  <c r="K30" i="2"/>
  <c r="I30" i="2"/>
  <c r="AK30" i="2"/>
  <c r="AI30" i="2"/>
  <c r="AG30" i="2"/>
  <c r="S30" i="2"/>
  <c r="G30" i="2"/>
  <c r="E30" i="2"/>
  <c r="C30" i="2"/>
  <c r="Y30" i="2"/>
  <c r="W30" i="2"/>
  <c r="U30" i="2"/>
  <c r="AW29" i="2"/>
  <c r="AU29" i="2"/>
  <c r="AS29" i="2"/>
  <c r="AQ29" i="2"/>
  <c r="Q29" i="2"/>
  <c r="AO29" i="2"/>
  <c r="AE29" i="2"/>
  <c r="AC29" i="2"/>
  <c r="AM29" i="2"/>
  <c r="O29" i="2"/>
  <c r="M29" i="2"/>
  <c r="AA29" i="2"/>
  <c r="K29" i="2"/>
  <c r="I29" i="2"/>
  <c r="AK29" i="2"/>
  <c r="AI29" i="2"/>
  <c r="AG29" i="2"/>
  <c r="S29" i="2"/>
  <c r="G29" i="2"/>
  <c r="E29" i="2"/>
  <c r="C29" i="2"/>
  <c r="Y29" i="2"/>
  <c r="W29" i="2"/>
  <c r="U29" i="2"/>
  <c r="AW28" i="2"/>
  <c r="AU28" i="2"/>
  <c r="AS28" i="2"/>
  <c r="AQ28" i="2"/>
  <c r="Q28" i="2"/>
  <c r="AO28" i="2"/>
  <c r="AE28" i="2"/>
  <c r="AC28" i="2"/>
  <c r="AM28" i="2"/>
  <c r="O28" i="2"/>
  <c r="M28" i="2"/>
  <c r="AA28" i="2"/>
  <c r="K28" i="2"/>
  <c r="I28" i="2"/>
  <c r="AK28" i="2"/>
  <c r="AI28" i="2"/>
  <c r="AG28" i="2"/>
  <c r="S28" i="2"/>
  <c r="G28" i="2"/>
  <c r="E28" i="2"/>
  <c r="C28" i="2"/>
  <c r="Y28" i="2"/>
  <c r="W28" i="2"/>
  <c r="U28" i="2"/>
  <c r="AW27" i="2"/>
  <c r="AU27" i="2"/>
  <c r="AS27" i="2"/>
  <c r="AQ27" i="2"/>
  <c r="Q27" i="2"/>
  <c r="AO27" i="2"/>
  <c r="AE27" i="2"/>
  <c r="AC27" i="2"/>
  <c r="AM27" i="2"/>
  <c r="O27" i="2"/>
  <c r="M27" i="2"/>
  <c r="AA27" i="2"/>
  <c r="K27" i="2"/>
  <c r="I27" i="2"/>
  <c r="AK27" i="2"/>
  <c r="AI27" i="2"/>
  <c r="AG27" i="2"/>
  <c r="S27" i="2"/>
  <c r="G27" i="2"/>
  <c r="E27" i="2"/>
  <c r="C27" i="2"/>
  <c r="Y27" i="2"/>
  <c r="W27" i="2"/>
  <c r="U27" i="2"/>
  <c r="AW26" i="2"/>
  <c r="AU26" i="2"/>
  <c r="AS26" i="2"/>
  <c r="AQ26" i="2"/>
  <c r="Q26" i="2"/>
  <c r="AO26" i="2"/>
  <c r="AE26" i="2"/>
  <c r="AC26" i="2"/>
  <c r="AM26" i="2"/>
  <c r="O26" i="2"/>
  <c r="M26" i="2"/>
  <c r="AA26" i="2"/>
  <c r="K26" i="2"/>
  <c r="I26" i="2"/>
  <c r="AK26" i="2"/>
  <c r="AI26" i="2"/>
  <c r="AG26" i="2"/>
  <c r="S26" i="2"/>
  <c r="G26" i="2"/>
  <c r="E26" i="2"/>
  <c r="C26" i="2"/>
  <c r="Y26" i="2"/>
  <c r="W26" i="2"/>
  <c r="U26" i="2"/>
  <c r="AW25" i="2"/>
  <c r="AU25" i="2"/>
  <c r="AS25" i="2"/>
  <c r="AQ25" i="2"/>
  <c r="Q25" i="2"/>
  <c r="AO25" i="2"/>
  <c r="AE25" i="2"/>
  <c r="AC25" i="2"/>
  <c r="AM25" i="2"/>
  <c r="O25" i="2"/>
  <c r="M25" i="2"/>
  <c r="AA25" i="2"/>
  <c r="K25" i="2"/>
  <c r="I25" i="2"/>
  <c r="AK25" i="2"/>
  <c r="AI25" i="2"/>
  <c r="AG25" i="2"/>
  <c r="S25" i="2"/>
  <c r="G25" i="2"/>
  <c r="E25" i="2"/>
  <c r="C25" i="2"/>
  <c r="Y25" i="2"/>
  <c r="W25" i="2"/>
  <c r="U25" i="2"/>
  <c r="AW24" i="2"/>
  <c r="AU24" i="2"/>
  <c r="AS24" i="2"/>
  <c r="AQ24" i="2"/>
  <c r="Q24" i="2"/>
  <c r="AO24" i="2"/>
  <c r="AE24" i="2"/>
  <c r="AC24" i="2"/>
  <c r="AM24" i="2"/>
  <c r="O24" i="2"/>
  <c r="M24" i="2"/>
  <c r="AA24" i="2"/>
  <c r="K24" i="2"/>
  <c r="I24" i="2"/>
  <c r="AK24" i="2"/>
  <c r="AI24" i="2"/>
  <c r="AG24" i="2"/>
  <c r="S24" i="2"/>
  <c r="G24" i="2"/>
  <c r="E24" i="2"/>
  <c r="C24" i="2"/>
  <c r="Y24" i="2"/>
  <c r="W24" i="2"/>
  <c r="U24" i="2"/>
  <c r="AW23" i="2"/>
  <c r="AU23" i="2"/>
  <c r="AS23" i="2"/>
  <c r="AQ23" i="2"/>
  <c r="Q23" i="2"/>
  <c r="AO23" i="2"/>
  <c r="AE23" i="2"/>
  <c r="AC23" i="2"/>
  <c r="AM23" i="2"/>
  <c r="O23" i="2"/>
  <c r="M23" i="2"/>
  <c r="AA23" i="2"/>
  <c r="K23" i="2"/>
  <c r="I23" i="2"/>
  <c r="AK23" i="2"/>
  <c r="AI23" i="2"/>
  <c r="AG23" i="2"/>
  <c r="S23" i="2"/>
  <c r="G23" i="2"/>
  <c r="E23" i="2"/>
  <c r="C23" i="2"/>
  <c r="Y23" i="2"/>
  <c r="W23" i="2"/>
  <c r="U23" i="2"/>
  <c r="AW22" i="2"/>
  <c r="AU22" i="2"/>
  <c r="AS22" i="2"/>
  <c r="AQ22" i="2"/>
  <c r="Q22" i="2"/>
  <c r="AO22" i="2"/>
  <c r="AE22" i="2"/>
  <c r="AC22" i="2"/>
  <c r="AM22" i="2"/>
  <c r="O22" i="2"/>
  <c r="M22" i="2"/>
  <c r="AA22" i="2"/>
  <c r="K22" i="2"/>
  <c r="I22" i="2"/>
  <c r="AK22" i="2"/>
  <c r="AI22" i="2"/>
  <c r="AG22" i="2"/>
  <c r="S22" i="2"/>
  <c r="G22" i="2"/>
  <c r="E22" i="2"/>
  <c r="C22" i="2"/>
  <c r="Y22" i="2"/>
  <c r="W22" i="2"/>
  <c r="U22" i="2"/>
  <c r="AW21" i="2"/>
  <c r="AU21" i="2"/>
  <c r="AS21" i="2"/>
  <c r="AQ21" i="2"/>
  <c r="Q21" i="2"/>
  <c r="AO21" i="2"/>
  <c r="AE21" i="2"/>
  <c r="AC21" i="2"/>
  <c r="AM21" i="2"/>
  <c r="O21" i="2"/>
  <c r="M21" i="2"/>
  <c r="AA21" i="2"/>
  <c r="K21" i="2"/>
  <c r="I21" i="2"/>
  <c r="AK21" i="2"/>
  <c r="AI21" i="2"/>
  <c r="AG21" i="2"/>
  <c r="S21" i="2"/>
  <c r="G21" i="2"/>
  <c r="E21" i="2"/>
  <c r="C21" i="2"/>
  <c r="Y21" i="2"/>
  <c r="W21" i="2"/>
  <c r="U21" i="2"/>
  <c r="AW20" i="2"/>
  <c r="AU20" i="2"/>
  <c r="AS20" i="2"/>
  <c r="AQ20" i="2"/>
  <c r="Q20" i="2"/>
  <c r="AO20" i="2"/>
  <c r="AE20" i="2"/>
  <c r="AC20" i="2"/>
  <c r="AM20" i="2"/>
  <c r="O20" i="2"/>
  <c r="M20" i="2"/>
  <c r="AA20" i="2"/>
  <c r="K20" i="2"/>
  <c r="I20" i="2"/>
  <c r="AK20" i="2"/>
  <c r="AI20" i="2"/>
  <c r="AG20" i="2"/>
  <c r="S20" i="2"/>
  <c r="G20" i="2"/>
  <c r="E20" i="2"/>
  <c r="C20" i="2"/>
  <c r="Y20" i="2"/>
  <c r="W20" i="2"/>
  <c r="U20" i="2"/>
  <c r="AW19" i="2"/>
  <c r="AU19" i="2"/>
  <c r="AS19" i="2"/>
  <c r="AQ19" i="2"/>
  <c r="Q19" i="2"/>
  <c r="AO19" i="2"/>
  <c r="AE19" i="2"/>
  <c r="AC19" i="2"/>
  <c r="AM19" i="2"/>
  <c r="O19" i="2"/>
  <c r="M19" i="2"/>
  <c r="AA19" i="2"/>
  <c r="K19" i="2"/>
  <c r="I19" i="2"/>
  <c r="AK19" i="2"/>
  <c r="AI19" i="2"/>
  <c r="AG19" i="2"/>
  <c r="S19" i="2"/>
  <c r="G19" i="2"/>
  <c r="E19" i="2"/>
  <c r="C19" i="2"/>
  <c r="Y19" i="2"/>
  <c r="W19" i="2"/>
  <c r="U19" i="2"/>
  <c r="AW18" i="2"/>
  <c r="AU18" i="2"/>
  <c r="AS18" i="2"/>
  <c r="AQ18" i="2"/>
  <c r="Q18" i="2"/>
  <c r="AO18" i="2"/>
  <c r="AE18" i="2"/>
  <c r="AC18" i="2"/>
  <c r="AM18" i="2"/>
  <c r="O18" i="2"/>
  <c r="M18" i="2"/>
  <c r="AA18" i="2"/>
  <c r="K18" i="2"/>
  <c r="I18" i="2"/>
  <c r="AK18" i="2"/>
  <c r="AI18" i="2"/>
  <c r="AG18" i="2"/>
  <c r="S18" i="2"/>
  <c r="G18" i="2"/>
  <c r="E18" i="2"/>
  <c r="C18" i="2"/>
  <c r="Y18" i="2"/>
  <c r="W18" i="2"/>
  <c r="U18" i="2"/>
  <c r="AW17" i="2"/>
  <c r="AU17" i="2"/>
  <c r="AS17" i="2"/>
  <c r="AQ17" i="2"/>
  <c r="Q17" i="2"/>
  <c r="AO17" i="2"/>
  <c r="AE17" i="2"/>
  <c r="AC17" i="2"/>
  <c r="AM17" i="2"/>
  <c r="O17" i="2"/>
  <c r="M17" i="2"/>
  <c r="AA17" i="2"/>
  <c r="K17" i="2"/>
  <c r="I17" i="2"/>
  <c r="AK17" i="2"/>
  <c r="AI17" i="2"/>
  <c r="AG17" i="2"/>
  <c r="S17" i="2"/>
  <c r="G17" i="2"/>
  <c r="E17" i="2"/>
  <c r="C17" i="2"/>
  <c r="Y17" i="2"/>
  <c r="W17" i="2"/>
  <c r="U17" i="2"/>
  <c r="AW16" i="2"/>
  <c r="AU16" i="2"/>
  <c r="AS16" i="2"/>
  <c r="AQ16" i="2"/>
  <c r="Q16" i="2"/>
  <c r="AO16" i="2"/>
  <c r="AE16" i="2"/>
  <c r="AC16" i="2"/>
  <c r="AM16" i="2"/>
  <c r="O16" i="2"/>
  <c r="M16" i="2"/>
  <c r="AA16" i="2"/>
  <c r="K16" i="2"/>
  <c r="I16" i="2"/>
  <c r="AK16" i="2"/>
  <c r="AI16" i="2"/>
  <c r="AG16" i="2"/>
  <c r="S16" i="2"/>
  <c r="G16" i="2"/>
  <c r="E16" i="2"/>
  <c r="C16" i="2"/>
  <c r="Y16" i="2"/>
  <c r="W16" i="2"/>
  <c r="U16" i="2"/>
  <c r="AW15" i="2"/>
  <c r="AU15" i="2"/>
  <c r="AS15" i="2"/>
  <c r="AQ15" i="2"/>
  <c r="Q15" i="2"/>
  <c r="AO15" i="2"/>
  <c r="AE15" i="2"/>
  <c r="AC15" i="2"/>
  <c r="AM15" i="2"/>
  <c r="O15" i="2"/>
  <c r="M15" i="2"/>
  <c r="AA15" i="2"/>
  <c r="K15" i="2"/>
  <c r="I15" i="2"/>
  <c r="AK15" i="2"/>
  <c r="AI15" i="2"/>
  <c r="AG15" i="2"/>
  <c r="S15" i="2"/>
  <c r="G15" i="2"/>
  <c r="E15" i="2"/>
  <c r="C15" i="2"/>
  <c r="Y15" i="2"/>
  <c r="W15" i="2"/>
  <c r="U15" i="2"/>
  <c r="AW14" i="2"/>
  <c r="AU14" i="2"/>
  <c r="AS14" i="2"/>
  <c r="AQ14" i="2"/>
  <c r="Q14" i="2"/>
  <c r="AO14" i="2"/>
  <c r="AE14" i="2"/>
  <c r="AC14" i="2"/>
  <c r="AM14" i="2"/>
  <c r="O14" i="2"/>
  <c r="M14" i="2"/>
  <c r="AA14" i="2"/>
  <c r="K14" i="2"/>
  <c r="I14" i="2"/>
  <c r="AK14" i="2"/>
  <c r="AI14" i="2"/>
  <c r="AG14" i="2"/>
  <c r="S14" i="2"/>
  <c r="G14" i="2"/>
  <c r="E14" i="2"/>
  <c r="C14" i="2"/>
  <c r="Y14" i="2"/>
  <c r="W14" i="2"/>
  <c r="U14" i="2"/>
  <c r="AW13" i="2"/>
  <c r="AU13" i="2"/>
  <c r="AS13" i="2"/>
  <c r="AQ13" i="2"/>
  <c r="Q13" i="2"/>
  <c r="AO13" i="2"/>
  <c r="AE13" i="2"/>
  <c r="AC13" i="2"/>
  <c r="AM13" i="2"/>
  <c r="O13" i="2"/>
  <c r="M13" i="2"/>
  <c r="AA13" i="2"/>
  <c r="K13" i="2"/>
  <c r="I13" i="2"/>
  <c r="AK13" i="2"/>
  <c r="AI13" i="2"/>
  <c r="AG13" i="2"/>
  <c r="S13" i="2"/>
  <c r="G13" i="2"/>
  <c r="E13" i="2"/>
  <c r="C13" i="2"/>
  <c r="Y13" i="2"/>
  <c r="W13" i="2"/>
  <c r="U13" i="2"/>
  <c r="AW12" i="2"/>
  <c r="AU12" i="2"/>
  <c r="AS12" i="2"/>
  <c r="AQ12" i="2"/>
  <c r="Q12" i="2"/>
  <c r="AO12" i="2"/>
  <c r="AE12" i="2"/>
  <c r="AC12" i="2"/>
  <c r="AM12" i="2"/>
  <c r="O12" i="2"/>
  <c r="M12" i="2"/>
  <c r="AA12" i="2"/>
  <c r="K12" i="2"/>
  <c r="I12" i="2"/>
  <c r="AK12" i="2"/>
  <c r="AI12" i="2"/>
  <c r="AG12" i="2"/>
  <c r="S12" i="2"/>
  <c r="G12" i="2"/>
  <c r="E12" i="2"/>
  <c r="C12" i="2"/>
  <c r="Y12" i="2"/>
  <c r="W12" i="2"/>
  <c r="U12" i="2"/>
  <c r="AW11" i="2"/>
  <c r="AU11" i="2"/>
  <c r="AS11" i="2"/>
  <c r="AQ11" i="2"/>
  <c r="Q11" i="2"/>
  <c r="AO11" i="2"/>
  <c r="AE11" i="2"/>
  <c r="AC11" i="2"/>
  <c r="AM11" i="2"/>
  <c r="O11" i="2"/>
  <c r="M11" i="2"/>
  <c r="AA11" i="2"/>
  <c r="K11" i="2"/>
  <c r="I11" i="2"/>
  <c r="AK11" i="2"/>
  <c r="AI11" i="2"/>
  <c r="AG11" i="2"/>
  <c r="S11" i="2"/>
  <c r="G11" i="2"/>
  <c r="E11" i="2"/>
  <c r="C11" i="2"/>
  <c r="Y11" i="2"/>
  <c r="W11" i="2"/>
  <c r="U11" i="2"/>
  <c r="AW10" i="2"/>
  <c r="AU10" i="2"/>
  <c r="AS10" i="2"/>
  <c r="AQ10" i="2"/>
  <c r="Q10" i="2"/>
  <c r="AO10" i="2"/>
  <c r="AE10" i="2"/>
  <c r="AC10" i="2"/>
  <c r="AM10" i="2"/>
  <c r="O10" i="2"/>
  <c r="M10" i="2"/>
  <c r="AA10" i="2"/>
  <c r="K10" i="2"/>
  <c r="I10" i="2"/>
  <c r="AK10" i="2"/>
  <c r="AI10" i="2"/>
  <c r="AG10" i="2"/>
  <c r="S10" i="2"/>
  <c r="G10" i="2"/>
  <c r="E10" i="2"/>
  <c r="C10" i="2"/>
  <c r="Y10" i="2"/>
  <c r="W10" i="2"/>
  <c r="U10" i="2"/>
  <c r="AW9" i="2"/>
  <c r="AU9" i="2"/>
  <c r="AS9" i="2"/>
  <c r="AQ9" i="2"/>
  <c r="Q9" i="2"/>
  <c r="AO9" i="2"/>
  <c r="AE9" i="2"/>
  <c r="AC9" i="2"/>
  <c r="AM9" i="2"/>
  <c r="O9" i="2"/>
  <c r="M9" i="2"/>
  <c r="AA9" i="2"/>
  <c r="K9" i="2"/>
  <c r="I9" i="2"/>
  <c r="AK9" i="2"/>
  <c r="AI9" i="2"/>
  <c r="AG9" i="2"/>
  <c r="S9" i="2"/>
  <c r="G9" i="2"/>
  <c r="E9" i="2"/>
  <c r="C9" i="2"/>
  <c r="Y9" i="2"/>
  <c r="W9" i="2"/>
  <c r="U9" i="2"/>
  <c r="AW8" i="2"/>
  <c r="AU8" i="2"/>
  <c r="AS8" i="2"/>
  <c r="AQ8" i="2"/>
  <c r="Q8" i="2"/>
  <c r="AO8" i="2"/>
  <c r="AE8" i="2"/>
  <c r="AC8" i="2"/>
  <c r="AM8" i="2"/>
  <c r="O8" i="2"/>
  <c r="M8" i="2"/>
  <c r="AA8" i="2"/>
  <c r="K8" i="2"/>
  <c r="I8" i="2"/>
  <c r="AK8" i="2"/>
  <c r="AI8" i="2"/>
  <c r="AG8" i="2"/>
  <c r="S8" i="2"/>
  <c r="G8" i="2"/>
  <c r="E8" i="2"/>
  <c r="C8" i="2"/>
  <c r="Y8" i="2"/>
  <c r="W8" i="2"/>
  <c r="U8" i="2"/>
  <c r="AW7" i="2"/>
  <c r="AU7" i="2"/>
  <c r="AS7" i="2"/>
  <c r="AQ7" i="2"/>
  <c r="Q7" i="2"/>
  <c r="AO7" i="2"/>
  <c r="AE7" i="2"/>
  <c r="AC7" i="2"/>
  <c r="AM7" i="2"/>
  <c r="O7" i="2"/>
  <c r="M7" i="2"/>
  <c r="AA7" i="2"/>
  <c r="K7" i="2"/>
  <c r="I7" i="2"/>
  <c r="AK7" i="2"/>
  <c r="AI7" i="2"/>
  <c r="AG7" i="2"/>
  <c r="S7" i="2"/>
  <c r="G7" i="2"/>
  <c r="E7" i="2"/>
  <c r="C7" i="2"/>
  <c r="Y7" i="2"/>
  <c r="W7" i="2"/>
  <c r="U7" i="2"/>
  <c r="AW6" i="2"/>
  <c r="AU6" i="2"/>
  <c r="AS6" i="2"/>
  <c r="AQ6" i="2"/>
  <c r="Q6" i="2"/>
  <c r="AO6" i="2"/>
  <c r="AE6" i="2"/>
  <c r="AC6" i="2"/>
  <c r="AM6" i="2"/>
  <c r="O6" i="2"/>
  <c r="M6" i="2"/>
  <c r="AA6" i="2"/>
  <c r="K6" i="2"/>
  <c r="I6" i="2"/>
  <c r="AK6" i="2"/>
  <c r="AI6" i="2"/>
  <c r="AG6" i="2"/>
  <c r="S6" i="2"/>
  <c r="G6" i="2"/>
  <c r="E6" i="2"/>
  <c r="C6" i="2"/>
  <c r="Y6" i="2"/>
  <c r="W6" i="2"/>
  <c r="U6" i="2"/>
  <c r="AW5" i="2"/>
  <c r="AU5" i="2"/>
  <c r="Y6" i="3" s="1"/>
  <c r="AS5" i="2"/>
  <c r="AQ5" i="2"/>
  <c r="Q5" i="2"/>
  <c r="AO5" i="2"/>
  <c r="AE5" i="2"/>
  <c r="AC5" i="2"/>
  <c r="S5" i="3" s="1"/>
  <c r="AM5" i="2"/>
  <c r="O5" i="2"/>
  <c r="Q6" i="3" s="1"/>
  <c r="M5" i="2"/>
  <c r="AA5" i="2"/>
  <c r="K5" i="2"/>
  <c r="I5" i="2"/>
  <c r="AK5" i="2"/>
  <c r="L4" i="3" s="1"/>
  <c r="AI5" i="2"/>
  <c r="AG5" i="2"/>
  <c r="S5" i="2"/>
  <c r="I6" i="3" s="1"/>
  <c r="G5" i="2"/>
  <c r="E5" i="2"/>
  <c r="C5" i="2"/>
  <c r="Y5" i="2"/>
  <c r="W5" i="2"/>
  <c r="U5" i="2"/>
  <c r="C4" i="3" s="1"/>
  <c r="AW64" i="2" l="1"/>
  <c r="E4" i="6"/>
  <c r="F4" i="6" a="1"/>
  <c r="F4" i="6" s="1"/>
  <c r="H4" i="6" s="1"/>
  <c r="U5" i="3"/>
  <c r="AB14" i="13" s="1"/>
  <c r="K3" i="3"/>
  <c r="H6" i="3"/>
  <c r="E5" i="3"/>
  <c r="X6" i="3"/>
  <c r="T5" i="3"/>
  <c r="P6" i="3"/>
  <c r="R6" i="3"/>
  <c r="C6" i="3"/>
  <c r="D6" i="3"/>
  <c r="M6" i="3"/>
  <c r="F6" i="3"/>
  <c r="V6" i="3"/>
  <c r="J6" i="3"/>
  <c r="N6" i="3"/>
  <c r="G6" i="3"/>
  <c r="O6" i="3"/>
  <c r="W6" i="3"/>
  <c r="S3" i="3"/>
  <c r="S4" i="3"/>
  <c r="K6" i="3"/>
  <c r="S6" i="3"/>
  <c r="D3" i="3"/>
  <c r="D4" i="3"/>
  <c r="D5" i="3"/>
  <c r="K14" i="13" s="1"/>
  <c r="L5" i="3"/>
  <c r="L6" i="3"/>
  <c r="G3" i="3"/>
  <c r="O3" i="3"/>
  <c r="W3" i="3"/>
  <c r="G4" i="3"/>
  <c r="O4" i="3"/>
  <c r="W4" i="3"/>
  <c r="G5" i="3"/>
  <c r="O5" i="3"/>
  <c r="W5" i="3"/>
  <c r="AD14" i="13" s="1"/>
  <c r="H3" i="3"/>
  <c r="P3" i="3"/>
  <c r="X3" i="3"/>
  <c r="H4" i="3"/>
  <c r="P4" i="3"/>
  <c r="X4" i="3"/>
  <c r="H5" i="3"/>
  <c r="P5" i="3"/>
  <c r="X5" i="3"/>
  <c r="AE14" i="13" s="1"/>
  <c r="C3" i="3"/>
  <c r="K4" i="3"/>
  <c r="C5" i="3"/>
  <c r="J14" i="13" s="1"/>
  <c r="K5" i="3"/>
  <c r="R14" i="13" s="1"/>
  <c r="L3" i="3"/>
  <c r="T6" i="3"/>
  <c r="I3" i="3"/>
  <c r="Q3" i="3"/>
  <c r="Y3" i="3"/>
  <c r="I4" i="3"/>
  <c r="Q4" i="3"/>
  <c r="Y4" i="3"/>
  <c r="I5" i="3"/>
  <c r="Q5" i="3"/>
  <c r="Y5" i="3"/>
  <c r="J3" i="3"/>
  <c r="R3" i="3"/>
  <c r="Z3" i="3"/>
  <c r="J4" i="3"/>
  <c r="R4" i="3"/>
  <c r="Z4" i="3"/>
  <c r="J5" i="3"/>
  <c r="R5" i="3"/>
  <c r="Z5" i="3"/>
  <c r="Z6" i="3"/>
  <c r="U3" i="3"/>
  <c r="E6" i="3"/>
  <c r="U6" i="3"/>
  <c r="E3" i="3"/>
  <c r="M3" i="3"/>
  <c r="E4" i="3"/>
  <c r="M4" i="3"/>
  <c r="U4" i="3"/>
  <c r="M5" i="3"/>
  <c r="T14" i="13" s="1"/>
  <c r="F3" i="3"/>
  <c r="N3" i="3"/>
  <c r="V3" i="3"/>
  <c r="F4" i="3"/>
  <c r="N4" i="3"/>
  <c r="V4" i="3"/>
  <c r="F5" i="3"/>
  <c r="N5" i="3"/>
  <c r="V5" i="3"/>
  <c r="AC14" i="13" s="1"/>
  <c r="T3" i="3"/>
  <c r="T4" i="3"/>
  <c r="U14" i="13" l="1"/>
  <c r="M14" i="13"/>
  <c r="AG14" i="13"/>
  <c r="Y14" i="13"/>
  <c r="AF14" i="13"/>
  <c r="W14" i="13"/>
  <c r="AA14" i="13"/>
  <c r="Q14" i="13"/>
  <c r="X14" i="13"/>
  <c r="O14" i="13"/>
  <c r="V14" i="13"/>
  <c r="P14" i="13"/>
  <c r="N14" i="13"/>
  <c r="S14" i="13"/>
  <c r="L14" i="13"/>
  <c r="C9" i="13" s="1" a="1"/>
  <c r="C9" i="13" s="1"/>
  <c r="Z14" i="13"/>
  <c r="C4" i="13" l="1"/>
  <c r="C5" i="13" s="1"/>
  <c r="C8" i="13"/>
  <c r="C6" i="13"/>
  <c r="C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<sst xmlns="http://schemas.openxmlformats.org/spreadsheetml/2006/main" count="501" uniqueCount="173">
  <si>
    <t>Actions</t>
  </si>
  <si>
    <t>ROE (Return on Equity %) / 5-Yr</t>
  </si>
  <si>
    <t>ESG Risk Rating</t>
  </si>
  <si>
    <t>Controversy level</t>
  </si>
  <si>
    <t>Critères Vérifiés</t>
  </si>
  <si>
    <t xml:space="preserve">Secteur </t>
  </si>
  <si>
    <t>Alphabet Inc. (ABEA.DE)</t>
  </si>
  <si>
    <t>Non</t>
    <phoneticPr fontId="11" type="noConversion"/>
  </si>
  <si>
    <t>Communication</t>
  </si>
  <si>
    <t>The Walt Disney Co</t>
    <phoneticPr fontId="11" type="noConversion"/>
  </si>
  <si>
    <t xml:space="preserve">2.72%
</t>
  </si>
  <si>
    <t>Baidu, Inc</t>
    <phoneticPr fontId="11" type="noConversion"/>
  </si>
  <si>
    <t>Non</t>
  </si>
  <si>
    <t xml:space="preserve">Communication </t>
  </si>
  <si>
    <t>Altria Group Inc</t>
    <phoneticPr fontId="11" type="noConversion"/>
  </si>
  <si>
    <t>59.31%</t>
  </si>
  <si>
    <t>Oui</t>
    <phoneticPr fontId="11" type="noConversion"/>
  </si>
  <si>
    <t>Consommation discrétionnaire</t>
  </si>
  <si>
    <t>Amazon.com Inc</t>
  </si>
  <si>
    <t>The Coca-Cola Co</t>
    <phoneticPr fontId="11" type="noConversion"/>
  </si>
  <si>
    <t>Oui</t>
  </si>
  <si>
    <t>Colgate-Palmolive Co</t>
    <phoneticPr fontId="11" type="noConversion"/>
  </si>
  <si>
    <t>Monster Beverage Corp</t>
  </si>
  <si>
    <t xml:space="preserve">21.32%
</t>
    <phoneticPr fontId="11" type="noConversion"/>
  </si>
  <si>
    <t>PepsiCo Inc</t>
    <phoneticPr fontId="11" type="noConversion"/>
  </si>
  <si>
    <t>43.91%</t>
  </si>
  <si>
    <t>LVMH (MC.PA)</t>
    <phoneticPr fontId="11" type="noConversion"/>
  </si>
  <si>
    <t>George Weston Limited (WN.TO)</t>
  </si>
  <si>
    <t>General Mills, Inc. (GIS)</t>
    <phoneticPr fontId="11" type="noConversion"/>
  </si>
  <si>
    <t>23.12%%</t>
    <phoneticPr fontId="11" type="noConversion"/>
  </si>
  <si>
    <t>Exxon Mobil Corp</t>
  </si>
  <si>
    <t xml:space="preserve">21.17%
</t>
  </si>
  <si>
    <t>Energie</t>
  </si>
  <si>
    <t>PNC Financial Services Group Inc</t>
    <phoneticPr fontId="11" type="noConversion"/>
  </si>
  <si>
    <t xml:space="preserve">13.13%
</t>
  </si>
  <si>
    <t>Finance</t>
  </si>
  <si>
    <t>Moody's Corporation (MCO)</t>
    <phoneticPr fontId="11" type="noConversion"/>
  </si>
  <si>
    <t>22.46%</t>
  </si>
  <si>
    <t>Industrie</t>
  </si>
  <si>
    <t xml:space="preserve">16.79%
</t>
  </si>
  <si>
    <t>Tractor Supply Co</t>
    <phoneticPr fontId="11" type="noConversion"/>
  </si>
  <si>
    <t>55.78%</t>
  </si>
  <si>
    <t>Airbus SE (AIR.PA)</t>
  </si>
  <si>
    <t>31.38%</t>
  </si>
  <si>
    <t>Deere &amp; Company (DE)</t>
    <phoneticPr fontId="11" type="noConversion"/>
  </si>
  <si>
    <t>Gilead Sciences Inc</t>
    <phoneticPr fontId="11" type="noConversion"/>
  </si>
  <si>
    <t>26.35%</t>
  </si>
  <si>
    <t>Santé</t>
  </si>
  <si>
    <t xml:space="preserve">19.19%
</t>
  </si>
  <si>
    <t>Regeneron Pharmaceuticals, Inc. (REGN)</t>
  </si>
  <si>
    <t>NVIDIA Corp</t>
    <phoneticPr fontId="11" type="noConversion"/>
  </si>
  <si>
    <t>40.22%</t>
  </si>
  <si>
    <t>Technologie</t>
  </si>
  <si>
    <t>Apple Inc</t>
    <phoneticPr fontId="11" type="noConversion"/>
  </si>
  <si>
    <t>Intel Corp</t>
    <phoneticPr fontId="11" type="noConversion"/>
  </si>
  <si>
    <t>-1.6%</t>
  </si>
  <si>
    <t>International Business Machines Corp</t>
    <phoneticPr fontId="11" type="noConversion"/>
  </si>
  <si>
    <t>32.78%</t>
  </si>
  <si>
    <t>Microsoft Corp</t>
    <phoneticPr fontId="11" type="noConversion"/>
  </si>
  <si>
    <t xml:space="preserve">39.11%
</t>
  </si>
  <si>
    <t>eBay Inc</t>
    <phoneticPr fontId="11" type="noConversion"/>
  </si>
  <si>
    <t xml:space="preserve">Technologie </t>
  </si>
  <si>
    <t>Critère :</t>
  </si>
  <si>
    <t xml:space="preserve"> ROE &gt;= 15%</t>
  </si>
  <si>
    <t>ESG Risk Rating &lt; 30</t>
  </si>
  <si>
    <t>ETF</t>
  </si>
  <si>
    <t>Obligation</t>
  </si>
  <si>
    <t>Titre</t>
  </si>
  <si>
    <t>The Coca-Cola Co</t>
  </si>
  <si>
    <t>Colgate-Palmolive Co</t>
  </si>
  <si>
    <t>PepsiCo Inc</t>
  </si>
  <si>
    <t>LVMH (MC.PA)</t>
  </si>
  <si>
    <t>Moody's Corporation (MCO)</t>
  </si>
  <si>
    <t>Tesla Inc</t>
  </si>
  <si>
    <t>Ecolab Inc</t>
  </si>
  <si>
    <t>NVIDIA</t>
  </si>
  <si>
    <t>Ebay</t>
  </si>
  <si>
    <t>Apple</t>
  </si>
  <si>
    <t>Tractor Supply Co</t>
  </si>
  <si>
    <t>Deere &amp; Company (DE)</t>
  </si>
  <si>
    <t>Gilead sciences</t>
  </si>
  <si>
    <t>International Business Machines Corp</t>
  </si>
  <si>
    <t>Microsoft Corp</t>
  </si>
  <si>
    <t>General Mills, Inc. (GIS)</t>
  </si>
  <si>
    <t>WisdomTree Natural Gas (NGAS)</t>
  </si>
  <si>
    <t>Amundi MSCI Emerging Markets UCITS (AEEM)</t>
  </si>
  <si>
    <t>Lyxor UCITS FTSE EPRA/NAREIT Developed Europe D-EUR (MEH)</t>
  </si>
  <si>
    <t>États-Unis 10 ans</t>
    <phoneticPr fontId="11" type="noConversion"/>
  </si>
  <si>
    <t>Date</t>
  </si>
  <si>
    <t>Adj Close</t>
  </si>
  <si>
    <t>r_Altria</t>
    <phoneticPr fontId="11" type="noConversion"/>
  </si>
  <si>
    <t>r_coca</t>
    <phoneticPr fontId="11" type="noConversion"/>
  </si>
  <si>
    <t>r_colgate</t>
    <phoneticPr fontId="11" type="noConversion"/>
  </si>
  <si>
    <t>r_monster</t>
    <phoneticPr fontId="11" type="noConversion"/>
  </si>
  <si>
    <t>r_pepsi</t>
    <phoneticPr fontId="11" type="noConversion"/>
  </si>
  <si>
    <t>r_LVMH</t>
    <phoneticPr fontId="11" type="noConversion"/>
  </si>
  <si>
    <t>r_MCO</t>
    <phoneticPr fontId="11" type="noConversion"/>
  </si>
  <si>
    <t>r_tesla</t>
    <phoneticPr fontId="11" type="noConversion"/>
  </si>
  <si>
    <t>r_ecolab</t>
    <phoneticPr fontId="11" type="noConversion"/>
  </si>
  <si>
    <t>r_nvidia</t>
    <phoneticPr fontId="11" type="noConversion"/>
  </si>
  <si>
    <t>r_ebay</t>
    <phoneticPr fontId="11" type="noConversion"/>
  </si>
  <si>
    <t>r_apple</t>
    <phoneticPr fontId="11" type="noConversion"/>
  </si>
  <si>
    <t>r_tractor</t>
    <phoneticPr fontId="11" type="noConversion"/>
  </si>
  <si>
    <t>r_airbus</t>
    <phoneticPr fontId="11" type="noConversion"/>
  </si>
  <si>
    <t>r_deere</t>
    <phoneticPr fontId="11" type="noConversion"/>
  </si>
  <si>
    <t>r_gilead</t>
    <phoneticPr fontId="11" type="noConversion"/>
  </si>
  <si>
    <t>r_IBM</t>
    <phoneticPr fontId="11" type="noConversion"/>
  </si>
  <si>
    <t>r_micro</t>
    <phoneticPr fontId="11" type="noConversion"/>
  </si>
  <si>
    <t>r_general</t>
    <phoneticPr fontId="11" type="noConversion"/>
  </si>
  <si>
    <t>r_pharma</t>
    <phoneticPr fontId="11" type="noConversion"/>
  </si>
  <si>
    <t>r_NGA</t>
    <phoneticPr fontId="11" type="noConversion"/>
  </si>
  <si>
    <t>r_AEEM</t>
    <phoneticPr fontId="11" type="noConversion"/>
  </si>
  <si>
    <t>r_MEH</t>
    <phoneticPr fontId="11" type="noConversion"/>
  </si>
  <si>
    <t>r_OB</t>
    <phoneticPr fontId="11" type="noConversion"/>
  </si>
  <si>
    <t>Altria Group Inc</t>
  </si>
  <si>
    <t>OB</t>
  </si>
  <si>
    <t>Average return</t>
  </si>
  <si>
    <t>Standard deviation</t>
  </si>
  <si>
    <t>Variance</t>
  </si>
  <si>
    <t>Beta</t>
  </si>
  <si>
    <t>The Global Minimum Variance Portfolio</t>
  </si>
  <si>
    <t>Asset</t>
  </si>
  <si>
    <t>Cours actuels</t>
  </si>
  <si>
    <t>Quantités</t>
  </si>
  <si>
    <t>Weight (m)</t>
  </si>
  <si>
    <t>Constraint</t>
  </si>
  <si>
    <t>var(Rp,m)</t>
  </si>
  <si>
    <t>E[Rp.m]</t>
  </si>
  <si>
    <t>SD(Rp,m)</t>
  </si>
  <si>
    <t xml:space="preserve">Budget </t>
  </si>
  <si>
    <t>Budget utilisé</t>
  </si>
  <si>
    <t>Composition du fond</t>
  </si>
  <si>
    <t>Action</t>
  </si>
  <si>
    <t>Composition des Actions</t>
  </si>
  <si>
    <t>Consommation</t>
  </si>
  <si>
    <t>Thenology</t>
    <phoneticPr fontId="11" type="noConversion"/>
  </si>
  <si>
    <t xml:space="preserve">Total </t>
  </si>
  <si>
    <t>Total + ETF :</t>
  </si>
  <si>
    <t>Solution du solveur</t>
  </si>
  <si>
    <t>Résultats déduits</t>
  </si>
  <si>
    <t>S&amp;P 500</t>
  </si>
  <si>
    <t>Close</t>
  </si>
  <si>
    <t>Return</t>
  </si>
  <si>
    <t>average return</t>
  </si>
  <si>
    <t>standard deviation</t>
  </si>
  <si>
    <t>Indicateurs de performance</t>
  </si>
  <si>
    <t>rf=0.3%</t>
    <phoneticPr fontId="11" type="noConversion"/>
  </si>
  <si>
    <t>FutureEdge</t>
    <phoneticPr fontId="11" type="noConversion"/>
  </si>
  <si>
    <t>S&amp;P 500</t>
    <phoneticPr fontId="11" type="noConversion"/>
  </si>
  <si>
    <t>Sharpe</t>
  </si>
  <si>
    <t>M²</t>
  </si>
  <si>
    <t>rf</t>
  </si>
  <si>
    <t>Alpha</t>
  </si>
  <si>
    <t>Treynor</t>
  </si>
  <si>
    <t>sigma(epsilon_i)</t>
  </si>
  <si>
    <t>IR</t>
  </si>
  <si>
    <t>Calculs pour le risque spécifique du fond</t>
  </si>
  <si>
    <t>Calculs pour le ratio d'informations (IR)</t>
  </si>
  <si>
    <t>R(P)-R(SP500)</t>
  </si>
  <si>
    <t>sigma(P2/SP)</t>
  </si>
  <si>
    <t>Risque spécifique</t>
  </si>
  <si>
    <t xml:space="preserve">Sources : </t>
  </si>
  <si>
    <t>https://fr.finance.yahoo.com/</t>
    <phoneticPr fontId="11" type="noConversion"/>
  </si>
  <si>
    <t>Téléchargement des données</t>
  </si>
  <si>
    <t>https://www.ishares.com/us/products/239725/ishares-sp-500-growth-etf</t>
    <phoneticPr fontId="11" type="noConversion"/>
  </si>
  <si>
    <t>ETF SP 500 GRW (IVW)</t>
  </si>
  <si>
    <t>https://www.blackrock.com/au/individual/products/273426/</t>
  </si>
  <si>
    <t>ETF SP Small Cap (IJR)</t>
  </si>
  <si>
    <t>https://markets.ft.com/data/etfs/tearsheet/risk?s=TDIV:NMQ:USD</t>
  </si>
  <si>
    <t>ETF First Trust NASDAQ  Tech (TDIV)</t>
  </si>
  <si>
    <t>https://www.morningstar.com/stocks</t>
  </si>
  <si>
    <t>Sélection des données</t>
  </si>
  <si>
    <t>Johnson &amp;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</si>
</sst>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d/m/yyyy"/>
    <numFmt numFmtId="177" formatCode="_-* #,##0.0000_-;\-* #,##0.0000_-;_-* &quot;-&quot;??_-;_-@"/>
    <numFmt numFmtId="178" formatCode="0.00000"/>
    <numFmt numFmtId="179" formatCode="_-* #,##0.00000_-;\-* #,##0.00000_-;_-* &quot;-&quot;??_-;_-@"/>
    <numFmt numFmtId="180" formatCode="0.0%"/>
    <numFmt numFmtId="181" formatCode="dd/mm/yy;@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</font>
    <font>
      <b/>
      <u/>
      <sz val="12"/>
      <color theme="1"/>
      <name val="Arial"/>
      <family val="2"/>
    </font>
    <font>
      <b/>
      <u/>
      <sz val="11"/>
      <color theme="1"/>
      <name val="Calibri"/>
      <family val="2"/>
    </font>
    <font>
      <b/>
      <u/>
      <sz val="14"/>
      <color theme="1"/>
      <name val="Arial"/>
      <family val="2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232A31"/>
      <name val="Helvetica Neue"/>
      <family val="2"/>
    </font>
    <font>
      <sz val="11"/>
      <color rgb="FF232A3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0000"/>
      <name val="Microsoft YaHei"/>
      <family val="2"/>
      <charset val="134"/>
    </font>
    <font>
      <sz val="11"/>
      <color rgb="FF000000"/>
      <name val="Calibri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D9E2F3"/>
      </patternFill>
    </fill>
    <fill>
      <patternFill patternType="solid">
        <fgColor theme="4" tint="0.59999389629810485"/>
        <bgColor rgb="FFDC8EA1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7CAAC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</cellStyleXfs>
  <cellXfs count="207">
    <xf numFmtId="0" fontId="0" fillId="0" borderId="0" xfId="0"/>
    <xf numFmtId="10" fontId="1" fillId="0" borderId="2" xfId="0" applyNumberFormat="1" applyFont="1" applyBorder="1"/>
    <xf numFmtId="0" fontId="1" fillId="0" borderId="2" xfId="0" applyFont="1" applyBorder="1"/>
    <xf numFmtId="0" fontId="2" fillId="0" borderId="0" xfId="0" applyFont="1"/>
    <xf numFmtId="0" fontId="1" fillId="0" borderId="7" xfId="0" applyFont="1" applyBorder="1"/>
    <xf numFmtId="0" fontId="1" fillId="0" borderId="0" xfId="0" applyFont="1"/>
    <xf numFmtId="0" fontId="5" fillId="0" borderId="8" xfId="0" applyFont="1" applyBorder="1"/>
    <xf numFmtId="0" fontId="5" fillId="0" borderId="0" xfId="0" applyFont="1"/>
    <xf numFmtId="0" fontId="5" fillId="0" borderId="11" xfId="0" applyFont="1" applyBorder="1"/>
    <xf numFmtId="176" fontId="1" fillId="0" borderId="0" xfId="0" applyNumberFormat="1" applyFont="1"/>
    <xf numFmtId="10" fontId="1" fillId="0" borderId="0" xfId="0" applyNumberFormat="1" applyFont="1"/>
    <xf numFmtId="0" fontId="1" fillId="0" borderId="14" xfId="0" applyFont="1" applyBorder="1"/>
    <xf numFmtId="0" fontId="6" fillId="0" borderId="11" xfId="0" applyFont="1" applyBorder="1"/>
    <xf numFmtId="177" fontId="1" fillId="0" borderId="0" xfId="0" applyNumberFormat="1" applyFont="1"/>
    <xf numFmtId="0" fontId="6" fillId="0" borderId="13" xfId="0" applyFont="1" applyBorder="1"/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0" fontId="1" fillId="0" borderId="8" xfId="0" applyNumberFormat="1" applyFont="1" applyBorder="1"/>
    <xf numFmtId="2" fontId="1" fillId="0" borderId="0" xfId="0" applyNumberFormat="1" applyFont="1"/>
    <xf numFmtId="0" fontId="1" fillId="0" borderId="25" xfId="0" applyFont="1" applyBorder="1"/>
    <xf numFmtId="10" fontId="1" fillId="0" borderId="26" xfId="0" applyNumberFormat="1" applyFont="1" applyBorder="1"/>
    <xf numFmtId="0" fontId="1" fillId="0" borderId="27" xfId="0" applyFont="1" applyBorder="1"/>
    <xf numFmtId="10" fontId="1" fillId="0" borderId="4" xfId="0" applyNumberFormat="1" applyFont="1" applyBorder="1"/>
    <xf numFmtId="0" fontId="1" fillId="0" borderId="28" xfId="0" applyFont="1" applyBorder="1"/>
    <xf numFmtId="10" fontId="1" fillId="0" borderId="5" xfId="0" applyNumberFormat="1" applyFont="1" applyBorder="1"/>
    <xf numFmtId="0" fontId="1" fillId="0" borderId="8" xfId="0" applyFont="1" applyBorder="1"/>
    <xf numFmtId="0" fontId="1" fillId="0" borderId="9" xfId="0" applyFont="1" applyBorder="1"/>
    <xf numFmtId="10" fontId="1" fillId="0" borderId="9" xfId="0" applyNumberFormat="1" applyFont="1" applyBorder="1"/>
    <xf numFmtId="0" fontId="1" fillId="0" borderId="13" xfId="0" applyFont="1" applyBorder="1"/>
    <xf numFmtId="0" fontId="1" fillId="0" borderId="10" xfId="0" applyFont="1" applyBorder="1"/>
    <xf numFmtId="0" fontId="5" fillId="0" borderId="2" xfId="0" applyFont="1" applyBorder="1"/>
    <xf numFmtId="0" fontId="5" fillId="0" borderId="12" xfId="0" applyFont="1" applyBorder="1"/>
    <xf numFmtId="0" fontId="1" fillId="0" borderId="30" xfId="0" applyFont="1" applyBorder="1"/>
    <xf numFmtId="177" fontId="1" fillId="0" borderId="8" xfId="0" applyNumberFormat="1" applyFont="1" applyBorder="1"/>
    <xf numFmtId="177" fontId="1" fillId="0" borderId="9" xfId="0" applyNumberFormat="1" applyFont="1" applyBorder="1"/>
    <xf numFmtId="0" fontId="1" fillId="0" borderId="12" xfId="0" applyFont="1" applyBorder="1"/>
    <xf numFmtId="10" fontId="1" fillId="0" borderId="12" xfId="0" applyNumberFormat="1" applyFont="1" applyBorder="1"/>
    <xf numFmtId="0" fontId="1" fillId="0" borderId="29" xfId="0" applyFont="1" applyBorder="1"/>
    <xf numFmtId="0" fontId="1" fillId="0" borderId="32" xfId="0" applyFont="1" applyBorder="1"/>
    <xf numFmtId="0" fontId="12" fillId="0" borderId="32" xfId="0" applyFont="1" applyBorder="1"/>
    <xf numFmtId="0" fontId="1" fillId="0" borderId="3" xfId="0" applyFont="1" applyBorder="1"/>
    <xf numFmtId="0" fontId="13" fillId="0" borderId="0" xfId="1"/>
    <xf numFmtId="0" fontId="1" fillId="0" borderId="24" xfId="0" applyFont="1" applyBorder="1" applyAlignment="1">
      <alignment wrapText="1"/>
    </xf>
    <xf numFmtId="9" fontId="0" fillId="0" borderId="0" xfId="0" applyNumberFormat="1"/>
    <xf numFmtId="180" fontId="0" fillId="0" borderId="0" xfId="2" applyNumberFormat="1" applyFont="1" applyAlignment="1"/>
    <xf numFmtId="0" fontId="1" fillId="0" borderId="4" xfId="0" applyFont="1" applyBorder="1"/>
    <xf numFmtId="0" fontId="5" fillId="0" borderId="18" xfId="0" applyFont="1" applyBorder="1"/>
    <xf numFmtId="0" fontId="5" fillId="0" borderId="19" xfId="0" applyFont="1" applyBorder="1"/>
    <xf numFmtId="0" fontId="0" fillId="0" borderId="34" xfId="0" applyBorder="1" applyAlignment="1">
      <alignment vertical="center"/>
    </xf>
    <xf numFmtId="0" fontId="5" fillId="0" borderId="35" xfId="0" applyFont="1" applyBorder="1"/>
    <xf numFmtId="0" fontId="0" fillId="0" borderId="36" xfId="0" applyBorder="1" applyAlignment="1">
      <alignment vertical="center"/>
    </xf>
    <xf numFmtId="10" fontId="5" fillId="0" borderId="37" xfId="0" applyNumberFormat="1" applyFont="1" applyBorder="1"/>
    <xf numFmtId="0" fontId="0" fillId="0" borderId="38" xfId="0" applyBorder="1" applyAlignment="1">
      <alignment vertical="center"/>
    </xf>
    <xf numFmtId="10" fontId="5" fillId="0" borderId="39" xfId="0" applyNumberFormat="1" applyFont="1" applyBorder="1"/>
    <xf numFmtId="0" fontId="1" fillId="3" borderId="3" xfId="0" applyFont="1" applyFill="1" applyBorder="1"/>
    <xf numFmtId="0" fontId="1" fillId="3" borderId="32" xfId="0" applyFont="1" applyFill="1" applyBorder="1"/>
    <xf numFmtId="0" fontId="12" fillId="3" borderId="32" xfId="0" applyFont="1" applyFill="1" applyBorder="1"/>
    <xf numFmtId="0" fontId="5" fillId="3" borderId="10" xfId="0" applyFont="1" applyFill="1" applyBorder="1"/>
    <xf numFmtId="10" fontId="1" fillId="3" borderId="4" xfId="0" applyNumberFormat="1" applyFont="1" applyFill="1" applyBorder="1" applyAlignment="1">
      <alignment horizontal="right"/>
    </xf>
    <xf numFmtId="0" fontId="1" fillId="3" borderId="6" xfId="0" applyFont="1" applyFill="1" applyBorder="1"/>
    <xf numFmtId="0" fontId="1" fillId="0" borderId="31" xfId="0" applyFont="1" applyBorder="1"/>
    <xf numFmtId="181" fontId="0" fillId="0" borderId="31" xfId="0" applyNumberFormat="1" applyBorder="1" applyAlignment="1">
      <alignment vertical="center"/>
    </xf>
    <xf numFmtId="181" fontId="0" fillId="0" borderId="32" xfId="0" applyNumberFormat="1" applyBorder="1" applyAlignment="1">
      <alignment vertical="center"/>
    </xf>
    <xf numFmtId="181" fontId="0" fillId="0" borderId="33" xfId="0" applyNumberFormat="1" applyBorder="1" applyAlignment="1">
      <alignment vertical="center"/>
    </xf>
    <xf numFmtId="0" fontId="5" fillId="0" borderId="30" xfId="0" applyFont="1" applyBorder="1"/>
    <xf numFmtId="0" fontId="5" fillId="0" borderId="14" xfId="0" applyFont="1" applyBorder="1"/>
    <xf numFmtId="0" fontId="0" fillId="0" borderId="40" xfId="0" applyBorder="1" applyAlignment="1">
      <alignment vertical="center"/>
    </xf>
    <xf numFmtId="0" fontId="5" fillId="0" borderId="41" xfId="0" applyFont="1" applyBorder="1"/>
    <xf numFmtId="0" fontId="5" fillId="0" borderId="42" xfId="0" applyFont="1" applyBorder="1"/>
    <xf numFmtId="0" fontId="5" fillId="0" borderId="40" xfId="0" applyFont="1" applyBorder="1"/>
    <xf numFmtId="0" fontId="0" fillId="0" borderId="29" xfId="0" applyBorder="1" applyAlignment="1">
      <alignment vertical="center"/>
    </xf>
    <xf numFmtId="10" fontId="5" fillId="0" borderId="20" xfId="0" applyNumberFormat="1" applyFont="1" applyBorder="1"/>
    <xf numFmtId="0" fontId="5" fillId="0" borderId="29" xfId="0" applyFont="1" applyBorder="1"/>
    <xf numFmtId="0" fontId="0" fillId="0" borderId="43" xfId="0" applyBorder="1" applyAlignment="1">
      <alignment vertical="center"/>
    </xf>
    <xf numFmtId="10" fontId="5" fillId="0" borderId="44" xfId="0" applyNumberFormat="1" applyFont="1" applyBorder="1"/>
    <xf numFmtId="0" fontId="5" fillId="0" borderId="45" xfId="0" applyFont="1" applyBorder="1"/>
    <xf numFmtId="10" fontId="5" fillId="0" borderId="29" xfId="0" applyNumberFormat="1" applyFont="1" applyBorder="1"/>
    <xf numFmtId="10" fontId="5" fillId="0" borderId="43" xfId="0" applyNumberFormat="1" applyFont="1" applyBorder="1"/>
    <xf numFmtId="0" fontId="5" fillId="0" borderId="34" xfId="0" applyFont="1" applyBorder="1"/>
    <xf numFmtId="0" fontId="0" fillId="0" borderId="29" xfId="0" applyBorder="1"/>
    <xf numFmtId="10" fontId="1" fillId="0" borderId="29" xfId="0" applyNumberFormat="1" applyFont="1" applyBorder="1"/>
    <xf numFmtId="0" fontId="6" fillId="0" borderId="34" xfId="0" applyFont="1" applyBorder="1"/>
    <xf numFmtId="0" fontId="6" fillId="0" borderId="40" xfId="0" applyFont="1" applyBorder="1"/>
    <xf numFmtId="10" fontId="1" fillId="0" borderId="36" xfId="0" applyNumberFormat="1" applyFont="1" applyBorder="1"/>
    <xf numFmtId="0" fontId="6" fillId="0" borderId="35" xfId="0" applyFont="1" applyBorder="1"/>
    <xf numFmtId="10" fontId="1" fillId="0" borderId="38" xfId="2" applyNumberFormat="1" applyFont="1" applyBorder="1" applyAlignment="1"/>
    <xf numFmtId="10" fontId="0" fillId="0" borderId="43" xfId="2" applyNumberFormat="1" applyFont="1" applyBorder="1" applyAlignment="1"/>
    <xf numFmtId="10" fontId="1" fillId="0" borderId="43" xfId="2" applyNumberFormat="1" applyFont="1" applyBorder="1" applyAlignment="1"/>
    <xf numFmtId="10" fontId="0" fillId="0" borderId="0" xfId="2" applyNumberFormat="1" applyFont="1" applyAlignment="1"/>
    <xf numFmtId="0" fontId="0" fillId="0" borderId="43" xfId="0" applyBorder="1"/>
    <xf numFmtId="0" fontId="2" fillId="0" borderId="29" xfId="0" applyFont="1" applyBorder="1" applyAlignment="1">
      <alignment horizontal="center"/>
    </xf>
    <xf numFmtId="0" fontId="6" fillId="0" borderId="36" xfId="0" applyFont="1" applyBorder="1"/>
    <xf numFmtId="0" fontId="6" fillId="0" borderId="38" xfId="0" applyFont="1" applyBorder="1"/>
    <xf numFmtId="0" fontId="0" fillId="0" borderId="31" xfId="0" applyBorder="1" applyAlignment="1">
      <alignment vertical="center"/>
    </xf>
    <xf numFmtId="0" fontId="5" fillId="0" borderId="32" xfId="0" applyFont="1" applyBorder="1"/>
    <xf numFmtId="0" fontId="0" fillId="0" borderId="32" xfId="0" applyBorder="1" applyAlignment="1">
      <alignment vertical="center"/>
    </xf>
    <xf numFmtId="15" fontId="15" fillId="0" borderId="0" xfId="0" applyNumberFormat="1" applyFont="1" applyAlignment="1">
      <alignment vertical="center"/>
    </xf>
    <xf numFmtId="4" fontId="15" fillId="0" borderId="0" xfId="0" applyNumberFormat="1" applyFont="1" applyAlignment="1">
      <alignment vertical="center"/>
    </xf>
    <xf numFmtId="0" fontId="1" fillId="0" borderId="18" xfId="0" applyFont="1" applyBorder="1"/>
    <xf numFmtId="0" fontId="1" fillId="0" borderId="19" xfId="0" applyFont="1" applyBorder="1"/>
    <xf numFmtId="0" fontId="1" fillId="0" borderId="35" xfId="0" applyFont="1" applyBorder="1"/>
    <xf numFmtId="10" fontId="1" fillId="0" borderId="37" xfId="0" applyNumberFormat="1" applyFont="1" applyBorder="1"/>
    <xf numFmtId="10" fontId="1" fillId="0" borderId="39" xfId="0" applyNumberFormat="1" applyFont="1" applyBorder="1"/>
    <xf numFmtId="0" fontId="0" fillId="0" borderId="32" xfId="0" applyBorder="1"/>
    <xf numFmtId="0" fontId="0" fillId="0" borderId="33" xfId="0" applyBorder="1"/>
    <xf numFmtId="177" fontId="1" fillId="0" borderId="31" xfId="0" applyNumberFormat="1" applyFont="1" applyBorder="1"/>
    <xf numFmtId="0" fontId="2" fillId="5" borderId="0" xfId="0" applyFont="1" applyFill="1"/>
    <xf numFmtId="10" fontId="1" fillId="5" borderId="26" xfId="0" applyNumberFormat="1" applyFont="1" applyFill="1" applyBorder="1"/>
    <xf numFmtId="0" fontId="1" fillId="5" borderId="27" xfId="0" applyFont="1" applyFill="1" applyBorder="1"/>
    <xf numFmtId="10" fontId="1" fillId="5" borderId="4" xfId="0" applyNumberFormat="1" applyFont="1" applyFill="1" applyBorder="1"/>
    <xf numFmtId="0" fontId="1" fillId="5" borderId="28" xfId="0" applyFont="1" applyFill="1" applyBorder="1"/>
    <xf numFmtId="10" fontId="1" fillId="5" borderId="5" xfId="0" applyNumberFormat="1" applyFont="1" applyFill="1" applyBorder="1"/>
    <xf numFmtId="0" fontId="1" fillId="5" borderId="23" xfId="0" applyFont="1" applyFill="1" applyBorder="1"/>
    <xf numFmtId="10" fontId="1" fillId="5" borderId="24" xfId="0" applyNumberFormat="1" applyFont="1" applyFill="1" applyBorder="1"/>
    <xf numFmtId="1" fontId="1" fillId="6" borderId="18" xfId="0" applyNumberFormat="1" applyFont="1" applyFill="1" applyBorder="1"/>
    <xf numFmtId="1" fontId="1" fillId="6" borderId="21" xfId="0" applyNumberFormat="1" applyFont="1" applyFill="1" applyBorder="1"/>
    <xf numFmtId="10" fontId="1" fillId="7" borderId="19" xfId="0" applyNumberFormat="1" applyFont="1" applyFill="1" applyBorder="1"/>
    <xf numFmtId="10" fontId="1" fillId="7" borderId="20" xfId="0" applyNumberFormat="1" applyFont="1" applyFill="1" applyBorder="1"/>
    <xf numFmtId="10" fontId="1" fillId="7" borderId="22" xfId="0" applyNumberFormat="1" applyFont="1" applyFill="1" applyBorder="1"/>
    <xf numFmtId="4" fontId="16" fillId="0" borderId="34" xfId="0" applyNumberFormat="1" applyFont="1" applyBorder="1" applyAlignment="1">
      <alignment vertical="center"/>
    </xf>
    <xf numFmtId="4" fontId="16" fillId="0" borderId="36" xfId="0" applyNumberFormat="1" applyFont="1" applyBorder="1" applyAlignment="1">
      <alignment vertical="center"/>
    </xf>
    <xf numFmtId="4" fontId="16" fillId="0" borderId="38" xfId="0" applyNumberFormat="1" applyFont="1" applyBorder="1" applyAlignment="1">
      <alignment vertical="center"/>
    </xf>
    <xf numFmtId="0" fontId="13" fillId="5" borderId="0" xfId="1" applyFill="1"/>
    <xf numFmtId="0" fontId="17" fillId="0" borderId="34" xfId="0" applyFont="1" applyBorder="1"/>
    <xf numFmtId="0" fontId="17" fillId="0" borderId="36" xfId="0" applyFont="1" applyBorder="1"/>
    <xf numFmtId="0" fontId="17" fillId="0" borderId="38" xfId="0" applyFont="1" applyBorder="1"/>
    <xf numFmtId="0" fontId="2" fillId="0" borderId="46" xfId="0" applyFont="1" applyBorder="1" applyAlignment="1">
      <alignment horizontal="center"/>
    </xf>
    <xf numFmtId="0" fontId="2" fillId="0" borderId="29" xfId="0" applyFont="1" applyBorder="1"/>
    <xf numFmtId="9" fontId="1" fillId="0" borderId="29" xfId="0" applyNumberFormat="1" applyFont="1" applyBorder="1"/>
    <xf numFmtId="0" fontId="18" fillId="8" borderId="29" xfId="0" applyFont="1" applyFill="1" applyBorder="1"/>
    <xf numFmtId="10" fontId="18" fillId="8" borderId="29" xfId="0" applyNumberFormat="1" applyFont="1" applyFill="1" applyBorder="1"/>
    <xf numFmtId="0" fontId="0" fillId="8" borderId="0" xfId="0" applyFill="1"/>
    <xf numFmtId="2" fontId="2" fillId="8" borderId="0" xfId="0" applyNumberFormat="1" applyFont="1" applyFill="1"/>
    <xf numFmtId="0" fontId="19" fillId="0" borderId="0" xfId="0" applyFont="1"/>
    <xf numFmtId="178" fontId="5" fillId="0" borderId="47" xfId="0" applyNumberFormat="1" applyFont="1" applyBorder="1"/>
    <xf numFmtId="0" fontId="5" fillId="0" borderId="48" xfId="0" applyFont="1" applyBorder="1"/>
    <xf numFmtId="179" fontId="1" fillId="0" borderId="49" xfId="0" applyNumberFormat="1" applyFont="1" applyBorder="1"/>
    <xf numFmtId="0" fontId="5" fillId="0" borderId="51" xfId="0" applyFont="1" applyBorder="1"/>
    <xf numFmtId="179" fontId="1" fillId="0" borderId="52" xfId="0" applyNumberFormat="1" applyFont="1" applyBorder="1"/>
    <xf numFmtId="10" fontId="1" fillId="0" borderId="50" xfId="0" applyNumberFormat="1" applyFont="1" applyBorder="1"/>
    <xf numFmtId="10" fontId="1" fillId="0" borderId="2" xfId="2" applyNumberFormat="1" applyFont="1" applyBorder="1" applyAlignment="1"/>
    <xf numFmtId="10" fontId="1" fillId="0" borderId="12" xfId="2" applyNumberFormat="1" applyFont="1" applyBorder="1" applyAlignment="1"/>
    <xf numFmtId="0" fontId="20" fillId="0" borderId="0" xfId="0" applyFont="1"/>
    <xf numFmtId="0" fontId="18" fillId="0" borderId="0" xfId="0" applyFont="1"/>
    <xf numFmtId="0" fontId="21" fillId="0" borderId="0" xfId="1" applyFont="1" applyFill="1"/>
    <xf numFmtId="0" fontId="21" fillId="0" borderId="0" xfId="1" applyFont="1" applyFill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0" fontId="1" fillId="0" borderId="20" xfId="0" applyNumberFormat="1" applyFont="1" applyBorder="1"/>
    <xf numFmtId="177" fontId="1" fillId="0" borderId="20" xfId="0" applyNumberFormat="1" applyFont="1" applyBorder="1"/>
    <xf numFmtId="2" fontId="1" fillId="0" borderId="21" xfId="0" applyNumberFormat="1" applyFont="1" applyBorder="1"/>
    <xf numFmtId="0" fontId="1" fillId="0" borderId="22" xfId="0" applyFont="1" applyBorder="1"/>
    <xf numFmtId="2" fontId="1" fillId="0" borderId="22" xfId="0" applyNumberFormat="1" applyFont="1" applyBorder="1"/>
    <xf numFmtId="177" fontId="1" fillId="0" borderId="29" xfId="0" applyNumberFormat="1" applyFont="1" applyBorder="1"/>
    <xf numFmtId="0" fontId="0" fillId="0" borderId="34" xfId="0" applyBorder="1"/>
    <xf numFmtId="2" fontId="1" fillId="0" borderId="37" xfId="0" applyNumberFormat="1" applyFont="1" applyBorder="1"/>
    <xf numFmtId="10" fontId="1" fillId="0" borderId="43" xfId="0" applyNumberFormat="1" applyFont="1" applyBorder="1"/>
    <xf numFmtId="177" fontId="1" fillId="0" borderId="43" xfId="0" applyNumberFormat="1" applyFont="1" applyBorder="1"/>
    <xf numFmtId="2" fontId="1" fillId="0" borderId="39" xfId="0" applyNumberFormat="1" applyFont="1" applyBorder="1"/>
    <xf numFmtId="0" fontId="1" fillId="0" borderId="1" xfId="0" applyFont="1" applyBorder="1"/>
    <xf numFmtId="0" fontId="1" fillId="0" borderId="24" xfId="0" applyFont="1" applyBorder="1"/>
    <xf numFmtId="0" fontId="1" fillId="0" borderId="26" xfId="0" applyFont="1" applyBorder="1"/>
    <xf numFmtId="10" fontId="1" fillId="0" borderId="4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29" xfId="0" applyFont="1" applyFill="1" applyBorder="1"/>
    <xf numFmtId="0" fontId="1" fillId="3" borderId="29" xfId="0" applyFont="1" applyFill="1" applyBorder="1" applyAlignment="1">
      <alignment horizontal="right"/>
    </xf>
    <xf numFmtId="0" fontId="1" fillId="3" borderId="4" xfId="0" applyFont="1" applyFill="1" applyBorder="1"/>
    <xf numFmtId="10" fontId="1" fillId="3" borderId="5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17" xfId="0" applyFont="1" applyFill="1" applyBorder="1"/>
    <xf numFmtId="0" fontId="1" fillId="3" borderId="33" xfId="0" applyFont="1" applyFill="1" applyBorder="1"/>
    <xf numFmtId="0" fontId="1" fillId="0" borderId="5" xfId="0" applyFont="1" applyBorder="1"/>
    <xf numFmtId="0" fontId="1" fillId="0" borderId="29" xfId="0" applyFont="1" applyBorder="1" applyAlignment="1">
      <alignment horizontal="right"/>
    </xf>
    <xf numFmtId="0" fontId="1" fillId="9" borderId="29" xfId="0" applyFont="1" applyFill="1" applyBorder="1"/>
    <xf numFmtId="0" fontId="1" fillId="2" borderId="29" xfId="0" applyFont="1" applyFill="1" applyBorder="1"/>
    <xf numFmtId="1" fontId="1" fillId="6" borderId="29" xfId="0" applyNumberFormat="1" applyFont="1" applyFill="1" applyBorder="1"/>
    <xf numFmtId="0" fontId="1" fillId="6" borderId="29" xfId="0" applyFont="1" applyFill="1" applyBorder="1"/>
    <xf numFmtId="0" fontId="1" fillId="7" borderId="29" xfId="0" applyFont="1" applyFill="1" applyBorder="1"/>
    <xf numFmtId="0" fontId="8" fillId="0" borderId="0" xfId="0" applyFont="1"/>
    <xf numFmtId="10" fontId="1" fillId="0" borderId="22" xfId="0" applyNumberFormat="1" applyFont="1" applyBorder="1"/>
    <xf numFmtId="9" fontId="1" fillId="0" borderId="20" xfId="0" applyNumberFormat="1" applyFont="1" applyBorder="1"/>
    <xf numFmtId="0" fontId="1" fillId="0" borderId="20" xfId="0" applyFont="1" applyBorder="1"/>
    <xf numFmtId="10" fontId="1" fillId="0" borderId="20" xfId="2" applyNumberFormat="1" applyFont="1" applyBorder="1" applyAlignment="1"/>
    <xf numFmtId="10" fontId="1" fillId="0" borderId="21" xfId="0" applyNumberFormat="1" applyFont="1" applyBorder="1"/>
    <xf numFmtId="0" fontId="1" fillId="5" borderId="7" xfId="0" applyFont="1" applyFill="1" applyBorder="1" applyAlignment="1">
      <alignment horizontal="center"/>
    </xf>
    <xf numFmtId="0" fontId="4" fillId="5" borderId="9" xfId="0" applyFont="1" applyFill="1" applyBorder="1"/>
    <xf numFmtId="0" fontId="3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5" fillId="3" borderId="7" xfId="0" applyFont="1" applyFill="1" applyBorder="1" applyAlignment="1">
      <alignment horizontal="center"/>
    </xf>
    <xf numFmtId="0" fontId="4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0" fillId="4" borderId="29" xfId="0" applyFill="1" applyBorder="1"/>
    <xf numFmtId="0" fontId="5" fillId="4" borderId="14" xfId="0" applyFont="1" applyFill="1" applyBorder="1" applyAlignment="1">
      <alignment horizontal="center"/>
    </xf>
    <xf numFmtId="0" fontId="4" fillId="4" borderId="19" xfId="0" applyFont="1" applyFill="1" applyBorder="1"/>
    <xf numFmtId="0" fontId="1" fillId="0" borderId="23" xfId="0" applyFont="1" applyBorder="1" applyAlignment="1">
      <alignment horizontal="center"/>
    </xf>
    <xf numFmtId="0" fontId="4" fillId="0" borderId="24" xfId="0" applyFont="1" applyBorder="1"/>
    <xf numFmtId="0" fontId="10" fillId="0" borderId="0" xfId="0" applyFont="1" applyAlignment="1">
      <alignment horizontal="center"/>
    </xf>
    <xf numFmtId="0" fontId="0" fillId="0" borderId="0" xfId="0"/>
    <xf numFmtId="0" fontId="1" fillId="0" borderId="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4" fillId="0" borderId="18" xfId="0" applyFont="1" applyBorder="1"/>
    <xf numFmtId="0" fontId="4" fillId="0" borderId="19" xfId="0" applyFont="1" applyBorder="1"/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Weights in Global Minimum Variance Portfolio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pattFill prst="narHorz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5B1B-F04F-A5DC-863BA2E7D231}"/>
              </c:ext>
            </c:extLst>
          </c:dPt>
          <c:dPt>
            <c:idx val="1"/>
            <c:invertIfNegative val="1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5B1B-F04F-A5DC-863BA2E7D231}"/>
              </c:ext>
            </c:extLst>
          </c:dPt>
          <c:dPt>
            <c:idx val="2"/>
            <c:invertIfNegative val="1"/>
            <c:bubble3D val="0"/>
            <c:spPr>
              <a:pattFill prst="narHorz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5B1B-F04F-A5DC-863BA2E7D231}"/>
              </c:ext>
            </c:extLst>
          </c:dPt>
          <c:dPt>
            <c:idx val="3"/>
            <c:invertIfNegative val="1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5B1B-F04F-A5DC-863BA2E7D231}"/>
              </c:ext>
            </c:extLst>
          </c:dPt>
          <c:dPt>
            <c:idx val="4"/>
            <c:invertIfNegative val="1"/>
            <c:bubble3D val="0"/>
            <c:spPr>
              <a:pattFill prst="narHorz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5B1B-F04F-A5DC-863BA2E7D231}"/>
              </c:ext>
            </c:extLst>
          </c:dPt>
          <c:dPt>
            <c:idx val="5"/>
            <c:invertIfNegative val="1"/>
            <c:bubble3D val="0"/>
            <c:spPr>
              <a:pattFill prst="narHorz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5B1B-F04F-A5DC-863BA2E7D231}"/>
              </c:ext>
            </c:extLst>
          </c:dPt>
          <c:dPt>
            <c:idx val="6"/>
            <c:invertIfNegative val="1"/>
            <c:bubble3D val="0"/>
            <c:spPr>
              <a:pattFill prst="narHorz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5B1B-F04F-A5DC-863BA2E7D231}"/>
              </c:ext>
            </c:extLst>
          </c:dPt>
          <c:dPt>
            <c:idx val="7"/>
            <c:invertIfNegative val="1"/>
            <c:bubble3D val="0"/>
            <c:spPr>
              <a:pattFill prst="narHorz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5B1B-F04F-A5DC-863BA2E7D231}"/>
              </c:ext>
            </c:extLst>
          </c:dPt>
          <c:dPt>
            <c:idx val="8"/>
            <c:invertIfNegative val="1"/>
            <c:bubble3D val="0"/>
            <c:spPr>
              <a:pattFill prst="narHorz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1-5B1B-F04F-A5DC-863BA2E7D231}"/>
              </c:ext>
            </c:extLst>
          </c:dPt>
          <c:dPt>
            <c:idx val="9"/>
            <c:invertIfNegative val="1"/>
            <c:bubble3D val="0"/>
            <c:spPr>
              <a:pattFill prst="narHorz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3-5B1B-F04F-A5DC-863BA2E7D231}"/>
              </c:ext>
            </c:extLst>
          </c:dPt>
          <c:dPt>
            <c:idx val="10"/>
            <c:invertIfNegative val="1"/>
            <c:bubble3D val="0"/>
            <c:spPr>
              <a:pattFill prst="narHorz">
                <a:fgClr>
                  <a:schemeClr val="accent5">
                    <a:lumMod val="60000"/>
                  </a:schemeClr>
                </a:fgClr>
                <a:bgClr>
                  <a:schemeClr val="accent5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5-5B1B-F04F-A5DC-863BA2E7D231}"/>
              </c:ext>
            </c:extLst>
          </c:dPt>
          <c:dPt>
            <c:idx val="11"/>
            <c:invertIfNegative val="1"/>
            <c:bubble3D val="0"/>
            <c:spPr>
              <a:pattFill prst="narHorz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6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7-5B1B-F04F-A5DC-863BA2E7D231}"/>
              </c:ext>
            </c:extLst>
          </c:dPt>
          <c:dPt>
            <c:idx val="12"/>
            <c:invertIfNegative val="1"/>
            <c:bubble3D val="0"/>
            <c:spPr>
              <a:pattFill prst="narHorz">
                <a:fgClr>
                  <a:schemeClr val="accent1">
                    <a:lumMod val="80000"/>
                    <a:lumOff val="20000"/>
                  </a:schemeClr>
                </a:fgClr>
                <a:bgClr>
                  <a:schemeClr val="accent1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9-5B1B-F04F-A5DC-863BA2E7D231}"/>
              </c:ext>
            </c:extLst>
          </c:dPt>
          <c:dPt>
            <c:idx val="13"/>
            <c:invertIfNegative val="1"/>
            <c:bubble3D val="0"/>
            <c:spPr>
              <a:pattFill prst="narHorz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B-5B1B-F04F-A5DC-863BA2E7D231}"/>
              </c:ext>
            </c:extLst>
          </c:dPt>
          <c:dPt>
            <c:idx val="14"/>
            <c:invertIfNegative val="1"/>
            <c:bubble3D val="0"/>
            <c:spPr>
              <a:pattFill prst="narHorz">
                <a:fgClr>
                  <a:schemeClr val="accent3">
                    <a:lumMod val="80000"/>
                    <a:lumOff val="20000"/>
                  </a:schemeClr>
                </a:fgClr>
                <a:bgClr>
                  <a:schemeClr val="accent3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D-5B1B-F04F-A5DC-863BA2E7D231}"/>
              </c:ext>
            </c:extLst>
          </c:dPt>
          <c:dPt>
            <c:idx val="15"/>
            <c:invertIfNegative val="1"/>
            <c:bubble3D val="0"/>
            <c:spPr>
              <a:pattFill prst="narHorz">
                <a:fgClr>
                  <a:schemeClr val="accent4">
                    <a:lumMod val="80000"/>
                    <a:lumOff val="20000"/>
                  </a:schemeClr>
                </a:fgClr>
                <a:bgClr>
                  <a:schemeClr val="accent4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F-5B1B-F04F-A5DC-863BA2E7D231}"/>
              </c:ext>
            </c:extLst>
          </c:dPt>
          <c:dPt>
            <c:idx val="16"/>
            <c:invertIfNegative val="1"/>
            <c:bubble3D val="0"/>
            <c:spPr>
              <a:pattFill prst="narHorz">
                <a:fgClr>
                  <a:schemeClr val="accent5">
                    <a:lumMod val="80000"/>
                    <a:lumOff val="20000"/>
                  </a:schemeClr>
                </a:fgClr>
                <a:bgClr>
                  <a:schemeClr val="accent5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1-5B1B-F04F-A5DC-863BA2E7D231}"/>
              </c:ext>
            </c:extLst>
          </c:dPt>
          <c:dPt>
            <c:idx val="17"/>
            <c:invertIfNegative val="1"/>
            <c:bubble3D val="0"/>
            <c:spPr>
              <a:pattFill prst="narHorz">
                <a:fgClr>
                  <a:schemeClr val="accent6">
                    <a:lumMod val="80000"/>
                    <a:lumOff val="20000"/>
                  </a:schemeClr>
                </a:fgClr>
                <a:bgClr>
                  <a:schemeClr val="accent6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6">
                    <a:lumMod val="80000"/>
                    <a:lumOff val="2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3-5B1B-F04F-A5DC-863BA2E7D231}"/>
              </c:ext>
            </c:extLst>
          </c:dPt>
          <c:dPt>
            <c:idx val="18"/>
            <c:invertIfNegative val="1"/>
            <c:bubble3D val="0"/>
            <c:spPr>
              <a:pattFill prst="narHorz">
                <a:fgClr>
                  <a:schemeClr val="accent1">
                    <a:lumMod val="80000"/>
                  </a:schemeClr>
                </a:fgClr>
                <a:bgClr>
                  <a:schemeClr val="accent1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5-5B1B-F04F-A5DC-863BA2E7D231}"/>
              </c:ext>
            </c:extLst>
          </c:dPt>
          <c:dPt>
            <c:idx val="19"/>
            <c:invertIfNegative val="1"/>
            <c:bubble3D val="0"/>
            <c:spPr>
              <a:pattFill prst="narHorz">
                <a:fgClr>
                  <a:schemeClr val="accent2">
                    <a:lumMod val="80000"/>
                  </a:schemeClr>
                </a:fgClr>
                <a:bgClr>
                  <a:schemeClr val="accent2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7-5B1B-F04F-A5DC-863BA2E7D231}"/>
              </c:ext>
            </c:extLst>
          </c:dPt>
          <c:dPt>
            <c:idx val="20"/>
            <c:invertIfNegative val="1"/>
            <c:bubble3D val="0"/>
            <c:spPr>
              <a:pattFill prst="narHorz">
                <a:fgClr>
                  <a:schemeClr val="accent3">
                    <a:lumMod val="80000"/>
                  </a:schemeClr>
                </a:fgClr>
                <a:bgClr>
                  <a:schemeClr val="accent3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9-5B1B-F04F-A5DC-863BA2E7D231}"/>
              </c:ext>
            </c:extLst>
          </c:dPt>
          <c:dPt>
            <c:idx val="21"/>
            <c:invertIfNegative val="1"/>
            <c:bubble3D val="0"/>
            <c:spPr>
              <a:pattFill prst="narHorz">
                <a:fgClr>
                  <a:schemeClr val="accent4">
                    <a:lumMod val="80000"/>
                  </a:schemeClr>
                </a:fgClr>
                <a:bgClr>
                  <a:schemeClr val="accent4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B-5B1B-F04F-A5DC-863BA2E7D231}"/>
              </c:ext>
            </c:extLst>
          </c:dPt>
          <c:dPt>
            <c:idx val="22"/>
            <c:invertIfNegative val="1"/>
            <c:bubble3D val="0"/>
            <c:spPr>
              <a:pattFill prst="narHorz">
                <a:fgClr>
                  <a:schemeClr val="accent5">
                    <a:lumMod val="80000"/>
                  </a:schemeClr>
                </a:fgClr>
                <a:bgClr>
                  <a:schemeClr val="accent5">
                    <a:lumMod val="8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>
                    <a:lumMod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2D-5B1B-F04F-A5DC-863BA2E7D2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'V. MVP'!$A$4:$A$26</c:f>
              <c:strCache>
                <c:ptCount val="23"/>
                <c:pt idx="0">
                  <c:v>Altria Group Inc</c:v>
                </c:pt>
                <c:pt idx="1">
                  <c:v>The Coca-Cola Co</c:v>
                </c:pt>
                <c:pt idx="2">
                  <c:v>Colgate-Palmolive Co</c:v>
                </c:pt>
                <c:pt idx="3">
                  <c:v>Monster Beverage Corp</c:v>
                </c:pt>
                <c:pt idx="4">
                  <c:v>PepsiCo Inc</c:v>
                </c:pt>
                <c:pt idx="5">
                  <c:v>LVMH (MC.PA)</c:v>
                </c:pt>
                <c:pt idx="6">
                  <c:v>Moody's Corporation (MCO)</c:v>
                </c:pt>
                <c:pt idx="7">
                  <c:v>Tesla Inc</c:v>
                </c:pt>
                <c:pt idx="8">
                  <c:v>Ecolab Inc</c:v>
                </c:pt>
                <c:pt idx="9">
                  <c:v>NVIDIA</c:v>
                </c:pt>
                <c:pt idx="10">
                  <c:v>Ebay</c:v>
                </c:pt>
                <c:pt idx="11">
                  <c:v>Apple</c:v>
                </c:pt>
                <c:pt idx="12">
                  <c:v>Tractor Supply Co</c:v>
                </c:pt>
                <c:pt idx="13">
                  <c:v>Airbus SE (AIR.PA)</c:v>
                </c:pt>
                <c:pt idx="14">
                  <c:v>Deere &amp; Company (DE)</c:v>
                </c:pt>
                <c:pt idx="15">
                  <c:v>Gilead sciences</c:v>
                </c:pt>
                <c:pt idx="16">
                  <c:v>International Business Machines Corp</c:v>
                </c:pt>
                <c:pt idx="17">
                  <c:v>Microsoft Corp</c:v>
                </c:pt>
                <c:pt idx="18">
                  <c:v>General Mills, Inc. (GIS)</c:v>
                </c:pt>
                <c:pt idx="19">
                  <c:v>Regeneron Pharmaceuticals, Inc. (REGN)</c:v>
                </c:pt>
                <c:pt idx="20">
                  <c:v>WisdomTree Natural Gas (NGAS)</c:v>
                </c:pt>
                <c:pt idx="21">
                  <c:v>Amundi MSCI Emerging Markets UCITS (AEEM)</c:v>
                </c:pt>
                <c:pt idx="22">
                  <c:v>Lyxor UCITS FTSE EPRA/NAREIT Developed Europe D-EUR (MEH)</c:v>
                </c:pt>
              </c:strCache>
            </c:strRef>
          </c:cat>
          <c:val>
            <c:numRef>
              <c:f>'V. MVP'!$D$4:$D$26</c:f>
              <c:numCache>
                <c:formatCode>0.00%</c:formatCode>
                <c:ptCount val="23"/>
                <c:pt idx="0">
                  <c:v>4.9000000000000009E-2</c:v>
                </c:pt>
                <c:pt idx="1">
                  <c:v>9.9999999999999985E-3</c:v>
                </c:pt>
                <c:pt idx="2">
                  <c:v>4.9000000000000002E-2</c:v>
                </c:pt>
                <c:pt idx="3">
                  <c:v>3.8509466586417268E-2</c:v>
                </c:pt>
                <c:pt idx="4">
                  <c:v>4.9000000000000002E-2</c:v>
                </c:pt>
                <c:pt idx="5">
                  <c:v>4.9000000000000009E-2</c:v>
                </c:pt>
                <c:pt idx="6">
                  <c:v>1.0000000000000002E-2</c:v>
                </c:pt>
                <c:pt idx="7">
                  <c:v>1.2253697404767979E-2</c:v>
                </c:pt>
                <c:pt idx="8">
                  <c:v>4.9000000000000002E-2</c:v>
                </c:pt>
                <c:pt idx="9">
                  <c:v>0.01</c:v>
                </c:pt>
                <c:pt idx="10">
                  <c:v>0.01</c:v>
                </c:pt>
                <c:pt idx="11">
                  <c:v>4.9000000000000009E-2</c:v>
                </c:pt>
                <c:pt idx="12">
                  <c:v>4.9000000000000002E-2</c:v>
                </c:pt>
                <c:pt idx="13">
                  <c:v>0.01</c:v>
                </c:pt>
                <c:pt idx="14">
                  <c:v>0.01</c:v>
                </c:pt>
                <c:pt idx="15">
                  <c:v>3.8865359437516421E-2</c:v>
                </c:pt>
                <c:pt idx="16">
                  <c:v>1.337221104954415E-2</c:v>
                </c:pt>
                <c:pt idx="17">
                  <c:v>4.9000000000000002E-2</c:v>
                </c:pt>
                <c:pt idx="18">
                  <c:v>4.9000000000000009E-2</c:v>
                </c:pt>
                <c:pt idx="19">
                  <c:v>4.9000000000000002E-2</c:v>
                </c:pt>
                <c:pt idx="20">
                  <c:v>4.9000000000000002E-2</c:v>
                </c:pt>
                <c:pt idx="21">
                  <c:v>4.9000000000000009E-2</c:v>
                </c:pt>
                <c:pt idx="22">
                  <c:v>4.9000000000000009E-2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1-154A-98EB-A4D3EC25BE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axId val="557952541"/>
        <c:axId val="849506575"/>
      </c:barChart>
      <c:catAx>
        <c:axId val="55795254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9506575"/>
        <c:crosses val="autoZero"/>
        <c:auto val="1"/>
        <c:lblAlgn val="ctr"/>
        <c:lblOffset val="100"/>
        <c:noMultiLvlLbl val="1"/>
      </c:catAx>
      <c:valAx>
        <c:axId val="84950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95254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Composition du 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E495-4640-AEDE-E2701596031B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E495-4640-AEDE-E2701596031B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E495-4640-AEDE-E270159603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'V. MVP'!$F$7:$F$9</c:f>
              <c:strCache>
                <c:ptCount val="3"/>
                <c:pt idx="0">
                  <c:v>Action</c:v>
                </c:pt>
                <c:pt idx="1">
                  <c:v>ETF</c:v>
                </c:pt>
                <c:pt idx="2">
                  <c:v>Obligation</c:v>
                </c:pt>
              </c:strCache>
            </c:strRef>
          </c:cat>
          <c:val>
            <c:numRef>
              <c:f>'V. MVP'!$G$7:$G$9</c:f>
              <c:numCache>
                <c:formatCode>0.00%</c:formatCode>
                <c:ptCount val="3"/>
                <c:pt idx="0">
                  <c:v>0.65300073447824591</c:v>
                </c:pt>
                <c:pt idx="1">
                  <c:v>0.14700000000000002</c:v>
                </c:pt>
                <c:pt idx="2">
                  <c:v>0.20000011744643639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95-4640-AEDE-E27015960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Secteur des 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pattFill prst="narVert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9440-144E-AFC6-69637AEECC3D}"/>
              </c:ext>
            </c:extLst>
          </c:dPt>
          <c:dPt>
            <c:idx val="1"/>
            <c:invertIfNegative val="1"/>
            <c:bubble3D val="0"/>
            <c:spPr>
              <a:pattFill prst="narVert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9440-144E-AFC6-69637AEECC3D}"/>
              </c:ext>
            </c:extLst>
          </c:dPt>
          <c:dPt>
            <c:idx val="2"/>
            <c:invertIfNegative val="1"/>
            <c:bubble3D val="0"/>
            <c:spPr>
              <a:pattFill prst="narVert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9440-144E-AFC6-69637AEECC3D}"/>
              </c:ext>
            </c:extLst>
          </c:dPt>
          <c:dPt>
            <c:idx val="3"/>
            <c:invertIfNegative val="1"/>
            <c:bubble3D val="0"/>
            <c:spPr>
              <a:pattFill prst="narVert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9440-144E-AFC6-69637AEECC3D}"/>
              </c:ext>
            </c:extLst>
          </c:dPt>
          <c:dPt>
            <c:idx val="4"/>
            <c:invertIfNegative val="1"/>
            <c:bubble3D val="0"/>
            <c:spPr>
              <a:pattFill prst="narVert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9440-144E-AFC6-69637AEECC3D}"/>
              </c:ext>
            </c:extLst>
          </c:dPt>
          <c:dPt>
            <c:idx val="5"/>
            <c:invertIfNegative val="1"/>
            <c:bubble3D val="0"/>
            <c:spPr>
              <a:pattFill prst="narVert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9440-144E-AFC6-69637AEECC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'V. MVP'!$F$12:$F$16</c:f>
              <c:strCache>
                <c:ptCount val="5"/>
                <c:pt idx="0">
                  <c:v>Consommation</c:v>
                </c:pt>
                <c:pt idx="1">
                  <c:v>Thenology</c:v>
                </c:pt>
                <c:pt idx="2">
                  <c:v>Industrie</c:v>
                </c:pt>
                <c:pt idx="3">
                  <c:v>Santé</c:v>
                </c:pt>
                <c:pt idx="4">
                  <c:v>Finance</c:v>
                </c:pt>
              </c:strCache>
            </c:strRef>
          </c:cat>
          <c:val>
            <c:numRef>
              <c:f>'V. MVP'!$G$12:$G$16</c:f>
              <c:numCache>
                <c:formatCode>0.00%</c:formatCode>
                <c:ptCount val="5"/>
                <c:pt idx="0">
                  <c:v>0.2935094665864173</c:v>
                </c:pt>
                <c:pt idx="1">
                  <c:v>0.13137221104954416</c:v>
                </c:pt>
                <c:pt idx="2">
                  <c:v>0.13025369740476797</c:v>
                </c:pt>
                <c:pt idx="3">
                  <c:v>8.7865359437516416E-2</c:v>
                </c:pt>
                <c:pt idx="4">
                  <c:v>1.0000000000000002E-2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40-144E-AFC6-69637AEEC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33284469"/>
        <c:axId val="2087447337"/>
      </c:barChart>
      <c:catAx>
        <c:axId val="63328446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447337"/>
        <c:crosses val="autoZero"/>
        <c:auto val="1"/>
        <c:lblAlgn val="ctr"/>
        <c:lblOffset val="100"/>
        <c:noMultiLvlLbl val="1"/>
      </c:catAx>
      <c:valAx>
        <c:axId val="208744733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28446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280458</xdr:colOff>
      <xdr:row>30</xdr:row>
      <xdr:rowOff>115783</xdr:rowOff>
    </xdr:from>
    <xdr:ext cx="6201834" cy="4043045"/>
    <xdr:graphicFrame macro="">
      <xdr:nvGraphicFramePr>
        <xdr:cNvPr id="1968317091" name="Chart 1">
          <a:extLst>
            <a:ext uri="{FF2B5EF4-FFF2-40B4-BE49-F238E27FC236}">
              <a16:creationId xmlns:a16="http://schemas.microsoft.com/office/drawing/2014/main" id="{00000000-0008-0000-0500-0000A3225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317500</xdr:colOff>
      <xdr:row>8</xdr:row>
      <xdr:rowOff>169335</xdr:rowOff>
    </xdr:from>
    <xdr:ext cx="4423833" cy="2920999"/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CC172E41-1F09-3C4B-903C-965E2B7F0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10584</xdr:colOff>
      <xdr:row>25</xdr:row>
      <xdr:rowOff>127000</xdr:rowOff>
    </xdr:from>
    <xdr:ext cx="4286250" cy="2609850"/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33B8AA72-F0BC-854D-B27F-05B07F3C2BC1}"/>
            </a:ext>
            <a:ext uri="{147F2762-F138-4A5C-976F-8EAC2B608ADB}">
              <a16:predDERef xmlns:a16="http://schemas.microsoft.com/office/drawing/2014/main" pred="{00000000-0008-0000-0800-0000AC120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hares.com/us/products/239725/ishares-sp-500-growth-etf" TargetMode="External"/><Relationship Id="rId2" Type="http://schemas.openxmlformats.org/officeDocument/2006/relationships/hyperlink" Target="https://www.morningstar.com/stocks" TargetMode="External"/><Relationship Id="rId1" Type="http://schemas.openxmlformats.org/officeDocument/2006/relationships/hyperlink" Target="https://fr.finance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zoomScale="110" workbookViewId="0">
      <selection activeCell="A9" sqref="A9"/>
    </sheetView>
  </sheetViews>
  <sheetFormatPr baseColWidth="10" defaultColWidth="14.5" defaultRowHeight="15" customHeight="1" x14ac:dyDescent="0.2"/>
  <cols>
    <col min="1" max="1" width="37" customWidth="1"/>
    <col min="2" max="2" width="12.83203125" customWidth="1"/>
    <col min="3" max="3" width="12.33203125" customWidth="1"/>
    <col min="4" max="4" width="16.1640625" customWidth="1"/>
    <col min="5" max="5" width="14.33203125" customWidth="1"/>
    <col min="6" max="6" width="26" customWidth="1"/>
    <col min="7" max="25" width="10.6640625" customWidth="1"/>
  </cols>
  <sheetData>
    <row r="1" spans="1:6" ht="14.25" customHeight="1" x14ac:dyDescent="0.2">
      <c r="A1" s="161" t="s">
        <v>0</v>
      </c>
      <c r="B1" s="162" t="s">
        <v>1</v>
      </c>
      <c r="C1" s="162" t="s">
        <v>2</v>
      </c>
      <c r="D1" s="44" t="s">
        <v>3</v>
      </c>
      <c r="E1" s="163" t="s">
        <v>4</v>
      </c>
      <c r="F1" s="162" t="s">
        <v>5</v>
      </c>
    </row>
    <row r="2" spans="1:6" ht="14.25" customHeight="1" x14ac:dyDescent="0.2">
      <c r="A2" s="42" t="s">
        <v>6</v>
      </c>
      <c r="B2" s="164">
        <v>0.25330000000000003</v>
      </c>
      <c r="C2" s="165">
        <v>24</v>
      </c>
      <c r="D2" s="39">
        <v>4</v>
      </c>
      <c r="E2" s="62" t="s">
        <v>7</v>
      </c>
      <c r="F2" s="47" t="s">
        <v>8</v>
      </c>
    </row>
    <row r="3" spans="1:6" ht="14.25" customHeight="1" x14ac:dyDescent="0.2">
      <c r="A3" s="42" t="s">
        <v>9</v>
      </c>
      <c r="B3" s="166" t="s">
        <v>10</v>
      </c>
      <c r="C3" s="166">
        <v>15</v>
      </c>
      <c r="D3" s="39">
        <v>2</v>
      </c>
      <c r="E3" s="40" t="s">
        <v>7</v>
      </c>
      <c r="F3" s="47" t="s">
        <v>8</v>
      </c>
    </row>
    <row r="4" spans="1:6" ht="14.25" customHeight="1" x14ac:dyDescent="0.2">
      <c r="A4" s="42" t="s">
        <v>11</v>
      </c>
      <c r="B4" s="164">
        <v>6.8000000000000005E-2</v>
      </c>
      <c r="C4" s="166">
        <v>24</v>
      </c>
      <c r="D4" s="39">
        <v>3</v>
      </c>
      <c r="E4" s="40" t="s">
        <v>12</v>
      </c>
      <c r="F4" s="47" t="s">
        <v>13</v>
      </c>
    </row>
    <row r="5" spans="1:6" ht="14.25" customHeight="1" x14ac:dyDescent="0.2">
      <c r="A5" s="56" t="s">
        <v>14</v>
      </c>
      <c r="B5" s="167" t="s">
        <v>15</v>
      </c>
      <c r="C5" s="167">
        <v>24</v>
      </c>
      <c r="D5" s="168">
        <v>2</v>
      </c>
      <c r="E5" s="57" t="s">
        <v>16</v>
      </c>
      <c r="F5" s="47" t="s">
        <v>17</v>
      </c>
    </row>
    <row r="6" spans="1:6" ht="14.25" customHeight="1" x14ac:dyDescent="0.2">
      <c r="A6" s="42" t="s">
        <v>18</v>
      </c>
      <c r="B6" s="164">
        <v>0.12529999999999999</v>
      </c>
      <c r="C6" s="166">
        <v>30</v>
      </c>
      <c r="D6" s="39">
        <v>3</v>
      </c>
      <c r="E6" s="40" t="s">
        <v>7</v>
      </c>
      <c r="F6" s="47" t="s">
        <v>17</v>
      </c>
    </row>
    <row r="7" spans="1:6" ht="14.25" customHeight="1" x14ac:dyDescent="0.2">
      <c r="A7" s="56" t="s">
        <v>19</v>
      </c>
      <c r="B7" s="60">
        <v>0.41220000000000001</v>
      </c>
      <c r="C7" s="167">
        <v>23</v>
      </c>
      <c r="D7" s="169">
        <v>3</v>
      </c>
      <c r="E7" s="58" t="s">
        <v>20</v>
      </c>
      <c r="F7" s="47" t="s">
        <v>17</v>
      </c>
    </row>
    <row r="8" spans="1:6" ht="14.25" customHeight="1" x14ac:dyDescent="0.2">
      <c r="A8" s="56" t="s">
        <v>21</v>
      </c>
      <c r="B8" s="60">
        <v>2.3824000000000001</v>
      </c>
      <c r="C8" s="167">
        <v>22</v>
      </c>
      <c r="D8" s="168">
        <v>3</v>
      </c>
      <c r="E8" s="58" t="s">
        <v>20</v>
      </c>
      <c r="F8" s="47" t="s">
        <v>17</v>
      </c>
    </row>
    <row r="9" spans="1:6" ht="14.25" customHeight="1" x14ac:dyDescent="0.2">
      <c r="A9" s="56" t="s">
        <v>22</v>
      </c>
      <c r="B9" s="60" t="s">
        <v>23</v>
      </c>
      <c r="C9" s="167">
        <v>28</v>
      </c>
      <c r="D9" s="168">
        <v>2</v>
      </c>
      <c r="E9" s="58" t="s">
        <v>20</v>
      </c>
      <c r="F9" s="47" t="s">
        <v>17</v>
      </c>
    </row>
    <row r="10" spans="1:6" ht="14.25" customHeight="1" x14ac:dyDescent="0.2">
      <c r="A10" s="56" t="s">
        <v>24</v>
      </c>
      <c r="B10" s="167" t="s">
        <v>25</v>
      </c>
      <c r="C10" s="167">
        <v>16</v>
      </c>
      <c r="D10" s="168">
        <v>3</v>
      </c>
      <c r="E10" s="58" t="s">
        <v>20</v>
      </c>
      <c r="F10" s="47" t="s">
        <v>17</v>
      </c>
    </row>
    <row r="11" spans="1:6" ht="14.25" customHeight="1" x14ac:dyDescent="0.2">
      <c r="A11" s="56" t="s">
        <v>26</v>
      </c>
      <c r="B11" s="60">
        <v>0.2979</v>
      </c>
      <c r="C11" s="167">
        <v>12</v>
      </c>
      <c r="D11" s="168">
        <v>2</v>
      </c>
      <c r="E11" s="58" t="s">
        <v>20</v>
      </c>
      <c r="F11" s="47" t="s">
        <v>17</v>
      </c>
    </row>
    <row r="12" spans="1:6" ht="14.25" customHeight="1" x14ac:dyDescent="0.2">
      <c r="A12" s="42" t="s">
        <v>27</v>
      </c>
      <c r="B12" s="164">
        <v>0.20630000000000001</v>
      </c>
      <c r="C12" s="166">
        <v>27</v>
      </c>
      <c r="D12" s="39">
        <v>3</v>
      </c>
      <c r="E12" s="41" t="s">
        <v>7</v>
      </c>
      <c r="F12" s="47" t="s">
        <v>17</v>
      </c>
    </row>
    <row r="13" spans="1:6" ht="14.25" customHeight="1" x14ac:dyDescent="0.2">
      <c r="A13" s="56" t="s">
        <v>28</v>
      </c>
      <c r="B13" s="60" t="s">
        <v>29</v>
      </c>
      <c r="C13" s="167">
        <v>22</v>
      </c>
      <c r="D13" s="168">
        <v>2</v>
      </c>
      <c r="E13" s="58" t="s">
        <v>16</v>
      </c>
      <c r="F13" s="47" t="s">
        <v>17</v>
      </c>
    </row>
    <row r="14" spans="1:6" ht="14.25" customHeight="1" x14ac:dyDescent="0.2">
      <c r="A14" s="42" t="s">
        <v>30</v>
      </c>
      <c r="B14" s="166" t="s">
        <v>31</v>
      </c>
      <c r="C14" s="166">
        <v>36</v>
      </c>
      <c r="D14" s="39">
        <v>3</v>
      </c>
      <c r="E14" s="41" t="s">
        <v>12</v>
      </c>
      <c r="F14" s="47" t="s">
        <v>32</v>
      </c>
    </row>
    <row r="15" spans="1:6" ht="14.25" customHeight="1" x14ac:dyDescent="0.2">
      <c r="A15" s="42" t="s">
        <v>33</v>
      </c>
      <c r="B15" s="166" t="s">
        <v>34</v>
      </c>
      <c r="C15" s="166">
        <v>22</v>
      </c>
      <c r="D15" s="39">
        <v>3</v>
      </c>
      <c r="E15" s="40" t="s">
        <v>12</v>
      </c>
      <c r="F15" s="47" t="s">
        <v>35</v>
      </c>
    </row>
    <row r="16" spans="1:6" ht="14.25" customHeight="1" x14ac:dyDescent="0.2">
      <c r="A16" s="56" t="s">
        <v>36</v>
      </c>
      <c r="B16" s="60">
        <v>0.52370000000000005</v>
      </c>
      <c r="C16" s="167">
        <v>11</v>
      </c>
      <c r="D16" s="168">
        <v>2</v>
      </c>
      <c r="E16" s="58" t="s">
        <v>20</v>
      </c>
      <c r="F16" s="47" t="s">
        <v>35</v>
      </c>
    </row>
    <row r="17" spans="1:6" ht="14.25" customHeight="1" x14ac:dyDescent="0.2">
      <c r="A17" s="56" t="s">
        <v>73</v>
      </c>
      <c r="B17" s="167" t="s">
        <v>37</v>
      </c>
      <c r="C17" s="167">
        <v>29</v>
      </c>
      <c r="D17" s="168">
        <v>3</v>
      </c>
      <c r="E17" s="57" t="s">
        <v>20</v>
      </c>
      <c r="F17" s="47" t="s">
        <v>38</v>
      </c>
    </row>
    <row r="18" spans="1:6" ht="14.25" customHeight="1" x14ac:dyDescent="0.2">
      <c r="A18" s="56" t="s">
        <v>74</v>
      </c>
      <c r="B18" s="167" t="s">
        <v>39</v>
      </c>
      <c r="C18" s="167">
        <v>24</v>
      </c>
      <c r="D18" s="168">
        <v>2</v>
      </c>
      <c r="E18" s="57" t="s">
        <v>20</v>
      </c>
      <c r="F18" s="47" t="s">
        <v>38</v>
      </c>
    </row>
    <row r="19" spans="1:6" ht="14.25" customHeight="1" x14ac:dyDescent="0.2">
      <c r="A19" s="56" t="s">
        <v>40</v>
      </c>
      <c r="B19" s="167" t="s">
        <v>41</v>
      </c>
      <c r="C19" s="167">
        <v>14</v>
      </c>
      <c r="D19" s="168">
        <v>2</v>
      </c>
      <c r="E19" s="57" t="s">
        <v>16</v>
      </c>
      <c r="F19" s="47" t="s">
        <v>38</v>
      </c>
    </row>
    <row r="20" spans="1:6" ht="14.25" customHeight="1" x14ac:dyDescent="0.2">
      <c r="A20" s="56" t="s">
        <v>42</v>
      </c>
      <c r="B20" s="167" t="s">
        <v>43</v>
      </c>
      <c r="C20" s="167">
        <v>27</v>
      </c>
      <c r="D20" s="168">
        <v>3</v>
      </c>
      <c r="E20" s="58" t="s">
        <v>16</v>
      </c>
      <c r="F20" s="47" t="s">
        <v>38</v>
      </c>
    </row>
    <row r="21" spans="1:6" ht="14.25" customHeight="1" x14ac:dyDescent="0.2">
      <c r="A21" s="56" t="s">
        <v>44</v>
      </c>
      <c r="B21" s="60">
        <v>0.47449999999999998</v>
      </c>
      <c r="C21" s="167">
        <v>17</v>
      </c>
      <c r="D21" s="168">
        <v>2</v>
      </c>
      <c r="E21" s="58" t="s">
        <v>16</v>
      </c>
      <c r="F21" s="47" t="s">
        <v>38</v>
      </c>
    </row>
    <row r="22" spans="1:6" ht="14.25" customHeight="1" x14ac:dyDescent="0.2">
      <c r="A22" s="56" t="s">
        <v>45</v>
      </c>
      <c r="B22" s="167" t="s">
        <v>46</v>
      </c>
      <c r="C22" s="167">
        <v>22</v>
      </c>
      <c r="D22" s="168">
        <v>2</v>
      </c>
      <c r="E22" s="58" t="s">
        <v>20</v>
      </c>
      <c r="F22" s="47" t="s">
        <v>47</v>
      </c>
    </row>
    <row r="23" spans="1:6" ht="14.25" customHeight="1" x14ac:dyDescent="0.2">
      <c r="A23" s="42" t="s">
        <v>172</v>
      </c>
      <c r="B23" s="166" t="s">
        <v>48</v>
      </c>
      <c r="C23" s="166">
        <v>25</v>
      </c>
      <c r="D23" s="39">
        <v>4</v>
      </c>
      <c r="E23" s="40" t="s">
        <v>7</v>
      </c>
      <c r="F23" s="47" t="s">
        <v>47</v>
      </c>
    </row>
    <row r="24" spans="1:6" ht="14.25" customHeight="1" x14ac:dyDescent="0.2">
      <c r="A24" s="56" t="s">
        <v>49</v>
      </c>
      <c r="B24" s="60">
        <v>0.17219999999999999</v>
      </c>
      <c r="C24" s="167">
        <v>18</v>
      </c>
      <c r="D24" s="168">
        <v>2</v>
      </c>
      <c r="E24" s="58" t="s">
        <v>16</v>
      </c>
      <c r="F24" s="47" t="s">
        <v>47</v>
      </c>
    </row>
    <row r="25" spans="1:6" ht="14.25" customHeight="1" x14ac:dyDescent="0.2">
      <c r="A25" s="56" t="s">
        <v>50</v>
      </c>
      <c r="B25" s="167" t="s">
        <v>51</v>
      </c>
      <c r="C25" s="170">
        <v>13</v>
      </c>
      <c r="D25" s="168">
        <v>2</v>
      </c>
      <c r="E25" s="57" t="s">
        <v>16</v>
      </c>
      <c r="F25" s="47" t="s">
        <v>52</v>
      </c>
    </row>
    <row r="26" spans="1:6" ht="14.25" customHeight="1" x14ac:dyDescent="0.2">
      <c r="A26" s="56" t="s">
        <v>53</v>
      </c>
      <c r="B26" s="60">
        <v>1.7195</v>
      </c>
      <c r="C26" s="167">
        <v>17</v>
      </c>
      <c r="D26" s="168">
        <v>3</v>
      </c>
      <c r="E26" s="57" t="s">
        <v>16</v>
      </c>
      <c r="F26" s="47" t="s">
        <v>52</v>
      </c>
    </row>
    <row r="27" spans="1:6" ht="14.25" customHeight="1" x14ac:dyDescent="0.2">
      <c r="A27" s="42" t="s">
        <v>54</v>
      </c>
      <c r="B27" s="166" t="s">
        <v>55</v>
      </c>
      <c r="C27" s="166">
        <v>17</v>
      </c>
      <c r="D27" s="39">
        <v>3</v>
      </c>
      <c r="E27" s="40" t="s">
        <v>7</v>
      </c>
      <c r="F27" s="47" t="s">
        <v>52</v>
      </c>
    </row>
    <row r="28" spans="1:6" ht="14.25" customHeight="1" x14ac:dyDescent="0.2">
      <c r="A28" s="56" t="s">
        <v>56</v>
      </c>
      <c r="B28" s="167" t="s">
        <v>57</v>
      </c>
      <c r="C28" s="167">
        <v>15</v>
      </c>
      <c r="D28" s="168">
        <v>2</v>
      </c>
      <c r="E28" s="58" t="s">
        <v>20</v>
      </c>
      <c r="F28" s="47" t="s">
        <v>52</v>
      </c>
    </row>
    <row r="29" spans="1:6" ht="14.25" customHeight="1" x14ac:dyDescent="0.2">
      <c r="A29" s="56" t="s">
        <v>58</v>
      </c>
      <c r="B29" s="167" t="s">
        <v>59</v>
      </c>
      <c r="C29" s="167">
        <v>15</v>
      </c>
      <c r="D29" s="168">
        <v>3</v>
      </c>
      <c r="E29" s="58" t="s">
        <v>20</v>
      </c>
      <c r="F29" s="47" t="s">
        <v>52</v>
      </c>
    </row>
    <row r="30" spans="1:6" ht="14.25" customHeight="1" x14ac:dyDescent="0.2">
      <c r="A30" s="61" t="s">
        <v>60</v>
      </c>
      <c r="B30" s="171">
        <v>0.25530000000000003</v>
      </c>
      <c r="C30" s="172">
        <v>17</v>
      </c>
      <c r="D30" s="173">
        <v>2</v>
      </c>
      <c r="E30" s="174" t="s">
        <v>20</v>
      </c>
      <c r="F30" s="175" t="s">
        <v>61</v>
      </c>
    </row>
    <row r="31" spans="1:6" ht="14.25" customHeight="1" x14ac:dyDescent="0.2">
      <c r="A31" s="39"/>
      <c r="B31" s="176"/>
      <c r="C31" s="176"/>
      <c r="D31" s="39"/>
      <c r="E31" s="39">
        <f>COUNTIF(E2:E30,"Oui")</f>
        <v>20</v>
      </c>
      <c r="F31" s="39"/>
    </row>
    <row r="32" spans="1:6" ht="14.25" customHeight="1" x14ac:dyDescent="0.2">
      <c r="A32" s="39"/>
      <c r="B32" s="176"/>
      <c r="C32" s="176"/>
      <c r="D32" s="39"/>
      <c r="E32" s="39"/>
      <c r="F32" s="39"/>
    </row>
    <row r="33" spans="1:6" ht="14.25" customHeight="1" x14ac:dyDescent="0.2">
      <c r="A33" s="3" t="s">
        <v>62</v>
      </c>
      <c r="C33" s="3"/>
    </row>
    <row r="34" spans="1:6" ht="14.25" customHeight="1" x14ac:dyDescent="0.2">
      <c r="A34" s="177" t="s">
        <v>63</v>
      </c>
      <c r="B34" s="133"/>
      <c r="C34" s="134"/>
      <c r="D34" s="133"/>
      <c r="E34" s="133"/>
    </row>
    <row r="35" spans="1:6" ht="14.25" customHeight="1" x14ac:dyDescent="0.2">
      <c r="A35" s="177" t="s">
        <v>64</v>
      </c>
      <c r="B35" s="133"/>
      <c r="C35" s="133"/>
      <c r="D35" s="133"/>
      <c r="E35" s="133"/>
    </row>
    <row r="36" spans="1:6" ht="14.25" customHeight="1" x14ac:dyDescent="0.2">
      <c r="B36" s="144"/>
      <c r="C36" s="144"/>
      <c r="D36" s="144"/>
      <c r="E36" s="144"/>
    </row>
    <row r="37" spans="1:6" ht="14.25" customHeight="1" x14ac:dyDescent="0.2">
      <c r="A37" s="145"/>
      <c r="B37" s="144"/>
      <c r="C37" s="144"/>
      <c r="D37" s="144"/>
      <c r="E37" s="144"/>
    </row>
    <row r="38" spans="1:6" ht="14.25" customHeight="1" x14ac:dyDescent="0.25">
      <c r="A38" s="145"/>
      <c r="B38" s="144"/>
      <c r="C38" s="144"/>
      <c r="D38" s="144"/>
      <c r="E38" s="144"/>
      <c r="F38" s="135"/>
    </row>
    <row r="39" spans="1:6" ht="14.25" customHeight="1" x14ac:dyDescent="0.2">
      <c r="A39" s="144"/>
      <c r="B39" s="144"/>
      <c r="C39" s="144"/>
      <c r="D39" s="144"/>
      <c r="E39" s="144"/>
    </row>
    <row r="40" spans="1:6" ht="14.25" customHeight="1" x14ac:dyDescent="0.2">
      <c r="A40" s="145"/>
      <c r="B40" s="144"/>
      <c r="C40" s="144"/>
      <c r="D40" s="144"/>
      <c r="E40" s="144"/>
    </row>
    <row r="41" spans="1:6" ht="14.25" customHeight="1" x14ac:dyDescent="0.2">
      <c r="A41" s="144"/>
      <c r="B41" s="144"/>
      <c r="C41" s="144"/>
      <c r="D41" s="144"/>
      <c r="E41" s="144"/>
    </row>
    <row r="42" spans="1:6" ht="14.25" customHeight="1" x14ac:dyDescent="0.2">
      <c r="A42" s="146"/>
      <c r="B42" s="144"/>
      <c r="C42" s="145"/>
      <c r="D42" s="144"/>
      <c r="E42" s="144"/>
    </row>
    <row r="43" spans="1:6" ht="14.25" customHeight="1" x14ac:dyDescent="0.2">
      <c r="A43" s="144"/>
      <c r="B43" s="144"/>
      <c r="C43" s="144"/>
      <c r="D43" s="144"/>
      <c r="E43" s="144"/>
    </row>
    <row r="44" spans="1:6" ht="14.25" customHeight="1" x14ac:dyDescent="0.2">
      <c r="A44" s="144"/>
      <c r="B44" s="144"/>
      <c r="C44" s="144"/>
      <c r="D44" s="144"/>
      <c r="E44" s="144"/>
    </row>
    <row r="45" spans="1:6" ht="14.25" customHeight="1" x14ac:dyDescent="0.2">
      <c r="A45" s="144"/>
      <c r="B45" s="144"/>
      <c r="C45" s="144"/>
      <c r="D45" s="144"/>
      <c r="E45" s="144"/>
    </row>
    <row r="46" spans="1:6" ht="14.25" customHeight="1" x14ac:dyDescent="0.2">
      <c r="A46" s="147"/>
      <c r="B46" s="144"/>
      <c r="C46" s="144"/>
      <c r="D46" s="144"/>
      <c r="E46" s="144"/>
    </row>
    <row r="47" spans="1:6" ht="14.25" customHeight="1" x14ac:dyDescent="0.2">
      <c r="A47" s="144"/>
      <c r="B47" s="144"/>
      <c r="C47" s="144"/>
      <c r="D47" s="144"/>
      <c r="E47" s="144"/>
    </row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autoFilter ref="A1:F30" xr:uid="{00000000-0001-0000-0000-000000000000}">
    <sortState xmlns:xlrd2="http://schemas.microsoft.com/office/spreadsheetml/2017/richdata2" ref="A2:F31">
      <sortCondition ref="F1:F31"/>
    </sortState>
  </autoFilter>
  <phoneticPr fontId="1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000"/>
  <sheetViews>
    <sheetView topLeftCell="A2" workbookViewId="0">
      <selection activeCell="AV2" sqref="AV2:AW2"/>
    </sheetView>
  </sheetViews>
  <sheetFormatPr baseColWidth="10" defaultColWidth="14.5" defaultRowHeight="15" customHeight="1" x14ac:dyDescent="0.2"/>
  <cols>
    <col min="1" max="3" width="13.5" customWidth="1"/>
    <col min="4" max="4" width="11.1640625" customWidth="1"/>
    <col min="5" max="31" width="11" customWidth="1"/>
    <col min="32" max="32" width="13" customWidth="1"/>
    <col min="33" max="33" width="12.1640625" customWidth="1"/>
    <col min="34" max="34" width="13.1640625" customWidth="1"/>
    <col min="35" max="35" width="13.5" customWidth="1"/>
    <col min="36" max="41" width="11" customWidth="1"/>
    <col min="42" max="42" width="14.33203125" customWidth="1"/>
    <col min="43" max="43" width="8.6640625" customWidth="1"/>
    <col min="44" max="44" width="19.5" customWidth="1"/>
    <col min="45" max="45" width="11" customWidth="1"/>
    <col min="46" max="46" width="17.5" customWidth="1"/>
    <col min="47" max="47" width="11" customWidth="1"/>
    <col min="48" max="48" width="18.5" customWidth="1"/>
    <col min="49" max="49" width="11" customWidth="1"/>
    <col min="50" max="53" width="10.6640625" customWidth="1"/>
  </cols>
  <sheetData>
    <row r="1" spans="1:53" ht="14.25" customHeight="1" thickBot="1" x14ac:dyDescent="0.25">
      <c r="A1" s="4"/>
      <c r="B1" s="27"/>
      <c r="C1" s="27"/>
      <c r="D1" s="190" t="s">
        <v>0</v>
      </c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0" t="s">
        <v>65</v>
      </c>
      <c r="AQ1" s="191"/>
      <c r="AR1" s="191"/>
      <c r="AS1" s="191"/>
      <c r="AT1" s="191"/>
      <c r="AU1" s="191"/>
      <c r="AV1" s="190" t="s">
        <v>66</v>
      </c>
      <c r="AW1" s="192"/>
      <c r="AZ1" s="5"/>
      <c r="BA1" s="5"/>
    </row>
    <row r="2" spans="1:53" ht="14.25" customHeight="1" thickBot="1" x14ac:dyDescent="0.25">
      <c r="A2" s="59" t="s">
        <v>67</v>
      </c>
      <c r="B2" s="193" t="s">
        <v>14</v>
      </c>
      <c r="C2" s="195"/>
      <c r="D2" s="193" t="s">
        <v>68</v>
      </c>
      <c r="E2" s="194"/>
      <c r="F2" s="193" t="s">
        <v>69</v>
      </c>
      <c r="G2" s="194"/>
      <c r="H2" s="193" t="s">
        <v>22</v>
      </c>
      <c r="I2" s="194"/>
      <c r="J2" s="193" t="s">
        <v>70</v>
      </c>
      <c r="K2" s="194"/>
      <c r="L2" s="193" t="s">
        <v>71</v>
      </c>
      <c r="M2" s="194"/>
      <c r="N2" s="193" t="s">
        <v>72</v>
      </c>
      <c r="O2" s="194"/>
      <c r="P2" s="193" t="s">
        <v>73</v>
      </c>
      <c r="Q2" s="194"/>
      <c r="R2" s="193" t="s">
        <v>74</v>
      </c>
      <c r="S2" s="195"/>
      <c r="T2" s="193" t="s">
        <v>75</v>
      </c>
      <c r="U2" s="194"/>
      <c r="V2" s="193" t="s">
        <v>76</v>
      </c>
      <c r="W2" s="195"/>
      <c r="X2" s="193" t="s">
        <v>77</v>
      </c>
      <c r="Y2" s="195"/>
      <c r="Z2" s="193" t="s">
        <v>78</v>
      </c>
      <c r="AA2" s="195"/>
      <c r="AB2" s="193" t="s">
        <v>42</v>
      </c>
      <c r="AC2" s="195"/>
      <c r="AD2" s="193" t="s">
        <v>79</v>
      </c>
      <c r="AE2" s="195"/>
      <c r="AF2" s="193" t="s">
        <v>80</v>
      </c>
      <c r="AG2" s="195"/>
      <c r="AH2" s="193" t="s">
        <v>81</v>
      </c>
      <c r="AI2" s="195"/>
      <c r="AJ2" s="193" t="s">
        <v>82</v>
      </c>
      <c r="AK2" s="195"/>
      <c r="AL2" s="193" t="s">
        <v>83</v>
      </c>
      <c r="AM2" s="195"/>
      <c r="AN2" s="193" t="s">
        <v>49</v>
      </c>
      <c r="AO2" s="195"/>
      <c r="AP2" s="196" t="s">
        <v>84</v>
      </c>
      <c r="AQ2" s="196"/>
      <c r="AR2" s="197" t="s">
        <v>85</v>
      </c>
      <c r="AS2" s="198"/>
      <c r="AT2" s="197" t="s">
        <v>86</v>
      </c>
      <c r="AU2" s="198"/>
      <c r="AV2" s="188" t="s">
        <v>87</v>
      </c>
      <c r="AW2" s="189"/>
    </row>
    <row r="3" spans="1:53" ht="14.25" customHeight="1" thickBot="1" x14ac:dyDescent="0.25">
      <c r="A3" s="66" t="s">
        <v>88</v>
      </c>
      <c r="B3" s="67" t="s">
        <v>89</v>
      </c>
      <c r="C3" s="49" t="s">
        <v>90</v>
      </c>
      <c r="D3" s="67" t="s">
        <v>89</v>
      </c>
      <c r="E3" s="49" t="s">
        <v>91</v>
      </c>
      <c r="F3" s="67" t="s">
        <v>89</v>
      </c>
      <c r="G3" s="49" t="s">
        <v>92</v>
      </c>
      <c r="H3" s="67" t="s">
        <v>89</v>
      </c>
      <c r="I3" s="49" t="s">
        <v>93</v>
      </c>
      <c r="J3" s="67" t="s">
        <v>89</v>
      </c>
      <c r="K3" s="49" t="s">
        <v>94</v>
      </c>
      <c r="L3" s="67" t="s">
        <v>89</v>
      </c>
      <c r="M3" s="49" t="s">
        <v>95</v>
      </c>
      <c r="N3" s="67" t="s">
        <v>89</v>
      </c>
      <c r="O3" s="49" t="s">
        <v>96</v>
      </c>
      <c r="P3" s="67" t="s">
        <v>89</v>
      </c>
      <c r="Q3" s="49" t="s">
        <v>97</v>
      </c>
      <c r="R3" s="67" t="s">
        <v>89</v>
      </c>
      <c r="S3" s="49" t="s">
        <v>98</v>
      </c>
      <c r="T3" s="48" t="s">
        <v>89</v>
      </c>
      <c r="U3" s="49" t="s">
        <v>99</v>
      </c>
      <c r="V3" s="67" t="s">
        <v>89</v>
      </c>
      <c r="W3" s="49" t="s">
        <v>100</v>
      </c>
      <c r="X3" s="67" t="s">
        <v>89</v>
      </c>
      <c r="Y3" s="49" t="s">
        <v>101</v>
      </c>
      <c r="Z3" s="67" t="s">
        <v>89</v>
      </c>
      <c r="AA3" s="49" t="s">
        <v>102</v>
      </c>
      <c r="AB3" s="67" t="s">
        <v>89</v>
      </c>
      <c r="AC3" s="49" t="s">
        <v>103</v>
      </c>
      <c r="AD3" s="67" t="s">
        <v>89</v>
      </c>
      <c r="AE3" s="49" t="s">
        <v>104</v>
      </c>
      <c r="AF3" s="67" t="s">
        <v>89</v>
      </c>
      <c r="AG3" s="49" t="s">
        <v>105</v>
      </c>
      <c r="AH3" s="67" t="s">
        <v>89</v>
      </c>
      <c r="AI3" s="49" t="s">
        <v>106</v>
      </c>
      <c r="AJ3" s="67" t="s">
        <v>89</v>
      </c>
      <c r="AK3" s="49" t="s">
        <v>107</v>
      </c>
      <c r="AL3" s="67" t="s">
        <v>89</v>
      </c>
      <c r="AM3" s="49" t="s">
        <v>108</v>
      </c>
      <c r="AN3" s="67" t="s">
        <v>89</v>
      </c>
      <c r="AO3" s="48" t="s">
        <v>109</v>
      </c>
      <c r="AP3" s="80" t="s">
        <v>89</v>
      </c>
      <c r="AQ3" s="69" t="s">
        <v>110</v>
      </c>
      <c r="AR3" s="70" t="s">
        <v>89</v>
      </c>
      <c r="AS3" s="69" t="s">
        <v>111</v>
      </c>
      <c r="AT3" s="70" t="s">
        <v>89</v>
      </c>
      <c r="AU3" s="51" t="s">
        <v>112</v>
      </c>
      <c r="AV3" s="48" t="s">
        <v>89</v>
      </c>
      <c r="AW3" s="49" t="s">
        <v>113</v>
      </c>
    </row>
    <row r="4" spans="1:53" ht="14.25" customHeight="1" x14ac:dyDescent="0.2">
      <c r="A4" s="63">
        <v>43435</v>
      </c>
      <c r="B4" s="68">
        <v>33.599353999999998</v>
      </c>
      <c r="C4" s="69"/>
      <c r="D4" s="68">
        <v>51.835438000000003</v>
      </c>
      <c r="E4" s="69"/>
      <c r="F4" s="68">
        <v>52.757607</v>
      </c>
      <c r="G4" s="69"/>
      <c r="H4" s="68">
        <v>24.610001</v>
      </c>
      <c r="I4" s="69"/>
      <c r="J4" s="68">
        <v>95.875900000000001</v>
      </c>
      <c r="K4" s="69"/>
      <c r="L4" s="68">
        <v>237.20353700000001</v>
      </c>
      <c r="M4" s="69"/>
      <c r="N4" s="68">
        <v>134.210678</v>
      </c>
      <c r="O4" s="69"/>
      <c r="P4" s="68">
        <v>22.186665999999999</v>
      </c>
      <c r="Q4" s="69"/>
      <c r="R4" s="68">
        <v>139.60691800000001</v>
      </c>
      <c r="S4" s="69"/>
      <c r="T4" s="50">
        <v>33.118670999999999</v>
      </c>
      <c r="U4" s="51"/>
      <c r="V4" s="68">
        <v>26.015620999999999</v>
      </c>
      <c r="W4" s="69"/>
      <c r="X4" s="68">
        <v>37.900008999999997</v>
      </c>
      <c r="Y4" s="69"/>
      <c r="Z4" s="68">
        <v>77.846908999999997</v>
      </c>
      <c r="AA4" s="69"/>
      <c r="AB4" s="68">
        <v>77.925713000000002</v>
      </c>
      <c r="AC4" s="69"/>
      <c r="AD4" s="68">
        <v>138.58577</v>
      </c>
      <c r="AE4" s="69"/>
      <c r="AF4" s="68">
        <v>51.148375999999999</v>
      </c>
      <c r="AG4" s="69"/>
      <c r="AH4" s="68">
        <v>86.114395000000002</v>
      </c>
      <c r="AI4" s="69"/>
      <c r="AJ4" s="68">
        <v>96.646347000000006</v>
      </c>
      <c r="AK4" s="69"/>
      <c r="AL4" s="68">
        <v>32.971870000000003</v>
      </c>
      <c r="AM4" s="69"/>
      <c r="AN4" s="68">
        <v>373.5</v>
      </c>
      <c r="AO4" s="71"/>
      <c r="AP4" s="50">
        <v>3.0700000000000002E-2</v>
      </c>
      <c r="AQ4" s="69"/>
      <c r="AR4" s="68">
        <v>3.75</v>
      </c>
      <c r="AS4" s="69"/>
      <c r="AT4" s="70">
        <v>64.111266999999998</v>
      </c>
      <c r="AU4" s="71"/>
      <c r="AV4" s="125">
        <v>4.5759999999999996</v>
      </c>
      <c r="AW4" s="51"/>
      <c r="AX4" s="7"/>
      <c r="AY4" s="7"/>
      <c r="AZ4" s="7"/>
      <c r="BA4" s="7"/>
    </row>
    <row r="5" spans="1:53" ht="14.25" customHeight="1" x14ac:dyDescent="0.2">
      <c r="A5" s="64">
        <v>43466</v>
      </c>
      <c r="B5" s="72">
        <v>34.128318999999998</v>
      </c>
      <c r="C5" s="73">
        <f t="shared" ref="C5:C63" si="0">(B5-B4)/B4</f>
        <v>1.5743308636231503E-2</v>
      </c>
      <c r="D5" s="72">
        <v>46.670459999999999</v>
      </c>
      <c r="E5" s="73">
        <f t="shared" ref="E5:E63" si="1">(D5-D4)/D4</f>
        <v>-9.964183190658106E-2</v>
      </c>
      <c r="F5" s="72">
        <v>57.331347999999998</v>
      </c>
      <c r="G5" s="73">
        <f t="shared" ref="G5:G63" si="2">(F5-F4)/F4</f>
        <v>8.6693488580708342E-2</v>
      </c>
      <c r="H5" s="72">
        <v>28.620000999999998</v>
      </c>
      <c r="I5" s="73">
        <f t="shared" ref="I5:I63" si="3">(H5-H4)/H4</f>
        <v>0.16294188691824912</v>
      </c>
      <c r="J5" s="72">
        <v>98.552764999999994</v>
      </c>
      <c r="K5" s="73">
        <f t="shared" ref="K5:K63" si="4">(J5-J4)/J4</f>
        <v>2.7920102966438827E-2</v>
      </c>
      <c r="L5" s="72">
        <v>258.95361300000002</v>
      </c>
      <c r="M5" s="73">
        <f t="shared" ref="M5:M63" si="5">(L5-L4)/L4</f>
        <v>9.1693725460763292E-2</v>
      </c>
      <c r="N5" s="72">
        <v>151.91189600000001</v>
      </c>
      <c r="O5" s="73">
        <f t="shared" ref="O5:O63" si="6">(N5-N4)/N4</f>
        <v>0.13189127917228771</v>
      </c>
      <c r="P5" s="72">
        <v>20.468</v>
      </c>
      <c r="Q5" s="73">
        <f t="shared" ref="Q5:Q63" si="7">(P5-P4)/P4</f>
        <v>-7.7463914587257002E-2</v>
      </c>
      <c r="R5" s="72">
        <v>150.305984</v>
      </c>
      <c r="S5" s="73">
        <f t="shared" ref="S5:S63" si="8">(R5-R4)/R4</f>
        <v>7.6637076108219709E-2</v>
      </c>
      <c r="T5" s="52">
        <v>35.661490999999998</v>
      </c>
      <c r="U5" s="53">
        <f t="shared" ref="U5:U63" si="9">(T5-T4)/T4</f>
        <v>7.6779047081931492E-2</v>
      </c>
      <c r="V5" s="72">
        <v>31.187231000000001</v>
      </c>
      <c r="W5" s="73">
        <f t="shared" ref="W5:W63" si="10">(V5-V4)/V4</f>
        <v>0.19878864317711276</v>
      </c>
      <c r="X5" s="72">
        <v>39.990336999999997</v>
      </c>
      <c r="Y5" s="73">
        <f t="shared" ref="Y5:Y63" si="11">(X5-X4)/X4</f>
        <v>5.5153759989872292E-2</v>
      </c>
      <c r="Z5" s="72">
        <v>79.675514000000007</v>
      </c>
      <c r="AA5" s="73">
        <f t="shared" ref="AA5:AA63" si="12">(Z5-Z4)/Z4</f>
        <v>2.3489757313293072E-2</v>
      </c>
      <c r="AB5" s="72">
        <v>93.017089999999996</v>
      </c>
      <c r="AC5" s="73">
        <f t="shared" ref="AC5:AC63" si="13">(AB5-AB4)/AB4</f>
        <v>0.19366363705905384</v>
      </c>
      <c r="AD5" s="72">
        <v>153.15687600000001</v>
      </c>
      <c r="AE5" s="73">
        <f t="shared" ref="AE5:AE63" si="14">(AD5-AD4)/AD4</f>
        <v>0.1051414297441939</v>
      </c>
      <c r="AF5" s="72">
        <v>57.731513999999997</v>
      </c>
      <c r="AG5" s="73">
        <f t="shared" ref="AG5:AG63" si="15">(AF5-AF4)/AF4</f>
        <v>0.12870668660134973</v>
      </c>
      <c r="AH5" s="72">
        <v>101.834236</v>
      </c>
      <c r="AI5" s="73">
        <f t="shared" ref="AI5:AI63" si="16">(AH5-AH4)/AH4</f>
        <v>0.18254603077685214</v>
      </c>
      <c r="AJ5" s="72">
        <v>99.367714000000007</v>
      </c>
      <c r="AK5" s="73">
        <f t="shared" ref="AK5:AK63" si="17">(AJ5-AJ4)/AJ4</f>
        <v>2.8157991320665234E-2</v>
      </c>
      <c r="AL5" s="72">
        <v>37.628909999999998</v>
      </c>
      <c r="AM5" s="73">
        <f t="shared" ref="AM5:AM63" si="18">(AL5-AL4)/AL4</f>
        <v>0.14124282304885935</v>
      </c>
      <c r="AN5" s="72">
        <v>429.26998900000001</v>
      </c>
      <c r="AO5" s="78">
        <f t="shared" ref="AO5:AO63" si="19">(AN5-AN4)/AN4</f>
        <v>0.14931723962516735</v>
      </c>
      <c r="AP5" s="52">
        <v>2.8799999999999999E-2</v>
      </c>
      <c r="AQ5" s="73">
        <f t="shared" ref="AQ5:AQ63" si="20">(AP5-AP4)/AP4</f>
        <v>-6.1889250814332324E-2</v>
      </c>
      <c r="AR5" s="72">
        <v>4.08</v>
      </c>
      <c r="AS5" s="73">
        <f t="shared" ref="AS5:AS63" si="21">(AR5-AR4)/AR4</f>
        <v>8.8000000000000023E-2</v>
      </c>
      <c r="AT5" s="8">
        <v>63.984425000000002</v>
      </c>
      <c r="AU5" s="78">
        <f t="shared" ref="AU5:AU63" si="22">(AT5-AT4)/AT4</f>
        <v>-1.9784665930872394E-3</v>
      </c>
      <c r="AV5" s="126">
        <v>4.9260000000000002</v>
      </c>
      <c r="AW5" s="53">
        <f t="shared" ref="AW5:AW63" si="23">(AV5-AV4)/AV4</f>
        <v>7.6486013986014109E-2</v>
      </c>
      <c r="AX5" s="7"/>
      <c r="AY5" s="7"/>
      <c r="AZ5" s="7"/>
      <c r="BA5" s="7"/>
    </row>
    <row r="6" spans="1:53" ht="14.25" customHeight="1" x14ac:dyDescent="0.2">
      <c r="A6" s="64">
        <v>43497</v>
      </c>
      <c r="B6" s="72">
        <v>36.244472999999999</v>
      </c>
      <c r="C6" s="73">
        <f t="shared" si="0"/>
        <v>6.200580813839679E-2</v>
      </c>
      <c r="D6" s="72">
        <v>40.103076999999999</v>
      </c>
      <c r="E6" s="73">
        <f t="shared" si="1"/>
        <v>-0.14071819733510232</v>
      </c>
      <c r="F6" s="72">
        <v>58.780327</v>
      </c>
      <c r="G6" s="73">
        <f t="shared" si="2"/>
        <v>2.527376471245716E-2</v>
      </c>
      <c r="H6" s="72">
        <v>31.915001</v>
      </c>
      <c r="I6" s="73">
        <f t="shared" si="3"/>
        <v>0.11512927620093381</v>
      </c>
      <c r="J6" s="72">
        <v>101.15065800000001</v>
      </c>
      <c r="K6" s="73">
        <f t="shared" si="4"/>
        <v>2.6360427330476353E-2</v>
      </c>
      <c r="L6" s="72">
        <v>279.54959100000002</v>
      </c>
      <c r="M6" s="73">
        <f t="shared" si="5"/>
        <v>7.9535395399175216E-2</v>
      </c>
      <c r="N6" s="72">
        <v>165.91374200000001</v>
      </c>
      <c r="O6" s="73">
        <f t="shared" si="6"/>
        <v>9.2170833020213241E-2</v>
      </c>
      <c r="P6" s="72">
        <v>21.325333000000001</v>
      </c>
      <c r="Q6" s="73">
        <f t="shared" si="7"/>
        <v>4.1886505765096761E-2</v>
      </c>
      <c r="R6" s="72">
        <v>160.511978</v>
      </c>
      <c r="S6" s="73">
        <f t="shared" si="8"/>
        <v>6.7901448288313015E-2</v>
      </c>
      <c r="T6" s="52">
        <v>38.268805999999998</v>
      </c>
      <c r="U6" s="53">
        <f t="shared" si="9"/>
        <v>7.3112899289600644E-2</v>
      </c>
      <c r="V6" s="72">
        <v>34.431075999999997</v>
      </c>
      <c r="W6" s="73">
        <f t="shared" si="10"/>
        <v>0.10401195925345205</v>
      </c>
      <c r="X6" s="72">
        <v>41.602542999999997</v>
      </c>
      <c r="Y6" s="73">
        <f t="shared" si="11"/>
        <v>4.031488906932694E-2</v>
      </c>
      <c r="Z6" s="72">
        <v>88.958534</v>
      </c>
      <c r="AA6" s="73">
        <f t="shared" si="12"/>
        <v>0.11651032461491234</v>
      </c>
      <c r="AB6" s="72">
        <v>105.435463</v>
      </c>
      <c r="AC6" s="73">
        <f t="shared" si="13"/>
        <v>0.13350635888523285</v>
      </c>
      <c r="AD6" s="72">
        <v>153.194244</v>
      </c>
      <c r="AE6" s="73">
        <f t="shared" si="14"/>
        <v>2.4398512803294918E-4</v>
      </c>
      <c r="AF6" s="72">
        <v>53.616661000000001</v>
      </c>
      <c r="AG6" s="73">
        <f t="shared" si="15"/>
        <v>-7.1275681424187082E-2</v>
      </c>
      <c r="AH6" s="72">
        <v>104.644852</v>
      </c>
      <c r="AI6" s="73">
        <f t="shared" si="16"/>
        <v>2.7599912469515615E-2</v>
      </c>
      <c r="AJ6" s="72">
        <v>106.599289</v>
      </c>
      <c r="AK6" s="73">
        <f t="shared" si="17"/>
        <v>7.2775901838699766E-2</v>
      </c>
      <c r="AL6" s="72">
        <v>40.388271000000003</v>
      </c>
      <c r="AM6" s="73">
        <f t="shared" si="18"/>
        <v>7.333087777456232E-2</v>
      </c>
      <c r="AN6" s="72">
        <v>430.73998999999998</v>
      </c>
      <c r="AO6" s="78">
        <f t="shared" si="19"/>
        <v>3.4244206156232551E-3</v>
      </c>
      <c r="AP6" s="52">
        <v>2.8400000000000002E-2</v>
      </c>
      <c r="AQ6" s="73">
        <f t="shared" si="20"/>
        <v>-1.3888888888888805E-2</v>
      </c>
      <c r="AR6" s="72">
        <v>4.0599999999999996</v>
      </c>
      <c r="AS6" s="73">
        <f t="shared" si="21"/>
        <v>-4.9019607843138382E-3</v>
      </c>
      <c r="AT6" s="8">
        <v>65.014022999999995</v>
      </c>
      <c r="AU6" s="78">
        <f t="shared" si="22"/>
        <v>1.6091384739332939E-2</v>
      </c>
      <c r="AV6" s="126">
        <v>4.5789999999999997</v>
      </c>
      <c r="AW6" s="53">
        <f t="shared" si="23"/>
        <v>-7.0442549736094276E-2</v>
      </c>
      <c r="AX6" s="7"/>
      <c r="AY6" s="7"/>
      <c r="AZ6" s="7"/>
      <c r="BA6" s="7"/>
    </row>
    <row r="7" spans="1:53" ht="14.25" customHeight="1" x14ac:dyDescent="0.2">
      <c r="A7" s="64">
        <v>43525</v>
      </c>
      <c r="B7" s="72">
        <v>39.716095000000003</v>
      </c>
      <c r="C7" s="73">
        <f t="shared" si="0"/>
        <v>9.5783486767761911E-2</v>
      </c>
      <c r="D7" s="72">
        <v>41.143886999999999</v>
      </c>
      <c r="E7" s="73">
        <f t="shared" si="1"/>
        <v>2.5953370111724855E-2</v>
      </c>
      <c r="F7" s="72">
        <v>61.162970999999999</v>
      </c>
      <c r="G7" s="73">
        <f t="shared" si="2"/>
        <v>4.0534718359086348E-2</v>
      </c>
      <c r="H7" s="72">
        <v>27.290001</v>
      </c>
      <c r="I7" s="73">
        <f t="shared" si="3"/>
        <v>-0.14491617907202947</v>
      </c>
      <c r="J7" s="72">
        <v>108.06407900000001</v>
      </c>
      <c r="K7" s="73">
        <f t="shared" si="4"/>
        <v>6.8347761020002451E-2</v>
      </c>
      <c r="L7" s="72">
        <v>303.52420000000001</v>
      </c>
      <c r="M7" s="73">
        <f t="shared" si="5"/>
        <v>8.576155992301196E-2</v>
      </c>
      <c r="N7" s="72">
        <v>174.06208799999999</v>
      </c>
      <c r="O7" s="73">
        <f t="shared" si="6"/>
        <v>4.9111941553340255E-2</v>
      </c>
      <c r="P7" s="72">
        <v>18.657333000000001</v>
      </c>
      <c r="Q7" s="73">
        <f t="shared" si="7"/>
        <v>-0.1251094179865796</v>
      </c>
      <c r="R7" s="72">
        <v>167.76263399999999</v>
      </c>
      <c r="S7" s="73">
        <f t="shared" si="8"/>
        <v>4.5172055633131578E-2</v>
      </c>
      <c r="T7" s="52">
        <v>44.591144999999997</v>
      </c>
      <c r="U7" s="53">
        <f t="shared" si="9"/>
        <v>0.16520868197455651</v>
      </c>
      <c r="V7" s="72">
        <v>34.550517999999997</v>
      </c>
      <c r="W7" s="73">
        <f t="shared" si="10"/>
        <v>3.4690173493270842E-3</v>
      </c>
      <c r="X7" s="72">
        <v>45.834805000000003</v>
      </c>
      <c r="Y7" s="73">
        <f t="shared" si="11"/>
        <v>0.10173084852048601</v>
      </c>
      <c r="Z7" s="72">
        <v>91.499390000000005</v>
      </c>
      <c r="AA7" s="73">
        <f t="shared" si="12"/>
        <v>2.8562251261919459E-2</v>
      </c>
      <c r="AB7" s="72">
        <v>109.42641399999999</v>
      </c>
      <c r="AC7" s="73">
        <f t="shared" si="13"/>
        <v>3.7852074496035511E-2</v>
      </c>
      <c r="AD7" s="72">
        <v>149.27192700000001</v>
      </c>
      <c r="AE7" s="73">
        <f t="shared" si="14"/>
        <v>-2.5603553355438031E-2</v>
      </c>
      <c r="AF7" s="72">
        <v>53.608424999999997</v>
      </c>
      <c r="AG7" s="73">
        <f t="shared" si="15"/>
        <v>-1.5360896867493642E-4</v>
      </c>
      <c r="AH7" s="72">
        <v>108.14033499999999</v>
      </c>
      <c r="AI7" s="73">
        <f t="shared" si="16"/>
        <v>3.3403296322689555E-2</v>
      </c>
      <c r="AJ7" s="72">
        <v>112.70208</v>
      </c>
      <c r="AK7" s="73">
        <f t="shared" si="17"/>
        <v>5.7249828373620734E-2</v>
      </c>
      <c r="AL7" s="72">
        <v>44.347397000000001</v>
      </c>
      <c r="AM7" s="73">
        <f t="shared" si="18"/>
        <v>9.8026627582052162E-2</v>
      </c>
      <c r="AN7" s="72">
        <v>410.61999500000002</v>
      </c>
      <c r="AO7" s="78">
        <f t="shared" si="19"/>
        <v>-4.6710301961979339E-2</v>
      </c>
      <c r="AP7" s="52">
        <v>2.76E-2</v>
      </c>
      <c r="AQ7" s="73">
        <f t="shared" si="20"/>
        <v>-2.8169014084507116E-2</v>
      </c>
      <c r="AR7" s="72">
        <v>4.16</v>
      </c>
      <c r="AS7" s="73">
        <f t="shared" si="21"/>
        <v>2.4630541871921315E-2</v>
      </c>
      <c r="AT7" s="8">
        <v>64.733208000000005</v>
      </c>
      <c r="AU7" s="78">
        <f t="shared" si="22"/>
        <v>-4.3192989303244599E-3</v>
      </c>
      <c r="AV7" s="126">
        <v>4.1059999999999999</v>
      </c>
      <c r="AW7" s="53">
        <f t="shared" si="23"/>
        <v>-0.10329766324525003</v>
      </c>
      <c r="AX7" s="7"/>
      <c r="AY7" s="7"/>
      <c r="AZ7" s="7"/>
      <c r="BA7" s="7"/>
    </row>
    <row r="8" spans="1:53" ht="14.25" customHeight="1" x14ac:dyDescent="0.2">
      <c r="A8" s="64">
        <v>43556</v>
      </c>
      <c r="B8" s="72">
        <v>38.107773000000002</v>
      </c>
      <c r="C8" s="73">
        <f t="shared" si="0"/>
        <v>-4.0495471672126908E-2</v>
      </c>
      <c r="D8" s="72">
        <v>40.743195</v>
      </c>
      <c r="E8" s="73">
        <f t="shared" si="1"/>
        <v>-9.7387978923819084E-3</v>
      </c>
      <c r="F8" s="72">
        <v>64.955512999999996</v>
      </c>
      <c r="G8" s="73">
        <f t="shared" si="2"/>
        <v>6.2007157892967582E-2</v>
      </c>
      <c r="H8" s="72">
        <v>29.799999</v>
      </c>
      <c r="I8" s="73">
        <f t="shared" si="3"/>
        <v>9.1975005790582404E-2</v>
      </c>
      <c r="J8" s="72">
        <v>112.913963</v>
      </c>
      <c r="K8" s="73">
        <f t="shared" si="4"/>
        <v>4.4879705123845905E-2</v>
      </c>
      <c r="L8" s="72">
        <v>323.10186800000002</v>
      </c>
      <c r="M8" s="73">
        <f t="shared" si="5"/>
        <v>6.4501176512449479E-2</v>
      </c>
      <c r="N8" s="72">
        <v>188.98936499999999</v>
      </c>
      <c r="O8" s="73">
        <f t="shared" si="6"/>
        <v>8.5758347331786597E-2</v>
      </c>
      <c r="P8" s="72">
        <v>15.912667000000001</v>
      </c>
      <c r="Q8" s="73">
        <f t="shared" si="7"/>
        <v>-0.14710923581628738</v>
      </c>
      <c r="R8" s="72">
        <v>175.39016699999999</v>
      </c>
      <c r="S8" s="73">
        <f t="shared" si="8"/>
        <v>4.5466221041808391E-2</v>
      </c>
      <c r="T8" s="52">
        <v>44.948737999999999</v>
      </c>
      <c r="U8" s="53">
        <f t="shared" si="9"/>
        <v>8.0193724561233269E-3</v>
      </c>
      <c r="V8" s="72">
        <v>36.048271</v>
      </c>
      <c r="W8" s="73">
        <f t="shared" si="10"/>
        <v>4.3349653976244386E-2</v>
      </c>
      <c r="X8" s="72">
        <v>48.421534999999999</v>
      </c>
      <c r="Y8" s="73">
        <f t="shared" si="11"/>
        <v>5.6435933348030945E-2</v>
      </c>
      <c r="Z8" s="72">
        <v>96.871787999999995</v>
      </c>
      <c r="AA8" s="73">
        <f t="shared" si="12"/>
        <v>5.8715123674594874E-2</v>
      </c>
      <c r="AB8" s="72">
        <v>113.120361</v>
      </c>
      <c r="AC8" s="73">
        <f t="shared" si="13"/>
        <v>3.3757361362495242E-2</v>
      </c>
      <c r="AD8" s="72">
        <v>155.425476</v>
      </c>
      <c r="AE8" s="73">
        <f t="shared" si="14"/>
        <v>4.1223752675209974E-2</v>
      </c>
      <c r="AF8" s="72">
        <v>54.152026999999997</v>
      </c>
      <c r="AG8" s="73">
        <f t="shared" si="15"/>
        <v>1.0140234487396337E-2</v>
      </c>
      <c r="AH8" s="72">
        <v>107.50421900000001</v>
      </c>
      <c r="AI8" s="73">
        <f t="shared" si="16"/>
        <v>-5.8823194879134323E-3</v>
      </c>
      <c r="AJ8" s="72">
        <v>124.799835</v>
      </c>
      <c r="AK8" s="73">
        <f t="shared" si="17"/>
        <v>0.10734278373566847</v>
      </c>
      <c r="AL8" s="72">
        <v>44.107452000000002</v>
      </c>
      <c r="AM8" s="73">
        <f t="shared" si="18"/>
        <v>-5.4105768597872547E-3</v>
      </c>
      <c r="AN8" s="72">
        <v>343.14001500000001</v>
      </c>
      <c r="AO8" s="78">
        <f t="shared" si="19"/>
        <v>-0.16433680975520934</v>
      </c>
      <c r="AP8" s="52">
        <v>2.6100000000000002E-2</v>
      </c>
      <c r="AQ8" s="73">
        <f t="shared" si="20"/>
        <v>-5.4347826086956444E-2</v>
      </c>
      <c r="AR8" s="72">
        <v>4.26</v>
      </c>
      <c r="AS8" s="73">
        <f t="shared" si="21"/>
        <v>2.4038461538461453E-2</v>
      </c>
      <c r="AT8" s="8">
        <v>65.539139000000006</v>
      </c>
      <c r="AU8" s="78">
        <f t="shared" si="22"/>
        <v>1.2450039553114701E-2</v>
      </c>
      <c r="AV8" s="126">
        <v>3.9670000000000001</v>
      </c>
      <c r="AW8" s="53">
        <f t="shared" si="23"/>
        <v>-3.3852898197759329E-2</v>
      </c>
      <c r="AX8" s="7"/>
      <c r="AY8" s="7"/>
      <c r="AZ8" s="7"/>
      <c r="BA8" s="7"/>
    </row>
    <row r="9" spans="1:53" ht="14.25" customHeight="1" x14ac:dyDescent="0.2">
      <c r="A9" s="64">
        <v>43586</v>
      </c>
      <c r="B9" s="72">
        <v>34.411324</v>
      </c>
      <c r="C9" s="73">
        <f t="shared" si="0"/>
        <v>-9.6999869291758425E-2</v>
      </c>
      <c r="D9" s="72">
        <v>38.671345000000002</v>
      </c>
      <c r="E9" s="73">
        <f t="shared" si="1"/>
        <v>-5.0851436663226772E-2</v>
      </c>
      <c r="F9" s="72">
        <v>62.516086999999999</v>
      </c>
      <c r="G9" s="73">
        <f t="shared" si="2"/>
        <v>-3.7555334217743729E-2</v>
      </c>
      <c r="H9" s="72">
        <v>30.93</v>
      </c>
      <c r="I9" s="73">
        <f t="shared" si="3"/>
        <v>3.7919497916761677E-2</v>
      </c>
      <c r="J9" s="72">
        <v>112.86988100000001</v>
      </c>
      <c r="K9" s="73">
        <f t="shared" si="4"/>
        <v>-3.9040344372634283E-4</v>
      </c>
      <c r="L9" s="72">
        <v>317.042328</v>
      </c>
      <c r="M9" s="73">
        <f t="shared" si="5"/>
        <v>-1.875427102142296E-2</v>
      </c>
      <c r="N9" s="72">
        <v>175.78263899999999</v>
      </c>
      <c r="O9" s="73">
        <f t="shared" si="6"/>
        <v>-6.9880789323780224E-2</v>
      </c>
      <c r="P9" s="72">
        <v>12.343999999999999</v>
      </c>
      <c r="Q9" s="73">
        <f t="shared" si="7"/>
        <v>-0.22426580032121587</v>
      </c>
      <c r="R9" s="72">
        <v>175.399689</v>
      </c>
      <c r="S9" s="73">
        <f t="shared" si="8"/>
        <v>5.4290386758135809E-5</v>
      </c>
      <c r="T9" s="52">
        <v>33.639544999999998</v>
      </c>
      <c r="U9" s="53">
        <f t="shared" si="9"/>
        <v>-0.25160201383184555</v>
      </c>
      <c r="V9" s="72">
        <v>33.424880999999999</v>
      </c>
      <c r="W9" s="73">
        <f t="shared" si="10"/>
        <v>-7.2774364129697108E-2</v>
      </c>
      <c r="X9" s="72">
        <v>42.244262999999997</v>
      </c>
      <c r="Y9" s="73">
        <f t="shared" si="11"/>
        <v>-0.12757282477724016</v>
      </c>
      <c r="Z9" s="72">
        <v>94.325989000000007</v>
      </c>
      <c r="AA9" s="73">
        <f t="shared" si="12"/>
        <v>-2.6280086829820755E-2</v>
      </c>
      <c r="AB9" s="72">
        <v>108.10894</v>
      </c>
      <c r="AC9" s="73">
        <f t="shared" si="13"/>
        <v>-4.4301670854816302E-2</v>
      </c>
      <c r="AD9" s="72">
        <v>131.53405799999999</v>
      </c>
      <c r="AE9" s="73">
        <f t="shared" si="14"/>
        <v>-0.15371622860592055</v>
      </c>
      <c r="AF9" s="72">
        <v>51.829085999999997</v>
      </c>
      <c r="AG9" s="73">
        <f t="shared" si="15"/>
        <v>-4.2896658328228421E-2</v>
      </c>
      <c r="AH9" s="72">
        <v>97.326317000000003</v>
      </c>
      <c r="AI9" s="73">
        <f t="shared" si="16"/>
        <v>-9.4674442497926545E-2</v>
      </c>
      <c r="AJ9" s="72">
        <v>118.187141</v>
      </c>
      <c r="AK9" s="73">
        <f t="shared" si="17"/>
        <v>-5.2986400182340021E-2</v>
      </c>
      <c r="AL9" s="72">
        <v>42.776333000000001</v>
      </c>
      <c r="AM9" s="73">
        <f t="shared" si="18"/>
        <v>-3.0179004672498448E-2</v>
      </c>
      <c r="AN9" s="72">
        <v>301.72000100000002</v>
      </c>
      <c r="AO9" s="78">
        <f t="shared" si="19"/>
        <v>-0.12070878413874284</v>
      </c>
      <c r="AP9" s="52">
        <v>2.4799999999999999E-2</v>
      </c>
      <c r="AQ9" s="73">
        <f t="shared" si="20"/>
        <v>-4.9808429118774041E-2</v>
      </c>
      <c r="AR9" s="72">
        <v>3.96</v>
      </c>
      <c r="AS9" s="73">
        <f t="shared" si="21"/>
        <v>-7.0422535211267567E-2</v>
      </c>
      <c r="AT9" s="8">
        <v>64.168068000000005</v>
      </c>
      <c r="AU9" s="78">
        <f t="shared" si="22"/>
        <v>-2.0919881172073385E-2</v>
      </c>
      <c r="AV9" s="126">
        <v>3.8410000000000002</v>
      </c>
      <c r="AW9" s="53">
        <f t="shared" si="23"/>
        <v>-3.176203680362992E-2</v>
      </c>
      <c r="AX9" s="7"/>
      <c r="AY9" s="7"/>
      <c r="AZ9" s="7"/>
      <c r="BA9" s="7"/>
    </row>
    <row r="10" spans="1:53" ht="14.25" customHeight="1" x14ac:dyDescent="0.2">
      <c r="A10" s="64">
        <v>43617</v>
      </c>
      <c r="B10" s="72">
        <v>33.211910000000003</v>
      </c>
      <c r="C10" s="73">
        <f t="shared" si="0"/>
        <v>-3.4855212197008094E-2</v>
      </c>
      <c r="D10" s="72">
        <v>38.915664999999997</v>
      </c>
      <c r="E10" s="73">
        <f t="shared" si="1"/>
        <v>6.3178562835090107E-3</v>
      </c>
      <c r="F10" s="72">
        <v>64.356910999999997</v>
      </c>
      <c r="G10" s="73">
        <f t="shared" si="2"/>
        <v>2.944560493685406E-2</v>
      </c>
      <c r="H10" s="72">
        <v>31.915001</v>
      </c>
      <c r="I10" s="73">
        <f t="shared" si="3"/>
        <v>3.1846136437116083E-2</v>
      </c>
      <c r="J10" s="72">
        <v>115.629898</v>
      </c>
      <c r="K10" s="73">
        <f t="shared" si="4"/>
        <v>2.4453086824819018E-2</v>
      </c>
      <c r="L10" s="72">
        <v>350.46939099999997</v>
      </c>
      <c r="M10" s="73">
        <f t="shared" si="5"/>
        <v>0.10543406998954404</v>
      </c>
      <c r="N10" s="72">
        <v>188.22744800000001</v>
      </c>
      <c r="O10" s="73">
        <f t="shared" si="6"/>
        <v>7.0796576219338825E-2</v>
      </c>
      <c r="P10" s="72">
        <v>14.897333</v>
      </c>
      <c r="Q10" s="73">
        <f t="shared" si="7"/>
        <v>0.20684810434219056</v>
      </c>
      <c r="R10" s="72">
        <v>188.119507</v>
      </c>
      <c r="S10" s="73">
        <f t="shared" si="8"/>
        <v>7.2519045344487498E-2</v>
      </c>
      <c r="T10" s="52">
        <v>40.830711000000001</v>
      </c>
      <c r="U10" s="53">
        <f t="shared" si="9"/>
        <v>0.21377120291014645</v>
      </c>
      <c r="V10" s="72">
        <v>36.889037999999999</v>
      </c>
      <c r="W10" s="73">
        <f t="shared" si="10"/>
        <v>0.10364006980309071</v>
      </c>
      <c r="X10" s="72">
        <v>47.941871999999996</v>
      </c>
      <c r="Y10" s="73">
        <f t="shared" si="11"/>
        <v>0.13487296488046199</v>
      </c>
      <c r="Z10" s="72">
        <v>102.18289900000001</v>
      </c>
      <c r="AA10" s="73">
        <f t="shared" si="12"/>
        <v>8.329528355117484E-2</v>
      </c>
      <c r="AB10" s="72">
        <v>117.351761</v>
      </c>
      <c r="AC10" s="73">
        <f t="shared" si="13"/>
        <v>8.5495436362617111E-2</v>
      </c>
      <c r="AD10" s="72">
        <v>155.50053399999999</v>
      </c>
      <c r="AE10" s="73">
        <f t="shared" si="14"/>
        <v>0.18220737932376421</v>
      </c>
      <c r="AF10" s="72">
        <v>56.250168000000002</v>
      </c>
      <c r="AG10" s="73">
        <f t="shared" si="15"/>
        <v>8.5301176254584263E-2</v>
      </c>
      <c r="AH10" s="72">
        <v>106.94326</v>
      </c>
      <c r="AI10" s="73">
        <f t="shared" si="16"/>
        <v>9.8811331779871947E-2</v>
      </c>
      <c r="AJ10" s="72">
        <v>128.48443599999999</v>
      </c>
      <c r="AK10" s="73">
        <f t="shared" si="17"/>
        <v>8.7127033557736974E-2</v>
      </c>
      <c r="AL10" s="72">
        <v>45.441203999999999</v>
      </c>
      <c r="AM10" s="73">
        <f t="shared" si="18"/>
        <v>6.2297789761455197E-2</v>
      </c>
      <c r="AN10" s="72">
        <v>313</v>
      </c>
      <c r="AO10" s="78">
        <f t="shared" si="19"/>
        <v>3.7385652136465337E-2</v>
      </c>
      <c r="AP10" s="52">
        <v>2.2599999999999999E-2</v>
      </c>
      <c r="AQ10" s="73">
        <f t="shared" si="20"/>
        <v>-8.8709677419354871E-2</v>
      </c>
      <c r="AR10" s="72">
        <v>4.12</v>
      </c>
      <c r="AS10" s="73">
        <f t="shared" si="21"/>
        <v>4.0404040404040442E-2</v>
      </c>
      <c r="AT10" s="8">
        <v>65.839645000000004</v>
      </c>
      <c r="AU10" s="78">
        <f t="shared" si="22"/>
        <v>2.6049981744814245E-2</v>
      </c>
      <c r="AV10" s="126">
        <v>3.6459999999999999</v>
      </c>
      <c r="AW10" s="53">
        <f t="shared" si="23"/>
        <v>-5.0768029159073226E-2</v>
      </c>
      <c r="AX10" s="7"/>
      <c r="AY10" s="7"/>
      <c r="AZ10" s="7"/>
      <c r="BA10" s="7"/>
    </row>
    <row r="11" spans="1:53" ht="14.25" customHeight="1" x14ac:dyDescent="0.2">
      <c r="A11" s="64">
        <v>43647</v>
      </c>
      <c r="B11" s="72">
        <v>33.535542</v>
      </c>
      <c r="C11" s="73">
        <f t="shared" si="0"/>
        <v>9.744456130345901E-3</v>
      </c>
      <c r="D11" s="72">
        <v>40.606377000000002</v>
      </c>
      <c r="E11" s="73">
        <f t="shared" si="1"/>
        <v>4.3445537934402638E-2</v>
      </c>
      <c r="F11" s="72">
        <v>64.419753999999998</v>
      </c>
      <c r="G11" s="73">
        <f t="shared" si="2"/>
        <v>9.7647632590695463E-4</v>
      </c>
      <c r="H11" s="72">
        <v>32.235000999999997</v>
      </c>
      <c r="I11" s="73">
        <f t="shared" si="3"/>
        <v>1.0026632930388964E-2</v>
      </c>
      <c r="J11" s="72">
        <v>113.52750399999999</v>
      </c>
      <c r="K11" s="73">
        <f t="shared" si="4"/>
        <v>-1.8182096813749708E-2</v>
      </c>
      <c r="L11" s="72">
        <v>351.405731</v>
      </c>
      <c r="M11" s="73">
        <f t="shared" si="5"/>
        <v>2.6716741149016058E-3</v>
      </c>
      <c r="N11" s="72">
        <v>206.56741299999999</v>
      </c>
      <c r="O11" s="73">
        <f t="shared" si="6"/>
        <v>9.743512540211445E-2</v>
      </c>
      <c r="P11" s="72">
        <v>16.107332</v>
      </c>
      <c r="Q11" s="73">
        <f t="shared" si="7"/>
        <v>8.1222524864014239E-2</v>
      </c>
      <c r="R11" s="72">
        <v>192.65257299999999</v>
      </c>
      <c r="S11" s="73">
        <f t="shared" si="8"/>
        <v>2.4096735486341621E-2</v>
      </c>
      <c r="T11" s="52">
        <v>41.947009999999999</v>
      </c>
      <c r="U11" s="53">
        <f t="shared" si="9"/>
        <v>2.7339690459957895E-2</v>
      </c>
      <c r="V11" s="72">
        <v>38.467339000000003</v>
      </c>
      <c r="W11" s="73">
        <f t="shared" si="10"/>
        <v>4.2785095127717977E-2</v>
      </c>
      <c r="X11" s="72">
        <v>51.604365999999999</v>
      </c>
      <c r="Y11" s="73">
        <f t="shared" si="11"/>
        <v>7.639447203897258E-2</v>
      </c>
      <c r="Z11" s="72">
        <v>102.192291</v>
      </c>
      <c r="AA11" s="73">
        <f t="shared" si="12"/>
        <v>9.1913618539939685E-5</v>
      </c>
      <c r="AB11" s="72">
        <v>120.533096</v>
      </c>
      <c r="AC11" s="73">
        <f t="shared" si="13"/>
        <v>2.7109392930200718E-2</v>
      </c>
      <c r="AD11" s="72">
        <v>156.15862999999999</v>
      </c>
      <c r="AE11" s="73">
        <f t="shared" si="14"/>
        <v>4.2321140839297732E-3</v>
      </c>
      <c r="AF11" s="72">
        <v>55.071209000000003</v>
      </c>
      <c r="AG11" s="73">
        <f t="shared" si="15"/>
        <v>-2.0959208512941668E-2</v>
      </c>
      <c r="AH11" s="72">
        <v>114.962067</v>
      </c>
      <c r="AI11" s="73">
        <f t="shared" si="16"/>
        <v>7.4981882916230619E-2</v>
      </c>
      <c r="AJ11" s="72">
        <v>130.70002700000001</v>
      </c>
      <c r="AK11" s="73">
        <f t="shared" si="17"/>
        <v>1.7244041916485649E-2</v>
      </c>
      <c r="AL11" s="72">
        <v>45.951678999999999</v>
      </c>
      <c r="AM11" s="73">
        <f t="shared" si="18"/>
        <v>1.1233747239619786E-2</v>
      </c>
      <c r="AN11" s="72">
        <v>304.76001000000002</v>
      </c>
      <c r="AO11" s="78">
        <f t="shared" si="19"/>
        <v>-2.6325846645367339E-2</v>
      </c>
      <c r="AP11" s="52">
        <v>2.29E-2</v>
      </c>
      <c r="AQ11" s="73">
        <f t="shared" si="20"/>
        <v>1.3274336283185915E-2</v>
      </c>
      <c r="AR11" s="72">
        <v>4.1399999999999997</v>
      </c>
      <c r="AS11" s="73">
        <f t="shared" si="21"/>
        <v>4.8543689320387313E-3</v>
      </c>
      <c r="AT11" s="8">
        <v>66.692702999999995</v>
      </c>
      <c r="AU11" s="78">
        <f t="shared" si="22"/>
        <v>1.295660084436953E-2</v>
      </c>
      <c r="AV11" s="126">
        <v>3.4329999999999998</v>
      </c>
      <c r="AW11" s="53">
        <f t="shared" si="23"/>
        <v>-5.8420186505759759E-2</v>
      </c>
      <c r="AX11" s="7"/>
      <c r="AY11" s="7"/>
      <c r="AZ11" s="7"/>
      <c r="BA11" s="7"/>
    </row>
    <row r="12" spans="1:53" ht="14.25" customHeight="1" x14ac:dyDescent="0.2">
      <c r="A12" s="64">
        <v>43678</v>
      </c>
      <c r="B12" s="72">
        <v>31.163053999999999</v>
      </c>
      <c r="C12" s="73">
        <f t="shared" si="0"/>
        <v>-7.0745479527362362E-2</v>
      </c>
      <c r="D12" s="72">
        <v>41.246505999999997</v>
      </c>
      <c r="E12" s="73">
        <f t="shared" si="1"/>
        <v>1.5764248063795363E-2</v>
      </c>
      <c r="F12" s="72">
        <v>66.970382999999998</v>
      </c>
      <c r="G12" s="73">
        <f t="shared" si="2"/>
        <v>3.9593895375632772E-2</v>
      </c>
      <c r="H12" s="72">
        <v>29.334999</v>
      </c>
      <c r="I12" s="73">
        <f t="shared" si="3"/>
        <v>-8.9964383745482046E-2</v>
      </c>
      <c r="J12" s="72">
        <v>121.450706</v>
      </c>
      <c r="K12" s="73">
        <f t="shared" si="4"/>
        <v>6.9791034954842346E-2</v>
      </c>
      <c r="L12" s="72">
        <v>339.32702599999999</v>
      </c>
      <c r="M12" s="73">
        <f t="shared" si="5"/>
        <v>-3.437253275758332E-2</v>
      </c>
      <c r="N12" s="72">
        <v>207.762497</v>
      </c>
      <c r="O12" s="73">
        <f t="shared" si="6"/>
        <v>5.7854430311329334E-3</v>
      </c>
      <c r="P12" s="72">
        <v>15.040666999999999</v>
      </c>
      <c r="Q12" s="73">
        <f t="shared" si="7"/>
        <v>-6.6222326577734941E-2</v>
      </c>
      <c r="R12" s="72">
        <v>197.02652</v>
      </c>
      <c r="S12" s="73">
        <f t="shared" si="8"/>
        <v>2.2703807854152123E-2</v>
      </c>
      <c r="T12" s="52">
        <v>41.646168000000003</v>
      </c>
      <c r="U12" s="53">
        <f t="shared" si="9"/>
        <v>-7.1719533764145723E-3</v>
      </c>
      <c r="V12" s="72">
        <v>37.626815999999998</v>
      </c>
      <c r="W12" s="73">
        <f t="shared" si="10"/>
        <v>-2.1850302668453479E-2</v>
      </c>
      <c r="X12" s="72">
        <v>50.562786000000003</v>
      </c>
      <c r="Y12" s="73">
        <f t="shared" si="11"/>
        <v>-2.0183951102121789E-2</v>
      </c>
      <c r="Z12" s="72">
        <v>95.683777000000006</v>
      </c>
      <c r="AA12" s="73">
        <f t="shared" si="12"/>
        <v>-6.368889410650351E-2</v>
      </c>
      <c r="AB12" s="72">
        <v>117.972961</v>
      </c>
      <c r="AC12" s="73">
        <f t="shared" si="13"/>
        <v>-2.1240099897541855E-2</v>
      </c>
      <c r="AD12" s="72">
        <v>146.03402700000001</v>
      </c>
      <c r="AE12" s="73">
        <f t="shared" si="14"/>
        <v>-6.4835372851311385E-2</v>
      </c>
      <c r="AF12" s="72">
        <v>53.406979</v>
      </c>
      <c r="AG12" s="73">
        <f t="shared" si="15"/>
        <v>-3.0219601679708961E-2</v>
      </c>
      <c r="AH12" s="72">
        <v>105.105293</v>
      </c>
      <c r="AI12" s="73">
        <f t="shared" si="16"/>
        <v>-8.57393595750153E-2</v>
      </c>
      <c r="AJ12" s="72">
        <v>132.22503699999999</v>
      </c>
      <c r="AK12" s="73">
        <f t="shared" si="17"/>
        <v>1.1668015952284236E-2</v>
      </c>
      <c r="AL12" s="72">
        <v>46.974536999999998</v>
      </c>
      <c r="AM12" s="73">
        <f t="shared" si="18"/>
        <v>2.2259426037512131E-2</v>
      </c>
      <c r="AN12" s="72">
        <v>290.04998799999998</v>
      </c>
      <c r="AO12" s="78">
        <f t="shared" si="19"/>
        <v>-4.8267559775969415E-2</v>
      </c>
      <c r="AP12" s="52">
        <v>2.2800000000000001E-2</v>
      </c>
      <c r="AQ12" s="73">
        <f t="shared" si="20"/>
        <v>-4.3668122270742096E-3</v>
      </c>
      <c r="AR12" s="72">
        <v>3.98</v>
      </c>
      <c r="AS12" s="73">
        <f t="shared" si="21"/>
        <v>-3.8647342995169011E-2</v>
      </c>
      <c r="AT12" s="8">
        <v>65.053878999999995</v>
      </c>
      <c r="AU12" s="78">
        <f t="shared" si="22"/>
        <v>-2.4572763230184265E-2</v>
      </c>
      <c r="AV12" s="126">
        <v>3.4729999999999999</v>
      </c>
      <c r="AW12" s="53">
        <f t="shared" si="23"/>
        <v>1.1651616661811838E-2</v>
      </c>
      <c r="AX12" s="7"/>
      <c r="AY12" s="7"/>
      <c r="AZ12" s="7"/>
      <c r="BA12" s="7"/>
    </row>
    <row r="13" spans="1:53" ht="14.25" customHeight="1" x14ac:dyDescent="0.2">
      <c r="A13" s="64">
        <v>43709</v>
      </c>
      <c r="B13" s="72">
        <v>29.139655999999999</v>
      </c>
      <c r="C13" s="73">
        <f t="shared" si="0"/>
        <v>-6.4929387216028325E-2</v>
      </c>
      <c r="D13" s="72">
        <v>40.303421</v>
      </c>
      <c r="E13" s="73">
        <f t="shared" si="1"/>
        <v>-2.2864603367858515E-2</v>
      </c>
      <c r="F13" s="72">
        <v>66.392357000000004</v>
      </c>
      <c r="G13" s="73">
        <f t="shared" si="2"/>
        <v>-8.6310690503292199E-3</v>
      </c>
      <c r="H13" s="72">
        <v>29.030000999999999</v>
      </c>
      <c r="I13" s="73">
        <f t="shared" si="3"/>
        <v>-1.0397068702814724E-2</v>
      </c>
      <c r="J13" s="72">
        <v>121.77937300000001</v>
      </c>
      <c r="K13" s="73">
        <f t="shared" si="4"/>
        <v>2.7061761172471905E-3</v>
      </c>
      <c r="L13" s="72">
        <v>341.43383799999998</v>
      </c>
      <c r="M13" s="73">
        <f t="shared" si="5"/>
        <v>6.2087951697663802E-3</v>
      </c>
      <c r="N13" s="72">
        <v>197.863968</v>
      </c>
      <c r="O13" s="73">
        <f t="shared" si="6"/>
        <v>-4.7643483029567155E-2</v>
      </c>
      <c r="P13" s="72">
        <v>16.058001000000001</v>
      </c>
      <c r="Q13" s="73">
        <f t="shared" si="7"/>
        <v>6.7638888621096516E-2</v>
      </c>
      <c r="R13" s="72">
        <v>189.12863200000001</v>
      </c>
      <c r="S13" s="73">
        <f t="shared" si="8"/>
        <v>-4.0085405761620285E-2</v>
      </c>
      <c r="T13" s="52">
        <v>43.319961999999997</v>
      </c>
      <c r="U13" s="53">
        <f t="shared" si="9"/>
        <v>4.0190828601565302E-2</v>
      </c>
      <c r="V13" s="72">
        <v>36.529586999999999</v>
      </c>
      <c r="W13" s="73">
        <f t="shared" si="10"/>
        <v>-2.9160825088149864E-2</v>
      </c>
      <c r="X13" s="72">
        <v>54.458053999999997</v>
      </c>
      <c r="Y13" s="73">
        <f t="shared" si="11"/>
        <v>7.7038239150825152E-2</v>
      </c>
      <c r="Z13" s="72">
        <v>85.233611999999994</v>
      </c>
      <c r="AA13" s="73">
        <f t="shared" si="12"/>
        <v>-0.10921564059913742</v>
      </c>
      <c r="AB13" s="72">
        <v>112.193848</v>
      </c>
      <c r="AC13" s="73">
        <f t="shared" si="13"/>
        <v>-4.8986758923512952E-2</v>
      </c>
      <c r="AD13" s="72">
        <v>159.01499899999999</v>
      </c>
      <c r="AE13" s="73">
        <f t="shared" si="14"/>
        <v>8.8890050262052822E-2</v>
      </c>
      <c r="AF13" s="72">
        <v>53.272494999999999</v>
      </c>
      <c r="AG13" s="73">
        <f t="shared" si="15"/>
        <v>-2.5180978688197379E-3</v>
      </c>
      <c r="AH13" s="72">
        <v>114.103889</v>
      </c>
      <c r="AI13" s="73">
        <f t="shared" si="16"/>
        <v>8.561506031860823E-2</v>
      </c>
      <c r="AJ13" s="72">
        <v>133.79125999999999</v>
      </c>
      <c r="AK13" s="73">
        <f t="shared" si="17"/>
        <v>1.1845131871659132E-2</v>
      </c>
      <c r="AL13" s="72">
        <v>48.127071000000001</v>
      </c>
      <c r="AM13" s="73">
        <f t="shared" si="18"/>
        <v>2.4535292386170894E-2</v>
      </c>
      <c r="AN13" s="72">
        <v>277.39999399999999</v>
      </c>
      <c r="AO13" s="78">
        <f t="shared" si="19"/>
        <v>-4.3613151261361172E-2</v>
      </c>
      <c r="AP13" s="52">
        <v>2.3199999999999998E-2</v>
      </c>
      <c r="AQ13" s="73">
        <f t="shared" si="20"/>
        <v>1.7543859649122702E-2</v>
      </c>
      <c r="AR13" s="72">
        <v>4.1100000000000003</v>
      </c>
      <c r="AS13" s="73">
        <f t="shared" si="21"/>
        <v>3.2663316582914659E-2</v>
      </c>
      <c r="AT13" s="8">
        <v>69.904442000000003</v>
      </c>
      <c r="AU13" s="78">
        <f t="shared" si="22"/>
        <v>7.4562240938776433E-2</v>
      </c>
      <c r="AV13" s="126">
        <v>3.9279999999999999</v>
      </c>
      <c r="AW13" s="53">
        <f t="shared" si="23"/>
        <v>0.13101065361359057</v>
      </c>
      <c r="AX13" s="7"/>
      <c r="AY13" s="7"/>
      <c r="AZ13" s="7"/>
      <c r="BA13" s="7"/>
    </row>
    <row r="14" spans="1:53" ht="14.25" customHeight="1" x14ac:dyDescent="0.2">
      <c r="A14" s="64">
        <v>43739</v>
      </c>
      <c r="B14" s="72">
        <v>32.525658</v>
      </c>
      <c r="C14" s="73">
        <f t="shared" si="0"/>
        <v>0.11619910681169336</v>
      </c>
      <c r="D14" s="72">
        <v>41.994132999999998</v>
      </c>
      <c r="E14" s="73">
        <f t="shared" si="1"/>
        <v>4.1949590333783274E-2</v>
      </c>
      <c r="F14" s="72">
        <v>61.957763999999997</v>
      </c>
      <c r="G14" s="73">
        <f t="shared" si="2"/>
        <v>-6.6793727476793852E-2</v>
      </c>
      <c r="H14" s="72">
        <v>28.065000999999999</v>
      </c>
      <c r="I14" s="73">
        <f t="shared" si="3"/>
        <v>-3.3241473191819727E-2</v>
      </c>
      <c r="J14" s="72">
        <v>122.683533</v>
      </c>
      <c r="K14" s="73">
        <f t="shared" si="4"/>
        <v>7.4245742749881813E-3</v>
      </c>
      <c r="L14" s="72">
        <v>358.14730800000001</v>
      </c>
      <c r="M14" s="73">
        <f t="shared" si="5"/>
        <v>4.8950830702374701E-2</v>
      </c>
      <c r="N14" s="72">
        <v>213.18454</v>
      </c>
      <c r="O14" s="73">
        <f t="shared" si="6"/>
        <v>7.7429822897314982E-2</v>
      </c>
      <c r="P14" s="72">
        <v>20.994667</v>
      </c>
      <c r="Q14" s="73">
        <f t="shared" si="7"/>
        <v>0.30742718225014426</v>
      </c>
      <c r="R14" s="72">
        <v>183.85249300000001</v>
      </c>
      <c r="S14" s="73">
        <f t="shared" si="8"/>
        <v>-2.7897092810357769E-2</v>
      </c>
      <c r="T14" s="52">
        <v>50.026878000000004</v>
      </c>
      <c r="U14" s="53">
        <f t="shared" si="9"/>
        <v>0.15482275815477417</v>
      </c>
      <c r="V14" s="72">
        <v>33.034072999999999</v>
      </c>
      <c r="W14" s="73">
        <f t="shared" si="10"/>
        <v>-9.5689940321526223E-2</v>
      </c>
      <c r="X14" s="72">
        <v>60.485714000000002</v>
      </c>
      <c r="Y14" s="73">
        <f t="shared" si="11"/>
        <v>0.11068445449776822</v>
      </c>
      <c r="Z14" s="72">
        <v>89.549926999999997</v>
      </c>
      <c r="AA14" s="73">
        <f t="shared" si="12"/>
        <v>5.064099594887523E-2</v>
      </c>
      <c r="AB14" s="72">
        <v>120.871933</v>
      </c>
      <c r="AC14" s="73">
        <f t="shared" si="13"/>
        <v>7.7349027194432221E-2</v>
      </c>
      <c r="AD14" s="72">
        <v>164.915359</v>
      </c>
      <c r="AE14" s="73">
        <f t="shared" si="14"/>
        <v>3.7105682087260249E-2</v>
      </c>
      <c r="AF14" s="72">
        <v>54.050026000000003</v>
      </c>
      <c r="AG14" s="73">
        <f t="shared" si="15"/>
        <v>1.4595355445619795E-2</v>
      </c>
      <c r="AH14" s="72">
        <v>104.931335</v>
      </c>
      <c r="AI14" s="73">
        <f t="shared" si="16"/>
        <v>-8.0387742086511976E-2</v>
      </c>
      <c r="AJ14" s="72">
        <v>137.967682</v>
      </c>
      <c r="AK14" s="73">
        <f t="shared" si="17"/>
        <v>3.1215955362106633E-2</v>
      </c>
      <c r="AL14" s="72">
        <v>44.407527999999999</v>
      </c>
      <c r="AM14" s="73">
        <f t="shared" si="18"/>
        <v>-7.7285879292342582E-2</v>
      </c>
      <c r="AN14" s="72">
        <v>306.27999899999998</v>
      </c>
      <c r="AO14" s="78">
        <f t="shared" si="19"/>
        <v>0.10410960931743922</v>
      </c>
      <c r="AP14" s="52">
        <v>2.3199999999999998E-2</v>
      </c>
      <c r="AQ14" s="73">
        <f t="shared" si="20"/>
        <v>0</v>
      </c>
      <c r="AR14" s="72">
        <v>4.16</v>
      </c>
      <c r="AS14" s="73">
        <f t="shared" si="21"/>
        <v>1.2165450121654457E-2</v>
      </c>
      <c r="AT14" s="8">
        <v>70.728699000000006</v>
      </c>
      <c r="AU14" s="78">
        <f t="shared" si="22"/>
        <v>1.1791196330556546E-2</v>
      </c>
      <c r="AV14" s="126">
        <v>3.51</v>
      </c>
      <c r="AW14" s="53">
        <f t="shared" si="23"/>
        <v>-0.10641547861507132</v>
      </c>
      <c r="AX14" s="7"/>
      <c r="AY14" s="7"/>
      <c r="AZ14" s="7"/>
      <c r="BA14" s="7"/>
    </row>
    <row r="15" spans="1:53" ht="14.25" customHeight="1" x14ac:dyDescent="0.2">
      <c r="A15" s="64">
        <v>43770</v>
      </c>
      <c r="B15" s="72">
        <v>36.091206</v>
      </c>
      <c r="C15" s="73">
        <f t="shared" si="0"/>
        <v>0.10962262469832278</v>
      </c>
      <c r="D15" s="72">
        <v>43.259715999999997</v>
      </c>
      <c r="E15" s="73">
        <f t="shared" si="1"/>
        <v>3.013713844264863E-2</v>
      </c>
      <c r="F15" s="72">
        <v>61.641384000000002</v>
      </c>
      <c r="G15" s="73">
        <f t="shared" si="2"/>
        <v>-5.1063818248830804E-3</v>
      </c>
      <c r="H15" s="72">
        <v>29.91</v>
      </c>
      <c r="I15" s="73">
        <f t="shared" si="3"/>
        <v>6.5740207883833723E-2</v>
      </c>
      <c r="J15" s="72">
        <v>121.48505400000001</v>
      </c>
      <c r="K15" s="73">
        <f t="shared" si="4"/>
        <v>-9.7688660465947933E-3</v>
      </c>
      <c r="L15" s="72">
        <v>381.36834700000003</v>
      </c>
      <c r="M15" s="73">
        <f t="shared" si="5"/>
        <v>6.4836558816184151E-2</v>
      </c>
      <c r="N15" s="72">
        <v>218.961197</v>
      </c>
      <c r="O15" s="73">
        <f t="shared" si="6"/>
        <v>2.7096978983560442E-2</v>
      </c>
      <c r="P15" s="72">
        <v>21.995999999999999</v>
      </c>
      <c r="Q15" s="73">
        <f t="shared" si="7"/>
        <v>4.7694635975888494E-2</v>
      </c>
      <c r="R15" s="72">
        <v>178.68351699999999</v>
      </c>
      <c r="S15" s="73">
        <f t="shared" si="8"/>
        <v>-2.8114799618191823E-2</v>
      </c>
      <c r="T15" s="52">
        <v>53.939041000000003</v>
      </c>
      <c r="U15" s="53">
        <f t="shared" si="9"/>
        <v>7.8201222151020489E-2</v>
      </c>
      <c r="V15" s="72">
        <v>33.287101999999997</v>
      </c>
      <c r="W15" s="73">
        <f t="shared" si="10"/>
        <v>7.6596367635319434E-3</v>
      </c>
      <c r="X15" s="72">
        <v>64.981537000000003</v>
      </c>
      <c r="Y15" s="73">
        <f t="shared" si="11"/>
        <v>7.4328675362912988E-2</v>
      </c>
      <c r="Z15" s="72">
        <v>89.003310999999997</v>
      </c>
      <c r="AA15" s="73">
        <f t="shared" si="12"/>
        <v>-6.1040362433796317E-3</v>
      </c>
      <c r="AB15" s="72">
        <v>125.55922700000001</v>
      </c>
      <c r="AC15" s="73">
        <f t="shared" si="13"/>
        <v>3.8779010839513989E-2</v>
      </c>
      <c r="AD15" s="72">
        <v>159.14797999999999</v>
      </c>
      <c r="AE15" s="73">
        <f t="shared" si="14"/>
        <v>-3.4971751782076316E-2</v>
      </c>
      <c r="AF15" s="72">
        <v>57.044795999999998</v>
      </c>
      <c r="AG15" s="73">
        <f t="shared" si="15"/>
        <v>5.5407373902095727E-2</v>
      </c>
      <c r="AH15" s="72">
        <v>105.496284</v>
      </c>
      <c r="AI15" s="73">
        <f t="shared" si="16"/>
        <v>5.383987538136235E-3</v>
      </c>
      <c r="AJ15" s="72">
        <v>145.67590300000001</v>
      </c>
      <c r="AK15" s="73">
        <f t="shared" si="17"/>
        <v>5.5869757962593074E-2</v>
      </c>
      <c r="AL15" s="72">
        <v>46.980559999999997</v>
      </c>
      <c r="AM15" s="73">
        <f t="shared" si="18"/>
        <v>5.7941347241845971E-2</v>
      </c>
      <c r="AN15" s="72">
        <v>369</v>
      </c>
      <c r="AO15" s="78">
        <f t="shared" si="19"/>
        <v>0.2047799438578424</v>
      </c>
      <c r="AP15" s="52">
        <v>0.02</v>
      </c>
      <c r="AQ15" s="73">
        <f t="shared" si="20"/>
        <v>-0.13793103448275854</v>
      </c>
      <c r="AR15" s="72">
        <v>4.2300000000000004</v>
      </c>
      <c r="AS15" s="73">
        <f t="shared" si="21"/>
        <v>1.6826923076923146E-2</v>
      </c>
      <c r="AT15" s="8">
        <v>73.204109000000003</v>
      </c>
      <c r="AU15" s="78">
        <f t="shared" si="22"/>
        <v>3.499866440354002E-2</v>
      </c>
      <c r="AV15" s="126">
        <v>3.879</v>
      </c>
      <c r="AW15" s="53">
        <f t="shared" si="23"/>
        <v>0.1051282051282052</v>
      </c>
      <c r="AX15" s="7"/>
      <c r="AY15" s="7"/>
      <c r="AZ15" s="7"/>
      <c r="BA15" s="7"/>
    </row>
    <row r="16" spans="1:53" ht="14.25" customHeight="1" x14ac:dyDescent="0.2">
      <c r="A16" s="64">
        <v>43800</v>
      </c>
      <c r="B16" s="72">
        <v>36.243701999999999</v>
      </c>
      <c r="C16" s="73">
        <f t="shared" si="0"/>
        <v>4.2252952145738574E-3</v>
      </c>
      <c r="D16" s="72">
        <v>39.116013000000002</v>
      </c>
      <c r="E16" s="73">
        <f t="shared" si="1"/>
        <v>-9.5786643629375542E-2</v>
      </c>
      <c r="F16" s="72">
        <v>62.568438999999998</v>
      </c>
      <c r="G16" s="73">
        <f t="shared" si="2"/>
        <v>1.503949035277981E-2</v>
      </c>
      <c r="H16" s="72">
        <v>31.774999999999999</v>
      </c>
      <c r="I16" s="73">
        <f t="shared" si="3"/>
        <v>6.2353727850217269E-2</v>
      </c>
      <c r="J16" s="72">
        <v>122.23629800000001</v>
      </c>
      <c r="K16" s="73">
        <f t="shared" si="4"/>
        <v>6.1838388778260719E-3</v>
      </c>
      <c r="L16" s="72">
        <v>387.829071</v>
      </c>
      <c r="M16" s="73">
        <f t="shared" si="5"/>
        <v>1.6940902544279508E-2</v>
      </c>
      <c r="N16" s="72">
        <v>229.84931900000001</v>
      </c>
      <c r="O16" s="73">
        <f t="shared" si="6"/>
        <v>4.9726262685712348E-2</v>
      </c>
      <c r="P16" s="72">
        <v>27.888666000000001</v>
      </c>
      <c r="Q16" s="73">
        <f t="shared" si="7"/>
        <v>0.26789716312056749</v>
      </c>
      <c r="R16" s="72">
        <v>184.733124</v>
      </c>
      <c r="S16" s="73">
        <f t="shared" si="8"/>
        <v>3.3856547607578204E-2</v>
      </c>
      <c r="T16" s="52">
        <v>58.601185000000001</v>
      </c>
      <c r="U16" s="53">
        <f t="shared" si="9"/>
        <v>8.6433572298773312E-2</v>
      </c>
      <c r="V16" s="72">
        <v>33.972678999999999</v>
      </c>
      <c r="W16" s="73">
        <f t="shared" si="10"/>
        <v>2.0595875243209882E-2</v>
      </c>
      <c r="X16" s="72">
        <v>71.615027999999995</v>
      </c>
      <c r="Y16" s="73">
        <f t="shared" si="11"/>
        <v>0.10208270389172223</v>
      </c>
      <c r="Z16" s="72">
        <v>88.380447000000004</v>
      </c>
      <c r="AA16" s="73">
        <f t="shared" si="12"/>
        <v>-6.9982115609158943E-3</v>
      </c>
      <c r="AB16" s="72">
        <v>122.810852</v>
      </c>
      <c r="AC16" s="73">
        <f t="shared" si="13"/>
        <v>-2.188907231803848E-2</v>
      </c>
      <c r="AD16" s="72">
        <v>164.08195499999999</v>
      </c>
      <c r="AE16" s="73">
        <f t="shared" si="14"/>
        <v>3.1002435594847035E-2</v>
      </c>
      <c r="AF16" s="72">
        <v>55.127476000000001</v>
      </c>
      <c r="AG16" s="73">
        <f t="shared" si="15"/>
        <v>-3.361077844857218E-2</v>
      </c>
      <c r="AH16" s="72">
        <v>106.416794</v>
      </c>
      <c r="AI16" s="73">
        <f t="shared" si="16"/>
        <v>8.725520606962734E-3</v>
      </c>
      <c r="AJ16" s="72">
        <v>152.27413899999999</v>
      </c>
      <c r="AK16" s="73">
        <f t="shared" si="17"/>
        <v>4.5293942677671173E-2</v>
      </c>
      <c r="AL16" s="72">
        <v>47.192024000000004</v>
      </c>
      <c r="AM16" s="73">
        <f t="shared" si="18"/>
        <v>4.5010957723791833E-3</v>
      </c>
      <c r="AN16" s="72">
        <v>375.48001099999999</v>
      </c>
      <c r="AO16" s="78">
        <f t="shared" si="19"/>
        <v>1.7561005420054173E-2</v>
      </c>
      <c r="AP16" s="52">
        <v>1.8499999999999999E-2</v>
      </c>
      <c r="AQ16" s="73">
        <f t="shared" si="20"/>
        <v>-7.5000000000000067E-2</v>
      </c>
      <c r="AR16" s="72">
        <v>4.47</v>
      </c>
      <c r="AS16" s="73">
        <f t="shared" si="21"/>
        <v>5.6737588652482102E-2</v>
      </c>
      <c r="AT16" s="8">
        <v>72.571090999999996</v>
      </c>
      <c r="AU16" s="78">
        <f t="shared" si="22"/>
        <v>-8.6473014786643595E-3</v>
      </c>
      <c r="AV16" s="126">
        <v>3.6110000000000002</v>
      </c>
      <c r="AW16" s="53">
        <f t="shared" si="23"/>
        <v>-6.9089971642175771E-2</v>
      </c>
      <c r="AX16" s="7"/>
      <c r="AY16" s="7"/>
      <c r="AZ16" s="7"/>
      <c r="BA16" s="7"/>
    </row>
    <row r="17" spans="1:53" ht="14.25" customHeight="1" x14ac:dyDescent="0.2">
      <c r="A17" s="64">
        <v>43831</v>
      </c>
      <c r="B17" s="72">
        <v>35.087124000000003</v>
      </c>
      <c r="C17" s="73">
        <f t="shared" si="0"/>
        <v>-3.1911144176166001E-2</v>
      </c>
      <c r="D17" s="72">
        <v>39.770794000000002</v>
      </c>
      <c r="E17" s="73">
        <f t="shared" si="1"/>
        <v>1.6739461662414312E-2</v>
      </c>
      <c r="F17" s="72">
        <v>67.058411000000007</v>
      </c>
      <c r="G17" s="73">
        <f t="shared" si="2"/>
        <v>7.1760972013382163E-2</v>
      </c>
      <c r="H17" s="72">
        <v>33.299999</v>
      </c>
      <c r="I17" s="73">
        <f t="shared" si="3"/>
        <v>4.799367427222663E-2</v>
      </c>
      <c r="J17" s="72">
        <v>127.911034</v>
      </c>
      <c r="K17" s="73">
        <f t="shared" si="4"/>
        <v>4.6424311704858695E-2</v>
      </c>
      <c r="L17" s="72">
        <v>372.19906600000002</v>
      </c>
      <c r="M17" s="73">
        <f t="shared" si="5"/>
        <v>-4.0301272309728381E-2</v>
      </c>
      <c r="N17" s="72">
        <v>248.61210600000001</v>
      </c>
      <c r="O17" s="73">
        <f t="shared" si="6"/>
        <v>8.1630813968171914E-2</v>
      </c>
      <c r="P17" s="72">
        <v>43.371333999999997</v>
      </c>
      <c r="Q17" s="73">
        <f t="shared" si="7"/>
        <v>0.55515986315014121</v>
      </c>
      <c r="R17" s="72">
        <v>188.19648699999999</v>
      </c>
      <c r="S17" s="73">
        <f t="shared" si="8"/>
        <v>1.8747926332908151E-2</v>
      </c>
      <c r="T17" s="52">
        <v>58.882603000000003</v>
      </c>
      <c r="U17" s="53">
        <f t="shared" si="9"/>
        <v>4.8022578383014299E-3</v>
      </c>
      <c r="V17" s="72">
        <v>31.573605000000001</v>
      </c>
      <c r="W17" s="73">
        <f t="shared" si="10"/>
        <v>-7.0617745512504299E-2</v>
      </c>
      <c r="X17" s="72">
        <v>75.482956000000001</v>
      </c>
      <c r="Y17" s="73">
        <f t="shared" si="11"/>
        <v>5.4010004715770082E-2</v>
      </c>
      <c r="Z17" s="72">
        <v>87.916977000000003</v>
      </c>
      <c r="AA17" s="73">
        <f t="shared" si="12"/>
        <v>-5.2440332192481547E-3</v>
      </c>
      <c r="AB17" s="72">
        <v>125.408638</v>
      </c>
      <c r="AC17" s="73">
        <f t="shared" si="13"/>
        <v>2.1152739824653276E-2</v>
      </c>
      <c r="AD17" s="72">
        <v>150.831604</v>
      </c>
      <c r="AE17" s="73">
        <f t="shared" si="14"/>
        <v>-8.0754468094922413E-2</v>
      </c>
      <c r="AF17" s="72">
        <v>54.120403000000003</v>
      </c>
      <c r="AG17" s="73">
        <f t="shared" si="15"/>
        <v>-1.8268077428395202E-2</v>
      </c>
      <c r="AH17" s="72">
        <v>114.109863</v>
      </c>
      <c r="AI17" s="73">
        <f t="shared" si="16"/>
        <v>7.2291869646063656E-2</v>
      </c>
      <c r="AJ17" s="72">
        <v>164.37301600000001</v>
      </c>
      <c r="AK17" s="73">
        <f t="shared" si="17"/>
        <v>7.9454575014868523E-2</v>
      </c>
      <c r="AL17" s="72">
        <v>46.011344999999999</v>
      </c>
      <c r="AM17" s="73">
        <f t="shared" si="18"/>
        <v>-2.5018613314826355E-2</v>
      </c>
      <c r="AN17" s="72">
        <v>337.94000199999999</v>
      </c>
      <c r="AO17" s="78">
        <f t="shared" si="19"/>
        <v>-9.9978714978784841E-2</v>
      </c>
      <c r="AP17" s="52">
        <v>1.6E-2</v>
      </c>
      <c r="AQ17" s="73">
        <f t="shared" si="20"/>
        <v>-0.13513513513513509</v>
      </c>
      <c r="AR17" s="72">
        <v>4.2300000000000004</v>
      </c>
      <c r="AS17" s="73">
        <f t="shared" si="21"/>
        <v>-5.3691275167785088E-2</v>
      </c>
      <c r="AT17" s="8">
        <v>74.649033000000003</v>
      </c>
      <c r="AU17" s="78">
        <f t="shared" si="22"/>
        <v>2.8633192244553792E-2</v>
      </c>
      <c r="AV17" s="126">
        <v>4.05</v>
      </c>
      <c r="AW17" s="53">
        <f t="shared" si="23"/>
        <v>0.1215729714760453</v>
      </c>
      <c r="AX17" s="7"/>
      <c r="AY17" s="7"/>
      <c r="AZ17" s="7"/>
      <c r="BA17" s="7"/>
    </row>
    <row r="18" spans="1:53" ht="14.25" customHeight="1" x14ac:dyDescent="0.2">
      <c r="A18" s="64">
        <v>43862</v>
      </c>
      <c r="B18" s="72">
        <v>29.801538000000001</v>
      </c>
      <c r="C18" s="73">
        <f t="shared" si="0"/>
        <v>-0.15064175678804573</v>
      </c>
      <c r="D18" s="72">
        <v>43.914501000000001</v>
      </c>
      <c r="E18" s="73">
        <f t="shared" si="1"/>
        <v>0.10418969759567785</v>
      </c>
      <c r="F18" s="72">
        <v>61.786822999999998</v>
      </c>
      <c r="G18" s="73">
        <f t="shared" si="2"/>
        <v>-7.8611883600999855E-2</v>
      </c>
      <c r="H18" s="72">
        <v>31.204999999999998</v>
      </c>
      <c r="I18" s="73">
        <f t="shared" si="3"/>
        <v>-6.2912884772158742E-2</v>
      </c>
      <c r="J18" s="72">
        <v>118.913467</v>
      </c>
      <c r="K18" s="73">
        <f t="shared" si="4"/>
        <v>-7.0342383441290943E-2</v>
      </c>
      <c r="L18" s="72">
        <v>349.17794800000001</v>
      </c>
      <c r="M18" s="73">
        <f t="shared" si="5"/>
        <v>-6.1851627537399569E-2</v>
      </c>
      <c r="N18" s="72">
        <v>232.38587999999999</v>
      </c>
      <c r="O18" s="73">
        <f t="shared" si="6"/>
        <v>-6.5267240043411334E-2</v>
      </c>
      <c r="P18" s="72">
        <v>44.532665000000001</v>
      </c>
      <c r="Q18" s="73">
        <f t="shared" si="7"/>
        <v>2.6776464841962302E-2</v>
      </c>
      <c r="R18" s="72">
        <v>173.16838100000001</v>
      </c>
      <c r="S18" s="73">
        <f t="shared" si="8"/>
        <v>-7.9853275900946971E-2</v>
      </c>
      <c r="T18" s="52">
        <v>67.260620000000003</v>
      </c>
      <c r="U18" s="53">
        <f t="shared" si="9"/>
        <v>0.14228340075251089</v>
      </c>
      <c r="V18" s="72">
        <v>32.589683999999998</v>
      </c>
      <c r="W18" s="73">
        <f t="shared" si="10"/>
        <v>3.2181279267920075E-2</v>
      </c>
      <c r="X18" s="72">
        <v>66.666732999999994</v>
      </c>
      <c r="Y18" s="73">
        <f t="shared" si="11"/>
        <v>-0.11679753241248272</v>
      </c>
      <c r="Z18" s="72">
        <v>83.717392000000004</v>
      </c>
      <c r="AA18" s="73">
        <f t="shared" si="12"/>
        <v>-4.7767622856277225E-2</v>
      </c>
      <c r="AB18" s="72">
        <v>101.746269</v>
      </c>
      <c r="AC18" s="73">
        <f t="shared" si="13"/>
        <v>-0.18868213049247851</v>
      </c>
      <c r="AD18" s="72">
        <v>148.834259</v>
      </c>
      <c r="AE18" s="73">
        <f t="shared" si="14"/>
        <v>-1.3242218122933943E-2</v>
      </c>
      <c r="AF18" s="72">
        <v>59.395423999999998</v>
      </c>
      <c r="AG18" s="73">
        <f t="shared" si="15"/>
        <v>9.7468250559774927E-2</v>
      </c>
      <c r="AH18" s="72">
        <v>103.32847599999999</v>
      </c>
      <c r="AI18" s="73">
        <f t="shared" si="16"/>
        <v>-9.4482516379850612E-2</v>
      </c>
      <c r="AJ18" s="72">
        <v>156.43583699999999</v>
      </c>
      <c r="AK18" s="73">
        <f t="shared" si="17"/>
        <v>-4.8287603361856023E-2</v>
      </c>
      <c r="AL18" s="72">
        <v>43.577213</v>
      </c>
      <c r="AM18" s="73">
        <f t="shared" si="18"/>
        <v>-5.2902865586737319E-2</v>
      </c>
      <c r="AN18" s="72">
        <v>444.57000699999998</v>
      </c>
      <c r="AO18" s="78">
        <f t="shared" si="19"/>
        <v>0.31552939684246079</v>
      </c>
      <c r="AP18" s="52">
        <v>1.44E-2</v>
      </c>
      <c r="AQ18" s="73">
        <f t="shared" si="20"/>
        <v>-0.10000000000000005</v>
      </c>
      <c r="AR18" s="72">
        <v>4.05</v>
      </c>
      <c r="AS18" s="73">
        <f t="shared" si="21"/>
        <v>-4.255319148936184E-2</v>
      </c>
      <c r="AT18" s="8">
        <v>71.804901000000001</v>
      </c>
      <c r="AU18" s="78">
        <f t="shared" si="22"/>
        <v>-3.8100051476889218E-2</v>
      </c>
      <c r="AV18" s="126">
        <v>3.8290000000000002</v>
      </c>
      <c r="AW18" s="53">
        <f t="shared" si="23"/>
        <v>-5.4567901234567812E-2</v>
      </c>
      <c r="AX18" s="7"/>
      <c r="AY18" s="7"/>
      <c r="AZ18" s="7"/>
      <c r="BA18" s="7"/>
    </row>
    <row r="19" spans="1:53" ht="14.25" customHeight="1" x14ac:dyDescent="0.2">
      <c r="A19" s="64">
        <v>43891</v>
      </c>
      <c r="B19" s="72">
        <v>28.546585</v>
      </c>
      <c r="C19" s="73">
        <f t="shared" si="0"/>
        <v>-4.2110343432610775E-2</v>
      </c>
      <c r="D19" s="72">
        <v>43.719043999999997</v>
      </c>
      <c r="E19" s="73">
        <f t="shared" si="1"/>
        <v>-4.450853261431905E-3</v>
      </c>
      <c r="F19" s="72">
        <v>60.680393000000002</v>
      </c>
      <c r="G19" s="73">
        <f t="shared" si="2"/>
        <v>-1.7907216236057257E-2</v>
      </c>
      <c r="H19" s="72">
        <v>28.129999000000002</v>
      </c>
      <c r="I19" s="73">
        <f t="shared" si="3"/>
        <v>-9.8541932382630884E-2</v>
      </c>
      <c r="J19" s="72">
        <v>108.168648</v>
      </c>
      <c r="K19" s="73">
        <f t="shared" si="4"/>
        <v>-9.0358302310704575E-2</v>
      </c>
      <c r="L19" s="72">
        <v>318.67138699999998</v>
      </c>
      <c r="M19" s="73">
        <f t="shared" si="5"/>
        <v>-8.7366803014719677E-2</v>
      </c>
      <c r="N19" s="72">
        <v>205.18714900000001</v>
      </c>
      <c r="O19" s="73">
        <f t="shared" si="6"/>
        <v>-0.1170412376173629</v>
      </c>
      <c r="P19" s="72">
        <v>34.933334000000002</v>
      </c>
      <c r="Q19" s="73">
        <f t="shared" si="7"/>
        <v>-0.21555707478993227</v>
      </c>
      <c r="R19" s="72">
        <v>149.54186999999999</v>
      </c>
      <c r="S19" s="73">
        <f t="shared" si="8"/>
        <v>-0.13643663389103361</v>
      </c>
      <c r="T19" s="52">
        <v>65.688537999999994</v>
      </c>
      <c r="U19" s="53">
        <f t="shared" si="9"/>
        <v>-2.337299299352294E-2</v>
      </c>
      <c r="V19" s="72">
        <v>28.410495999999998</v>
      </c>
      <c r="W19" s="73">
        <f t="shared" si="10"/>
        <v>-0.12823653030817975</v>
      </c>
      <c r="X19" s="72">
        <v>62.163142999999998</v>
      </c>
      <c r="Y19" s="73">
        <f t="shared" si="11"/>
        <v>-6.7553782783986063E-2</v>
      </c>
      <c r="Z19" s="72">
        <v>80.255547000000007</v>
      </c>
      <c r="AA19" s="73">
        <f t="shared" si="12"/>
        <v>-4.1351562886717694E-2</v>
      </c>
      <c r="AB19" s="72">
        <v>55.852207</v>
      </c>
      <c r="AC19" s="73">
        <f t="shared" si="13"/>
        <v>-0.45106383212931372</v>
      </c>
      <c r="AD19" s="72">
        <v>131.40936300000001</v>
      </c>
      <c r="AE19" s="73">
        <f t="shared" si="14"/>
        <v>-0.11707584071755946</v>
      </c>
      <c r="AF19" s="72">
        <v>64.019638</v>
      </c>
      <c r="AG19" s="73">
        <f t="shared" si="15"/>
        <v>7.7854718235532791E-2</v>
      </c>
      <c r="AH19" s="72">
        <v>88.988990999999999</v>
      </c>
      <c r="AI19" s="73">
        <f t="shared" si="16"/>
        <v>-0.13877573303219914</v>
      </c>
      <c r="AJ19" s="72">
        <v>152.699738</v>
      </c>
      <c r="AK19" s="73">
        <f t="shared" si="17"/>
        <v>-2.3882628633233163E-2</v>
      </c>
      <c r="AL19" s="72">
        <v>46.930003999999997</v>
      </c>
      <c r="AM19" s="73">
        <f t="shared" si="18"/>
        <v>7.693908740790735E-2</v>
      </c>
      <c r="AN19" s="72">
        <v>488.290009</v>
      </c>
      <c r="AO19" s="78">
        <f t="shared" si="19"/>
        <v>9.8342221273600275E-2</v>
      </c>
      <c r="AP19" s="52">
        <v>1.3899999999999999E-2</v>
      </c>
      <c r="AQ19" s="73">
        <f t="shared" si="20"/>
        <v>-3.4722222222222252E-2</v>
      </c>
      <c r="AR19" s="72">
        <v>3.5</v>
      </c>
      <c r="AS19" s="73">
        <f t="shared" si="21"/>
        <v>-0.13580246913580243</v>
      </c>
      <c r="AT19" s="8">
        <v>73.008926000000002</v>
      </c>
      <c r="AU19" s="78">
        <f t="shared" si="22"/>
        <v>1.6768005849628585E-2</v>
      </c>
      <c r="AV19" s="126">
        <v>3.1960000000000002</v>
      </c>
      <c r="AW19" s="53">
        <f t="shared" si="23"/>
        <v>-0.16531731522590754</v>
      </c>
      <c r="AX19" s="7"/>
      <c r="AY19" s="7"/>
      <c r="AZ19" s="7"/>
      <c r="BA19" s="7"/>
    </row>
    <row r="20" spans="1:53" ht="14.25" customHeight="1" x14ac:dyDescent="0.2">
      <c r="A20" s="64">
        <v>43922</v>
      </c>
      <c r="B20" s="72">
        <v>29.77169</v>
      </c>
      <c r="C20" s="73">
        <f t="shared" si="0"/>
        <v>4.2915991527532948E-2</v>
      </c>
      <c r="D20" s="72">
        <v>44.149051999999998</v>
      </c>
      <c r="E20" s="73">
        <f t="shared" si="1"/>
        <v>9.8357136995036037E-3</v>
      </c>
      <c r="F20" s="72">
        <v>64.25573</v>
      </c>
      <c r="G20" s="73">
        <f t="shared" si="2"/>
        <v>5.8920795058133482E-2</v>
      </c>
      <c r="H20" s="72">
        <v>30.905000999999999</v>
      </c>
      <c r="I20" s="73">
        <f t="shared" si="3"/>
        <v>9.8649203649100625E-2</v>
      </c>
      <c r="J20" s="72">
        <v>119.952133</v>
      </c>
      <c r="K20" s="73">
        <f t="shared" si="4"/>
        <v>0.1089362326133539</v>
      </c>
      <c r="L20" s="72">
        <v>331.85324100000003</v>
      </c>
      <c r="M20" s="73">
        <f t="shared" si="5"/>
        <v>4.1365037897174134E-2</v>
      </c>
      <c r="N20" s="72">
        <v>236.62005600000001</v>
      </c>
      <c r="O20" s="73">
        <f t="shared" si="6"/>
        <v>0.15319140186503591</v>
      </c>
      <c r="P20" s="72">
        <v>52.125332</v>
      </c>
      <c r="Q20" s="73">
        <f t="shared" si="7"/>
        <v>0.49213733793631026</v>
      </c>
      <c r="R20" s="72">
        <v>186.17773399999999</v>
      </c>
      <c r="S20" s="73">
        <f t="shared" si="8"/>
        <v>0.24498733364776032</v>
      </c>
      <c r="T20" s="52">
        <v>72.835503000000003</v>
      </c>
      <c r="U20" s="53">
        <f t="shared" si="9"/>
        <v>0.10880079261316501</v>
      </c>
      <c r="V20" s="72">
        <v>37.644390000000001</v>
      </c>
      <c r="W20" s="73">
        <f t="shared" si="10"/>
        <v>0.32501699371950438</v>
      </c>
      <c r="X20" s="72">
        <v>71.821655000000007</v>
      </c>
      <c r="Y20" s="73">
        <f t="shared" si="11"/>
        <v>0.15537361101577521</v>
      </c>
      <c r="Z20" s="72">
        <v>96.278175000000005</v>
      </c>
      <c r="AA20" s="73">
        <f t="shared" si="12"/>
        <v>0.19964511611888952</v>
      </c>
      <c r="AB20" s="72">
        <v>54.478023999999998</v>
      </c>
      <c r="AC20" s="73">
        <f t="shared" si="13"/>
        <v>-2.4603915830935779E-2</v>
      </c>
      <c r="AD20" s="72">
        <v>138.752747</v>
      </c>
      <c r="AE20" s="73">
        <f t="shared" si="14"/>
        <v>5.5881741090244727E-2</v>
      </c>
      <c r="AF20" s="72">
        <v>72.602051000000003</v>
      </c>
      <c r="AG20" s="73">
        <f t="shared" si="15"/>
        <v>0.13405906793787248</v>
      </c>
      <c r="AH20" s="72">
        <v>100.72530399999999</v>
      </c>
      <c r="AI20" s="73">
        <f t="shared" si="16"/>
        <v>0.13188499912309373</v>
      </c>
      <c r="AJ20" s="72">
        <v>173.51672400000001</v>
      </c>
      <c r="AK20" s="73">
        <f t="shared" si="17"/>
        <v>0.13632627188921578</v>
      </c>
      <c r="AL20" s="72">
        <v>53.262034999999997</v>
      </c>
      <c r="AM20" s="73">
        <f t="shared" si="18"/>
        <v>0.13492500448114178</v>
      </c>
      <c r="AN20" s="72">
        <v>525.88000499999998</v>
      </c>
      <c r="AO20" s="78">
        <f t="shared" si="19"/>
        <v>7.6982930854929674E-2</v>
      </c>
      <c r="AP20" s="52">
        <v>1.52E-2</v>
      </c>
      <c r="AQ20" s="73">
        <f t="shared" si="20"/>
        <v>9.3525179856115165E-2</v>
      </c>
      <c r="AR20" s="72">
        <v>3.78</v>
      </c>
      <c r="AS20" s="73">
        <f t="shared" si="21"/>
        <v>7.9999999999999946E-2</v>
      </c>
      <c r="AT20" s="8">
        <v>73.999786</v>
      </c>
      <c r="AU20" s="78">
        <f t="shared" si="22"/>
        <v>1.3571765183889951E-2</v>
      </c>
      <c r="AV20" s="126">
        <v>2.6579999999999999</v>
      </c>
      <c r="AW20" s="53">
        <f t="shared" si="23"/>
        <v>-0.16833541927409268</v>
      </c>
      <c r="AX20" s="7"/>
      <c r="AY20" s="7"/>
      <c r="AZ20" s="7"/>
      <c r="BA20" s="7"/>
    </row>
    <row r="21" spans="1:53" ht="14.25" customHeight="1" x14ac:dyDescent="0.2">
      <c r="A21" s="64">
        <v>43952</v>
      </c>
      <c r="B21" s="72">
        <v>29.619989</v>
      </c>
      <c r="C21" s="73">
        <f t="shared" si="0"/>
        <v>-5.0954782882664433E-3</v>
      </c>
      <c r="D21" s="72">
        <v>44.378715999999997</v>
      </c>
      <c r="E21" s="73">
        <f t="shared" si="1"/>
        <v>5.2020143037272842E-3</v>
      </c>
      <c r="F21" s="72">
        <v>66.541381999999999</v>
      </c>
      <c r="G21" s="73">
        <f t="shared" si="2"/>
        <v>3.55711778544886E-2</v>
      </c>
      <c r="H21" s="72">
        <v>35.955002</v>
      </c>
      <c r="I21" s="73">
        <f t="shared" si="3"/>
        <v>0.16340400700844507</v>
      </c>
      <c r="J21" s="72">
        <v>119.281181</v>
      </c>
      <c r="K21" s="73">
        <f t="shared" si="4"/>
        <v>-5.5934978663530702E-3</v>
      </c>
      <c r="L21" s="72">
        <v>357.64968900000002</v>
      </c>
      <c r="M21" s="73">
        <f t="shared" si="5"/>
        <v>7.7734506742394585E-2</v>
      </c>
      <c r="N21" s="72">
        <v>259.428406</v>
      </c>
      <c r="O21" s="73">
        <f t="shared" si="6"/>
        <v>9.6392293982045157E-2</v>
      </c>
      <c r="P21" s="72">
        <v>55.666668000000001</v>
      </c>
      <c r="Q21" s="73">
        <f t="shared" si="7"/>
        <v>6.793886703685649E-2</v>
      </c>
      <c r="R21" s="72">
        <v>204.53573600000001</v>
      </c>
      <c r="S21" s="73">
        <f t="shared" si="8"/>
        <v>9.8604712849282114E-2</v>
      </c>
      <c r="T21" s="52">
        <v>88.470184000000003</v>
      </c>
      <c r="U21" s="53">
        <f t="shared" si="9"/>
        <v>0.21465741782547998</v>
      </c>
      <c r="V21" s="72">
        <v>43.041065000000003</v>
      </c>
      <c r="W21" s="73">
        <f t="shared" si="10"/>
        <v>0.14335934252089094</v>
      </c>
      <c r="X21" s="72">
        <v>77.722877999999994</v>
      </c>
      <c r="Y21" s="73">
        <f t="shared" si="11"/>
        <v>8.2164954288507924E-2</v>
      </c>
      <c r="Z21" s="72">
        <v>115.822365</v>
      </c>
      <c r="AA21" s="73">
        <f t="shared" si="12"/>
        <v>0.20299709669403268</v>
      </c>
      <c r="AB21" s="72">
        <v>55.113945000000001</v>
      </c>
      <c r="AC21" s="73">
        <f t="shared" si="13"/>
        <v>1.1672982118441068E-2</v>
      </c>
      <c r="AD21" s="72">
        <v>145.50573700000001</v>
      </c>
      <c r="AE21" s="73">
        <f t="shared" si="14"/>
        <v>4.8669234635044821E-2</v>
      </c>
      <c r="AF21" s="72">
        <v>67.269256999999996</v>
      </c>
      <c r="AG21" s="73">
        <f t="shared" si="15"/>
        <v>-7.3452387729377053E-2</v>
      </c>
      <c r="AH21" s="72">
        <v>100.195831</v>
      </c>
      <c r="AI21" s="73">
        <f t="shared" si="16"/>
        <v>-5.2566036435094396E-3</v>
      </c>
      <c r="AJ21" s="72">
        <v>177.42836</v>
      </c>
      <c r="AK21" s="73">
        <f t="shared" si="17"/>
        <v>2.2543279459333192E-2</v>
      </c>
      <c r="AL21" s="72">
        <v>56.55442</v>
      </c>
      <c r="AM21" s="73">
        <f t="shared" si="18"/>
        <v>6.1814855553303648E-2</v>
      </c>
      <c r="AN21" s="72">
        <v>612.80999799999995</v>
      </c>
      <c r="AO21" s="78">
        <f t="shared" si="19"/>
        <v>0.16530385672297992</v>
      </c>
      <c r="AP21" s="52">
        <v>1.24E-2</v>
      </c>
      <c r="AQ21" s="73">
        <f t="shared" si="20"/>
        <v>-0.18421052631578949</v>
      </c>
      <c r="AR21" s="72">
        <v>3.73</v>
      </c>
      <c r="AS21" s="73">
        <f t="shared" si="21"/>
        <v>-1.3227513227513182E-2</v>
      </c>
      <c r="AT21" s="8">
        <v>78.773369000000002</v>
      </c>
      <c r="AU21" s="78">
        <f t="shared" si="22"/>
        <v>6.4508064928728334E-2</v>
      </c>
      <c r="AV21" s="126">
        <v>3.17</v>
      </c>
      <c r="AW21" s="53">
        <f t="shared" si="23"/>
        <v>0.19262603461249062</v>
      </c>
      <c r="AX21" s="7"/>
      <c r="AY21" s="7"/>
      <c r="AZ21" s="7"/>
      <c r="BA21" s="7"/>
    </row>
    <row r="22" spans="1:53" ht="14.25" customHeight="1" x14ac:dyDescent="0.2">
      <c r="A22" s="64">
        <v>43983</v>
      </c>
      <c r="B22" s="72">
        <v>29.77169</v>
      </c>
      <c r="C22" s="73">
        <f t="shared" si="0"/>
        <v>5.1215751633128291E-3</v>
      </c>
      <c r="D22" s="72">
        <v>47.080920999999996</v>
      </c>
      <c r="E22" s="73">
        <f t="shared" si="1"/>
        <v>6.0889661611660859E-2</v>
      </c>
      <c r="F22" s="72">
        <v>67.396941999999996</v>
      </c>
      <c r="G22" s="73">
        <f t="shared" si="2"/>
        <v>1.2857562832103443E-2</v>
      </c>
      <c r="H22" s="72">
        <v>34.659999999999997</v>
      </c>
      <c r="I22" s="73">
        <f t="shared" si="3"/>
        <v>-3.6017297398565122E-2</v>
      </c>
      <c r="J22" s="72">
        <v>119.924927</v>
      </c>
      <c r="K22" s="73">
        <f t="shared" si="4"/>
        <v>5.3968781546520151E-3</v>
      </c>
      <c r="L22" s="72">
        <v>372.43255599999998</v>
      </c>
      <c r="M22" s="73">
        <f t="shared" si="5"/>
        <v>4.133337020740413E-2</v>
      </c>
      <c r="N22" s="72">
        <v>267.105591</v>
      </c>
      <c r="O22" s="73">
        <f t="shared" si="6"/>
        <v>2.9592692328379834E-2</v>
      </c>
      <c r="P22" s="72">
        <v>71.987335000000002</v>
      </c>
      <c r="Q22" s="73">
        <f t="shared" si="7"/>
        <v>0.29318562770812867</v>
      </c>
      <c r="R22" s="72">
        <v>191.42152400000001</v>
      </c>
      <c r="S22" s="73">
        <f t="shared" si="8"/>
        <v>-6.4116971715886401E-2</v>
      </c>
      <c r="T22" s="52">
        <v>94.672729000000004</v>
      </c>
      <c r="U22" s="53">
        <f t="shared" si="9"/>
        <v>7.010887419427092E-2</v>
      </c>
      <c r="V22" s="72">
        <v>49.751849999999997</v>
      </c>
      <c r="W22" s="73">
        <f t="shared" si="10"/>
        <v>0.15591586778812266</v>
      </c>
      <c r="X22" s="72">
        <v>89.419562999999997</v>
      </c>
      <c r="Y22" s="73">
        <f t="shared" si="11"/>
        <v>0.15049217554707642</v>
      </c>
      <c r="Z22" s="72">
        <v>125.499306</v>
      </c>
      <c r="AA22" s="73">
        <f t="shared" si="12"/>
        <v>8.3549848079859185E-2</v>
      </c>
      <c r="AB22" s="72">
        <v>61.743175999999998</v>
      </c>
      <c r="AC22" s="73">
        <f t="shared" si="13"/>
        <v>0.12028228064603246</v>
      </c>
      <c r="AD22" s="72">
        <v>150.31703200000001</v>
      </c>
      <c r="AE22" s="73">
        <f t="shared" si="14"/>
        <v>3.3066015809397269E-2</v>
      </c>
      <c r="AF22" s="72">
        <v>66.500022999999999</v>
      </c>
      <c r="AG22" s="73">
        <f t="shared" si="15"/>
        <v>-1.1435149343183579E-2</v>
      </c>
      <c r="AH22" s="72">
        <v>98.182022000000003</v>
      </c>
      <c r="AI22" s="73">
        <f t="shared" si="16"/>
        <v>-2.0098730455162299E-2</v>
      </c>
      <c r="AJ22" s="72">
        <v>197.59352100000001</v>
      </c>
      <c r="AK22" s="73">
        <f t="shared" si="17"/>
        <v>0.113652411598687</v>
      </c>
      <c r="AL22" s="72">
        <v>55.307423</v>
      </c>
      <c r="AM22" s="73">
        <f t="shared" si="18"/>
        <v>-2.204950559125176E-2</v>
      </c>
      <c r="AN22" s="72">
        <v>623.65002400000003</v>
      </c>
      <c r="AO22" s="78">
        <f t="shared" si="19"/>
        <v>1.7689048865681335E-2</v>
      </c>
      <c r="AP22" s="52">
        <v>1.1299999999999999E-2</v>
      </c>
      <c r="AQ22" s="73">
        <f t="shared" si="20"/>
        <v>-8.8709677419354871E-2</v>
      </c>
      <c r="AR22" s="72">
        <v>4</v>
      </c>
      <c r="AS22" s="73">
        <f t="shared" si="21"/>
        <v>7.2386058981233251E-2</v>
      </c>
      <c r="AT22" s="8">
        <v>79.362915000000001</v>
      </c>
      <c r="AU22" s="78">
        <f t="shared" si="22"/>
        <v>7.4840775186344839E-3</v>
      </c>
      <c r="AV22" s="126">
        <v>2.8490000000000002</v>
      </c>
      <c r="AW22" s="53">
        <f t="shared" si="23"/>
        <v>-0.10126182965299677</v>
      </c>
      <c r="AX22" s="7"/>
      <c r="AY22" s="7"/>
      <c r="AZ22" s="7"/>
      <c r="BA22" s="7"/>
    </row>
    <row r="23" spans="1:53" ht="14.25" customHeight="1" x14ac:dyDescent="0.2">
      <c r="A23" s="64">
        <v>44013</v>
      </c>
      <c r="B23" s="72">
        <v>31.894763999999999</v>
      </c>
      <c r="C23" s="73">
        <f t="shared" si="0"/>
        <v>7.131184020792905E-2</v>
      </c>
      <c r="D23" s="72">
        <v>46.660685999999998</v>
      </c>
      <c r="E23" s="73">
        <f t="shared" si="1"/>
        <v>-8.9258024497863627E-3</v>
      </c>
      <c r="F23" s="72">
        <v>71.021629000000004</v>
      </c>
      <c r="G23" s="73">
        <f t="shared" si="2"/>
        <v>5.3781178973966046E-2</v>
      </c>
      <c r="H23" s="72">
        <v>39.240001999999997</v>
      </c>
      <c r="I23" s="73">
        <f t="shared" si="3"/>
        <v>0.13214085401038664</v>
      </c>
      <c r="J23" s="72">
        <v>125.790192</v>
      </c>
      <c r="K23" s="73">
        <f t="shared" si="4"/>
        <v>4.8907805463996722E-2</v>
      </c>
      <c r="L23" s="72">
        <v>349.78143299999999</v>
      </c>
      <c r="M23" s="73">
        <f t="shared" si="5"/>
        <v>-6.0819395713622805E-2</v>
      </c>
      <c r="N23" s="72">
        <v>273.49319500000001</v>
      </c>
      <c r="O23" s="73">
        <f t="shared" si="6"/>
        <v>2.3914153111081866E-2</v>
      </c>
      <c r="P23" s="72">
        <v>95.384003000000007</v>
      </c>
      <c r="Q23" s="73">
        <f t="shared" si="7"/>
        <v>0.32501089254102827</v>
      </c>
      <c r="R23" s="72">
        <v>180.416214</v>
      </c>
      <c r="S23" s="73">
        <f t="shared" si="8"/>
        <v>-5.7492541956776021E-2</v>
      </c>
      <c r="T23" s="52">
        <v>105.855171</v>
      </c>
      <c r="U23" s="53">
        <f t="shared" si="9"/>
        <v>0.1181168232723068</v>
      </c>
      <c r="V23" s="72">
        <v>52.436272000000002</v>
      </c>
      <c r="W23" s="73">
        <f t="shared" si="10"/>
        <v>5.3956224743401601E-2</v>
      </c>
      <c r="X23" s="72">
        <v>104.18555499999999</v>
      </c>
      <c r="Y23" s="73">
        <f t="shared" si="11"/>
        <v>0.1651315607525391</v>
      </c>
      <c r="Z23" s="72">
        <v>135.92665099999999</v>
      </c>
      <c r="AA23" s="73">
        <f t="shared" si="12"/>
        <v>8.3086873803110819E-2</v>
      </c>
      <c r="AB23" s="72">
        <v>60.275410000000001</v>
      </c>
      <c r="AC23" s="73">
        <f t="shared" si="13"/>
        <v>-2.3772116938072598E-2</v>
      </c>
      <c r="AD23" s="72">
        <v>169.508331</v>
      </c>
      <c r="AE23" s="73">
        <f t="shared" si="14"/>
        <v>0.12767215228145262</v>
      </c>
      <c r="AF23" s="72">
        <v>60.630436000000003</v>
      </c>
      <c r="AG23" s="73">
        <f t="shared" si="15"/>
        <v>-8.8264435637864305E-2</v>
      </c>
      <c r="AH23" s="72">
        <v>99.946167000000003</v>
      </c>
      <c r="AI23" s="73">
        <f t="shared" si="16"/>
        <v>1.7968106218060973E-2</v>
      </c>
      <c r="AJ23" s="72">
        <v>199.04989599999999</v>
      </c>
      <c r="AK23" s="73">
        <f t="shared" si="17"/>
        <v>7.3705604952501447E-3</v>
      </c>
      <c r="AL23" s="72">
        <v>56.760753999999999</v>
      </c>
      <c r="AM23" s="73">
        <f t="shared" si="18"/>
        <v>2.6277322666073206E-2</v>
      </c>
      <c r="AN23" s="72">
        <v>632.07000700000003</v>
      </c>
      <c r="AO23" s="78">
        <f t="shared" si="19"/>
        <v>1.3501134732578799E-2</v>
      </c>
      <c r="AP23" s="52">
        <v>1.0999999999999999E-2</v>
      </c>
      <c r="AQ23" s="73">
        <f t="shared" si="20"/>
        <v>-2.6548672566371678E-2</v>
      </c>
      <c r="AR23" s="72">
        <v>4.1100000000000003</v>
      </c>
      <c r="AS23" s="73">
        <f t="shared" si="21"/>
        <v>2.750000000000008E-2</v>
      </c>
      <c r="AT23" s="8">
        <v>82.170760999999999</v>
      </c>
      <c r="AU23" s="78">
        <f t="shared" si="22"/>
        <v>3.5379824443192362E-2</v>
      </c>
      <c r="AV23" s="126">
        <v>2.9380000000000002</v>
      </c>
      <c r="AW23" s="53">
        <f t="shared" si="23"/>
        <v>3.1239031239031226E-2</v>
      </c>
      <c r="AX23" s="7"/>
      <c r="AY23" s="7"/>
      <c r="AZ23" s="7"/>
      <c r="BA23" s="7"/>
    </row>
    <row r="24" spans="1:53" ht="14.25" customHeight="1" x14ac:dyDescent="0.2">
      <c r="A24" s="64">
        <v>44044</v>
      </c>
      <c r="B24" s="72">
        <v>33.902237</v>
      </c>
      <c r="C24" s="73">
        <f t="shared" si="0"/>
        <v>6.2940519014343582E-2</v>
      </c>
      <c r="D24" s="72">
        <v>44.681679000000003</v>
      </c>
      <c r="E24" s="73">
        <f t="shared" si="1"/>
        <v>-4.2412728351229036E-2</v>
      </c>
      <c r="F24" s="72">
        <v>73.347176000000005</v>
      </c>
      <c r="G24" s="73">
        <f t="shared" si="2"/>
        <v>3.2744208105956005E-2</v>
      </c>
      <c r="H24" s="72">
        <v>41.93</v>
      </c>
      <c r="I24" s="73">
        <f t="shared" si="3"/>
        <v>6.8552442989172194E-2</v>
      </c>
      <c r="J24" s="72">
        <v>127.983238</v>
      </c>
      <c r="K24" s="73">
        <f t="shared" si="4"/>
        <v>1.7434157346703113E-2</v>
      </c>
      <c r="L24" s="72">
        <v>377.05267300000003</v>
      </c>
      <c r="M24" s="73">
        <f t="shared" si="5"/>
        <v>7.7966516879127867E-2</v>
      </c>
      <c r="N24" s="72">
        <v>286.46304300000003</v>
      </c>
      <c r="O24" s="73">
        <f t="shared" si="6"/>
        <v>4.742292765273378E-2</v>
      </c>
      <c r="P24" s="72">
        <v>166.106674</v>
      </c>
      <c r="Q24" s="73">
        <f t="shared" si="7"/>
        <v>0.74145211750024775</v>
      </c>
      <c r="R24" s="72">
        <v>190.05999800000001</v>
      </c>
      <c r="S24" s="73">
        <f t="shared" si="8"/>
        <v>5.3452978455694737E-2</v>
      </c>
      <c r="T24" s="52">
        <v>133.37664799999999</v>
      </c>
      <c r="U24" s="53">
        <f t="shared" si="9"/>
        <v>0.25999180521847148</v>
      </c>
      <c r="V24" s="72">
        <v>51.96199</v>
      </c>
      <c r="W24" s="73">
        <f t="shared" si="10"/>
        <v>-9.0449221866879155E-3</v>
      </c>
      <c r="X24" s="72">
        <v>126.520836</v>
      </c>
      <c r="Y24" s="73">
        <f t="shared" si="11"/>
        <v>0.21437982453517679</v>
      </c>
      <c r="Z24" s="72">
        <v>141.72595200000001</v>
      </c>
      <c r="AA24" s="73">
        <f t="shared" si="12"/>
        <v>4.2664929631791006E-2</v>
      </c>
      <c r="AB24" s="72">
        <v>66.914351999999994</v>
      </c>
      <c r="AC24" s="73">
        <f t="shared" si="13"/>
        <v>0.11014345651070633</v>
      </c>
      <c r="AD24" s="72">
        <v>201.95632900000001</v>
      </c>
      <c r="AE24" s="73">
        <f t="shared" si="14"/>
        <v>0.19142420793465315</v>
      </c>
      <c r="AF24" s="72">
        <v>58.206260999999998</v>
      </c>
      <c r="AG24" s="73">
        <f t="shared" si="15"/>
        <v>-3.9982806655060259E-2</v>
      </c>
      <c r="AH24" s="72">
        <v>100.24696400000001</v>
      </c>
      <c r="AI24" s="73">
        <f t="shared" si="16"/>
        <v>3.0095901526669138E-3</v>
      </c>
      <c r="AJ24" s="72">
        <v>218.973389</v>
      </c>
      <c r="AK24" s="73">
        <f t="shared" si="17"/>
        <v>0.10009295860169658</v>
      </c>
      <c r="AL24" s="72">
        <v>57.820950000000003</v>
      </c>
      <c r="AM24" s="73">
        <f t="shared" si="18"/>
        <v>1.8678328339331165E-2</v>
      </c>
      <c r="AN24" s="72">
        <v>619.92999299999997</v>
      </c>
      <c r="AO24" s="78">
        <f t="shared" si="19"/>
        <v>-1.9206755368159818E-2</v>
      </c>
      <c r="AP24" s="52">
        <v>1.38E-2</v>
      </c>
      <c r="AQ24" s="73">
        <f t="shared" si="20"/>
        <v>0.25454545454545457</v>
      </c>
      <c r="AR24" s="72">
        <v>4.17</v>
      </c>
      <c r="AS24" s="73">
        <f t="shared" si="21"/>
        <v>1.4598540145985306E-2</v>
      </c>
      <c r="AT24" s="8">
        <v>86.128615999999994</v>
      </c>
      <c r="AU24" s="78">
        <f t="shared" si="22"/>
        <v>4.8166220585446388E-2</v>
      </c>
      <c r="AV24" s="126">
        <v>2.3450000000000002</v>
      </c>
      <c r="AW24" s="53">
        <f t="shared" si="23"/>
        <v>-0.20183798502382572</v>
      </c>
      <c r="AX24" s="7"/>
      <c r="AY24" s="7"/>
      <c r="AZ24" s="7"/>
      <c r="BA24" s="7"/>
    </row>
    <row r="25" spans="1:53" ht="14.25" customHeight="1" x14ac:dyDescent="0.2">
      <c r="A25" s="64">
        <v>44075</v>
      </c>
      <c r="B25" s="72">
        <v>29.949300999999998</v>
      </c>
      <c r="C25" s="73">
        <f t="shared" si="0"/>
        <v>-0.11659808761292068</v>
      </c>
      <c r="D25" s="72">
        <v>47.618423</v>
      </c>
      <c r="E25" s="73">
        <f t="shared" si="1"/>
        <v>6.5725909717940484E-2</v>
      </c>
      <c r="F25" s="72">
        <v>71.394608000000005</v>
      </c>
      <c r="G25" s="73">
        <f t="shared" si="2"/>
        <v>-2.6620902214421989E-2</v>
      </c>
      <c r="H25" s="72">
        <v>40.099997999999999</v>
      </c>
      <c r="I25" s="73">
        <f t="shared" si="3"/>
        <v>-4.3644216551395193E-2</v>
      </c>
      <c r="J25" s="72">
        <v>126.64913199999999</v>
      </c>
      <c r="K25" s="73">
        <f t="shared" si="4"/>
        <v>-1.0424068189304646E-2</v>
      </c>
      <c r="L25" s="72">
        <v>383.38809199999997</v>
      </c>
      <c r="M25" s="73">
        <f t="shared" si="5"/>
        <v>1.6802477355729935E-2</v>
      </c>
      <c r="N25" s="72">
        <v>282.359802</v>
      </c>
      <c r="O25" s="73">
        <f t="shared" si="6"/>
        <v>-1.4323805811139222E-2</v>
      </c>
      <c r="P25" s="72">
        <v>143.00332599999999</v>
      </c>
      <c r="Q25" s="73">
        <f t="shared" si="7"/>
        <v>-0.13908741559655821</v>
      </c>
      <c r="R25" s="72">
        <v>192.72169500000001</v>
      </c>
      <c r="S25" s="73">
        <f t="shared" si="8"/>
        <v>1.4004509249758088E-2</v>
      </c>
      <c r="T25" s="52">
        <v>134.93235799999999</v>
      </c>
      <c r="U25" s="53">
        <f t="shared" si="9"/>
        <v>1.1664035821323122E-2</v>
      </c>
      <c r="V25" s="72">
        <v>49.565994000000003</v>
      </c>
      <c r="W25" s="73">
        <f t="shared" si="10"/>
        <v>-4.6110551193285644E-2</v>
      </c>
      <c r="X25" s="72">
        <v>113.75385300000001</v>
      </c>
      <c r="Y25" s="73">
        <f t="shared" si="11"/>
        <v>-0.10090814607010655</v>
      </c>
      <c r="Z25" s="72">
        <v>136.85737599999999</v>
      </c>
      <c r="AA25" s="73">
        <f t="shared" si="12"/>
        <v>-3.4352043018910317E-2</v>
      </c>
      <c r="AB25" s="72">
        <v>60.333733000000002</v>
      </c>
      <c r="AC25" s="73">
        <f t="shared" si="13"/>
        <v>-9.8343909838654528E-2</v>
      </c>
      <c r="AD25" s="72">
        <v>213.07998699999999</v>
      </c>
      <c r="AE25" s="73">
        <f t="shared" si="14"/>
        <v>5.5079521672232304E-2</v>
      </c>
      <c r="AF25" s="72">
        <v>55.101928999999998</v>
      </c>
      <c r="AG25" s="73">
        <f t="shared" si="15"/>
        <v>-5.3333300347191165E-2</v>
      </c>
      <c r="AH25" s="72">
        <v>100.20882400000001</v>
      </c>
      <c r="AI25" s="73">
        <f t="shared" si="16"/>
        <v>-3.8046039977827662E-4</v>
      </c>
      <c r="AJ25" s="72">
        <v>204.70889299999999</v>
      </c>
      <c r="AK25" s="73">
        <f t="shared" si="17"/>
        <v>-6.5142600501104764E-2</v>
      </c>
      <c r="AL25" s="72">
        <v>55.768509000000002</v>
      </c>
      <c r="AM25" s="73">
        <f t="shared" si="18"/>
        <v>-3.5496493917861978E-2</v>
      </c>
      <c r="AN25" s="72">
        <v>559.78002900000001</v>
      </c>
      <c r="AO25" s="78">
        <f t="shared" si="19"/>
        <v>-9.7027026727516244E-2</v>
      </c>
      <c r="AP25" s="52">
        <v>1.26E-2</v>
      </c>
      <c r="AQ25" s="73">
        <f t="shared" si="20"/>
        <v>-8.6956521739130418E-2</v>
      </c>
      <c r="AR25" s="72">
        <v>4.22</v>
      </c>
      <c r="AS25" s="73">
        <f t="shared" si="21"/>
        <v>1.199040767386087E-2</v>
      </c>
      <c r="AT25" s="8">
        <v>83.200760000000002</v>
      </c>
      <c r="AU25" s="78">
        <f t="shared" si="22"/>
        <v>-3.3993997999456897E-2</v>
      </c>
      <c r="AV25" s="126">
        <v>1.8220000000000001</v>
      </c>
      <c r="AW25" s="53">
        <f t="shared" si="23"/>
        <v>-0.22302771855010664</v>
      </c>
      <c r="AX25" s="7"/>
      <c r="AY25" s="7"/>
      <c r="AZ25" s="7"/>
      <c r="BA25" s="7"/>
    </row>
    <row r="26" spans="1:53" ht="14.25" customHeight="1" x14ac:dyDescent="0.2">
      <c r="A26" s="64">
        <v>44105</v>
      </c>
      <c r="B26" s="72">
        <v>28.527918</v>
      </c>
      <c r="C26" s="73">
        <f t="shared" si="0"/>
        <v>-4.745963854047875E-2</v>
      </c>
      <c r="D26" s="72">
        <v>45.996127999999999</v>
      </c>
      <c r="E26" s="73">
        <f t="shared" si="1"/>
        <v>-3.4068641878375543E-2</v>
      </c>
      <c r="F26" s="72">
        <v>73.004799000000006</v>
      </c>
      <c r="G26" s="73">
        <f t="shared" si="2"/>
        <v>2.2553397870046437E-2</v>
      </c>
      <c r="H26" s="72">
        <v>38.284999999999997</v>
      </c>
      <c r="I26" s="73">
        <f t="shared" si="3"/>
        <v>-4.5261797768668288E-2</v>
      </c>
      <c r="J26" s="72">
        <v>122.672783</v>
      </c>
      <c r="K26" s="73">
        <f t="shared" si="4"/>
        <v>-3.1396575224850329E-2</v>
      </c>
      <c r="L26" s="72">
        <v>386.17184400000002</v>
      </c>
      <c r="M26" s="73">
        <f t="shared" si="5"/>
        <v>7.2609245255328631E-3</v>
      </c>
      <c r="N26" s="72">
        <v>256.10626200000002</v>
      </c>
      <c r="O26" s="73">
        <f t="shared" si="6"/>
        <v>-9.2979028225837854E-2</v>
      </c>
      <c r="P26" s="72">
        <v>129.346664</v>
      </c>
      <c r="Q26" s="73">
        <f t="shared" si="7"/>
        <v>-9.5498911682655438E-2</v>
      </c>
      <c r="R26" s="72">
        <v>177.46017499999999</v>
      </c>
      <c r="S26" s="73">
        <f t="shared" si="8"/>
        <v>-7.9189423899577144E-2</v>
      </c>
      <c r="T26" s="52">
        <v>125.032188</v>
      </c>
      <c r="U26" s="53">
        <f t="shared" si="9"/>
        <v>-7.3371355446111661E-2</v>
      </c>
      <c r="V26" s="72">
        <v>45.313400000000001</v>
      </c>
      <c r="W26" s="73">
        <f t="shared" si="10"/>
        <v>-8.5796604825477754E-2</v>
      </c>
      <c r="X26" s="72">
        <v>106.927254</v>
      </c>
      <c r="Y26" s="73">
        <f t="shared" si="11"/>
        <v>-6.0012024383912531E-2</v>
      </c>
      <c r="Z26" s="72">
        <v>127.185509</v>
      </c>
      <c r="AA26" s="73">
        <f t="shared" si="12"/>
        <v>-7.0671141612418414E-2</v>
      </c>
      <c r="AB26" s="72">
        <v>60.839188</v>
      </c>
      <c r="AC26" s="73">
        <f t="shared" si="13"/>
        <v>8.3776516861636553E-3</v>
      </c>
      <c r="AD26" s="72">
        <v>217.94129899999999</v>
      </c>
      <c r="AE26" s="73">
        <f t="shared" si="14"/>
        <v>2.2814493601409871E-2</v>
      </c>
      <c r="AF26" s="72">
        <v>51.238315999999998</v>
      </c>
      <c r="AG26" s="73">
        <f t="shared" si="15"/>
        <v>-7.0117563397825891E-2</v>
      </c>
      <c r="AH26" s="72">
        <v>91.964470000000006</v>
      </c>
      <c r="AI26" s="73">
        <f t="shared" si="16"/>
        <v>-8.2271736868202355E-2</v>
      </c>
      <c r="AJ26" s="72">
        <v>197.05894499999999</v>
      </c>
      <c r="AK26" s="73">
        <f t="shared" si="17"/>
        <v>-3.7369886026397472E-2</v>
      </c>
      <c r="AL26" s="72">
        <v>53.453854</v>
      </c>
      <c r="AM26" s="73">
        <f t="shared" si="18"/>
        <v>-4.1504695777324831E-2</v>
      </c>
      <c r="AN26" s="72">
        <v>543.55999799999995</v>
      </c>
      <c r="AO26" s="78">
        <f t="shared" si="19"/>
        <v>-2.8975722890607201E-2</v>
      </c>
      <c r="AP26" s="52">
        <v>1.3899999999999999E-2</v>
      </c>
      <c r="AQ26" s="73">
        <f t="shared" si="20"/>
        <v>0.1031746031746031</v>
      </c>
      <c r="AR26" s="72">
        <v>4.3</v>
      </c>
      <c r="AS26" s="73">
        <f t="shared" si="21"/>
        <v>1.8957345971564E-2</v>
      </c>
      <c r="AT26" s="8">
        <v>74.680098999999998</v>
      </c>
      <c r="AU26" s="78">
        <f t="shared" si="22"/>
        <v>-0.10241085538160954</v>
      </c>
      <c r="AV26" s="126">
        <v>1.784</v>
      </c>
      <c r="AW26" s="53">
        <f t="shared" si="23"/>
        <v>-2.0856201975850731E-2</v>
      </c>
      <c r="AX26" s="7"/>
      <c r="AY26" s="7"/>
      <c r="AZ26" s="7"/>
      <c r="BA26" s="7"/>
    </row>
    <row r="27" spans="1:53" ht="14.25" customHeight="1" x14ac:dyDescent="0.2">
      <c r="A27" s="64">
        <v>44136</v>
      </c>
      <c r="B27" s="72">
        <v>31.492989000000001</v>
      </c>
      <c r="C27" s="73">
        <f t="shared" si="0"/>
        <v>0.10393576565944987</v>
      </c>
      <c r="D27" s="72">
        <v>51.073146999999999</v>
      </c>
      <c r="E27" s="73">
        <f t="shared" si="1"/>
        <v>0.11037926931588676</v>
      </c>
      <c r="F27" s="72">
        <v>79.688438000000005</v>
      </c>
      <c r="G27" s="73">
        <f t="shared" si="2"/>
        <v>9.1550680113508684E-2</v>
      </c>
      <c r="H27" s="72">
        <v>42.389999000000003</v>
      </c>
      <c r="I27" s="73">
        <f t="shared" si="3"/>
        <v>0.10722212354708129</v>
      </c>
      <c r="J27" s="72">
        <v>132.741364</v>
      </c>
      <c r="K27" s="73">
        <f t="shared" si="4"/>
        <v>8.2076730907784237E-2</v>
      </c>
      <c r="L27" s="72">
        <v>463.54058800000001</v>
      </c>
      <c r="M27" s="73">
        <f t="shared" si="5"/>
        <v>0.20034796736760535</v>
      </c>
      <c r="N27" s="72">
        <v>275.04388399999999</v>
      </c>
      <c r="O27" s="73">
        <f t="shared" si="6"/>
        <v>7.3944392659949773E-2</v>
      </c>
      <c r="P27" s="72">
        <v>189.199997</v>
      </c>
      <c r="Q27" s="73">
        <f t="shared" si="7"/>
        <v>0.46273580739585207</v>
      </c>
      <c r="R27" s="72">
        <v>214.73268100000001</v>
      </c>
      <c r="S27" s="73">
        <f t="shared" si="8"/>
        <v>0.21003307361778509</v>
      </c>
      <c r="T27" s="52">
        <v>133.68588299999999</v>
      </c>
      <c r="U27" s="53">
        <f t="shared" si="9"/>
        <v>6.9211737700694997E-2</v>
      </c>
      <c r="V27" s="72">
        <v>47.977218999999998</v>
      </c>
      <c r="W27" s="73">
        <f t="shared" si="10"/>
        <v>5.8786562032423002E-2</v>
      </c>
      <c r="X27" s="72">
        <v>116.936317</v>
      </c>
      <c r="Y27" s="73">
        <f t="shared" si="11"/>
        <v>9.3606284885984228E-2</v>
      </c>
      <c r="Z27" s="72">
        <v>134.44177199999999</v>
      </c>
      <c r="AA27" s="73">
        <f t="shared" si="12"/>
        <v>5.7052592367264024E-2</v>
      </c>
      <c r="AB27" s="72">
        <v>85.275954999999996</v>
      </c>
      <c r="AC27" s="73">
        <f t="shared" si="13"/>
        <v>0.40166162309727071</v>
      </c>
      <c r="AD27" s="72">
        <v>252.39166299999999</v>
      </c>
      <c r="AE27" s="73">
        <f t="shared" si="14"/>
        <v>0.15807175674400292</v>
      </c>
      <c r="AF27" s="72">
        <v>53.458786000000003</v>
      </c>
      <c r="AG27" s="73">
        <f t="shared" si="15"/>
        <v>4.3336123693058261E-2</v>
      </c>
      <c r="AH27" s="72">
        <v>101.73249800000001</v>
      </c>
      <c r="AI27" s="73">
        <f t="shared" si="16"/>
        <v>0.10621523725412652</v>
      </c>
      <c r="AJ27" s="72">
        <v>208.34895299999999</v>
      </c>
      <c r="AK27" s="73">
        <f t="shared" si="17"/>
        <v>5.7292542594298376E-2</v>
      </c>
      <c r="AL27" s="72">
        <v>55.450085000000001</v>
      </c>
      <c r="AM27" s="73">
        <f t="shared" si="18"/>
        <v>3.734494055377189E-2</v>
      </c>
      <c r="AN27" s="72">
        <v>516.03002900000001</v>
      </c>
      <c r="AO27" s="78">
        <f t="shared" si="19"/>
        <v>-5.0647525758508706E-2</v>
      </c>
      <c r="AP27" s="52">
        <v>1.1599999999999999E-2</v>
      </c>
      <c r="AQ27" s="73">
        <f t="shared" si="20"/>
        <v>-0.16546762589928057</v>
      </c>
      <c r="AR27" s="72">
        <v>4.59</v>
      </c>
      <c r="AS27" s="73">
        <f t="shared" si="21"/>
        <v>6.7441860465116285E-2</v>
      </c>
      <c r="AT27" s="8">
        <v>75.876114000000001</v>
      </c>
      <c r="AU27" s="78">
        <f t="shared" si="22"/>
        <v>1.6015176948279121E-2</v>
      </c>
      <c r="AV27" s="126">
        <v>1.512</v>
      </c>
      <c r="AW27" s="53">
        <f t="shared" si="23"/>
        <v>-0.15246636771300448</v>
      </c>
      <c r="AX27" s="7"/>
      <c r="AY27" s="7"/>
      <c r="AZ27" s="7"/>
      <c r="BA27" s="7"/>
    </row>
    <row r="28" spans="1:53" ht="14.25" customHeight="1" x14ac:dyDescent="0.2">
      <c r="A28" s="64">
        <v>44166</v>
      </c>
      <c r="B28" s="72">
        <v>32.418087</v>
      </c>
      <c r="C28" s="73">
        <f t="shared" si="0"/>
        <v>2.9374728451465767E-2</v>
      </c>
      <c r="D28" s="72">
        <v>52.842041000000002</v>
      </c>
      <c r="E28" s="73">
        <f t="shared" si="1"/>
        <v>3.4634521346413275E-2</v>
      </c>
      <c r="F28" s="72">
        <v>79.567474000000004</v>
      </c>
      <c r="G28" s="73">
        <f t="shared" si="2"/>
        <v>-1.5179617399452695E-3</v>
      </c>
      <c r="H28" s="72">
        <v>46.240001999999997</v>
      </c>
      <c r="I28" s="73">
        <f t="shared" si="3"/>
        <v>9.0823380297791315E-2</v>
      </c>
      <c r="J28" s="72">
        <v>136.48718299999999</v>
      </c>
      <c r="K28" s="73">
        <f t="shared" si="4"/>
        <v>2.821892805018926E-2</v>
      </c>
      <c r="L28" s="72">
        <v>490.418091</v>
      </c>
      <c r="M28" s="73">
        <f t="shared" si="5"/>
        <v>5.7983062747463204E-2</v>
      </c>
      <c r="N28" s="72">
        <v>283.318512</v>
      </c>
      <c r="O28" s="73">
        <f t="shared" si="6"/>
        <v>3.0084755493054362E-2</v>
      </c>
      <c r="P28" s="72">
        <v>235.22332800000001</v>
      </c>
      <c r="Q28" s="73">
        <f t="shared" si="7"/>
        <v>0.24325228186975084</v>
      </c>
      <c r="R28" s="72">
        <v>209.13604699999999</v>
      </c>
      <c r="S28" s="73">
        <f t="shared" si="8"/>
        <v>-2.6063261418507705E-2</v>
      </c>
      <c r="T28" s="52">
        <v>130.229401</v>
      </c>
      <c r="U28" s="53">
        <f t="shared" si="9"/>
        <v>-2.5855250550276834E-2</v>
      </c>
      <c r="V28" s="72">
        <v>47.955418000000002</v>
      </c>
      <c r="W28" s="73">
        <f t="shared" si="10"/>
        <v>-4.5440316163378305E-4</v>
      </c>
      <c r="X28" s="72">
        <v>130.55900600000001</v>
      </c>
      <c r="Y28" s="73">
        <f t="shared" si="11"/>
        <v>0.11649664834236234</v>
      </c>
      <c r="Z28" s="72">
        <v>134.632462</v>
      </c>
      <c r="AA28" s="73">
        <f t="shared" si="12"/>
        <v>1.4183835660840428E-3</v>
      </c>
      <c r="AB28" s="72">
        <v>87.268608</v>
      </c>
      <c r="AC28" s="73">
        <f t="shared" si="13"/>
        <v>2.3367114446270397E-2</v>
      </c>
      <c r="AD28" s="72">
        <v>259.55957000000001</v>
      </c>
      <c r="AE28" s="73">
        <f t="shared" si="14"/>
        <v>2.8399935698351548E-2</v>
      </c>
      <c r="AF28" s="72">
        <v>51.335231999999998</v>
      </c>
      <c r="AG28" s="73">
        <f t="shared" si="15"/>
        <v>-3.97231991014537E-2</v>
      </c>
      <c r="AH28" s="72">
        <v>105.179581</v>
      </c>
      <c r="AI28" s="73">
        <f t="shared" si="16"/>
        <v>3.3883793947534761E-2</v>
      </c>
      <c r="AJ28" s="72">
        <v>217.04252600000001</v>
      </c>
      <c r="AK28" s="73">
        <f t="shared" si="17"/>
        <v>4.1726022016534997E-2</v>
      </c>
      <c r="AL28" s="72">
        <v>53.608437000000002</v>
      </c>
      <c r="AM28" s="73">
        <f t="shared" si="18"/>
        <v>-3.3212717347502703E-2</v>
      </c>
      <c r="AN28" s="72">
        <v>483.10998499999999</v>
      </c>
      <c r="AO28" s="78">
        <f t="shared" si="19"/>
        <v>-6.37948222970567E-2</v>
      </c>
      <c r="AP28" s="52">
        <v>9.5999999999999992E-3</v>
      </c>
      <c r="AQ28" s="73">
        <f t="shared" si="20"/>
        <v>-0.17241379310344829</v>
      </c>
      <c r="AR28" s="72">
        <v>4.83</v>
      </c>
      <c r="AS28" s="73">
        <f t="shared" si="21"/>
        <v>5.2287581699346455E-2</v>
      </c>
      <c r="AT28" s="8">
        <v>66.327033999999998</v>
      </c>
      <c r="AU28" s="78">
        <f t="shared" si="22"/>
        <v>-0.12585093643567466</v>
      </c>
      <c r="AV28" s="126">
        <v>1.456</v>
      </c>
      <c r="AW28" s="53">
        <f t="shared" si="23"/>
        <v>-3.703703703703707E-2</v>
      </c>
      <c r="AX28" s="7"/>
      <c r="AY28" s="7"/>
      <c r="AZ28" s="7"/>
      <c r="BA28" s="7"/>
    </row>
    <row r="29" spans="1:53" ht="14.25" customHeight="1" x14ac:dyDescent="0.2">
      <c r="A29" s="64">
        <v>44197</v>
      </c>
      <c r="B29" s="72">
        <v>33.146286000000003</v>
      </c>
      <c r="C29" s="73">
        <f t="shared" si="0"/>
        <v>2.2462738162187162E-2</v>
      </c>
      <c r="D29" s="72">
        <v>54.034336000000003</v>
      </c>
      <c r="E29" s="73">
        <f t="shared" si="1"/>
        <v>2.2563379033750823E-2</v>
      </c>
      <c r="F29" s="72">
        <v>72.579375999999996</v>
      </c>
      <c r="G29" s="73">
        <f t="shared" si="2"/>
        <v>-8.7826063197632837E-2</v>
      </c>
      <c r="H29" s="72">
        <v>43.415000999999997</v>
      </c>
      <c r="I29" s="73">
        <f t="shared" si="3"/>
        <v>-6.1094309641249595E-2</v>
      </c>
      <c r="J29" s="72">
        <v>126.586967</v>
      </c>
      <c r="K29" s="73">
        <f t="shared" si="4"/>
        <v>-7.2535865876871289E-2</v>
      </c>
      <c r="L29" s="72">
        <v>480.31246900000002</v>
      </c>
      <c r="M29" s="73">
        <f t="shared" si="5"/>
        <v>-2.0606136244676141E-2</v>
      </c>
      <c r="N29" s="72">
        <v>259.91037</v>
      </c>
      <c r="O29" s="73">
        <f t="shared" si="6"/>
        <v>-8.2621293733181819E-2</v>
      </c>
      <c r="P29" s="72">
        <v>264.51001000000002</v>
      </c>
      <c r="Q29" s="73">
        <f t="shared" si="7"/>
        <v>0.12450585683406372</v>
      </c>
      <c r="R29" s="72">
        <v>198.111481</v>
      </c>
      <c r="S29" s="73">
        <f t="shared" si="8"/>
        <v>-5.2714805305658252E-2</v>
      </c>
      <c r="T29" s="52">
        <v>129.61677599999999</v>
      </c>
      <c r="U29" s="53">
        <f t="shared" si="9"/>
        <v>-4.7041988621295159E-3</v>
      </c>
      <c r="V29" s="72">
        <v>53.929569000000001</v>
      </c>
      <c r="W29" s="73">
        <f t="shared" si="10"/>
        <v>0.12457718541833998</v>
      </c>
      <c r="X29" s="72">
        <v>129.84075899999999</v>
      </c>
      <c r="Y29" s="73">
        <f t="shared" si="11"/>
        <v>-5.5013209889176037E-3</v>
      </c>
      <c r="Z29" s="72">
        <v>135.74342300000001</v>
      </c>
      <c r="AA29" s="73">
        <f t="shared" si="12"/>
        <v>8.2518063139928547E-3</v>
      </c>
      <c r="AB29" s="72">
        <v>80.872664999999998</v>
      </c>
      <c r="AC29" s="73">
        <f t="shared" si="13"/>
        <v>-7.3290306177451608E-2</v>
      </c>
      <c r="AD29" s="72">
        <v>279.41323899999998</v>
      </c>
      <c r="AE29" s="73">
        <f t="shared" si="14"/>
        <v>7.6489836225264077E-2</v>
      </c>
      <c r="AF29" s="72">
        <v>58.457034999999998</v>
      </c>
      <c r="AG29" s="73">
        <f t="shared" si="15"/>
        <v>0.13873129082186675</v>
      </c>
      <c r="AH29" s="72">
        <v>99.522887999999995</v>
      </c>
      <c r="AI29" s="73">
        <f t="shared" si="16"/>
        <v>-5.3781284791389349E-2</v>
      </c>
      <c r="AJ29" s="72">
        <v>226.35192900000001</v>
      </c>
      <c r="AK29" s="73">
        <f t="shared" si="17"/>
        <v>4.2892068994810732E-2</v>
      </c>
      <c r="AL29" s="72">
        <v>52.970241999999999</v>
      </c>
      <c r="AM29" s="73">
        <f t="shared" si="18"/>
        <v>-1.1904749246839694E-2</v>
      </c>
      <c r="AN29" s="72">
        <v>503.83999599999999</v>
      </c>
      <c r="AO29" s="78">
        <f t="shared" si="19"/>
        <v>4.2909506413948348E-2</v>
      </c>
      <c r="AP29" s="52">
        <v>1.0200000000000001E-2</v>
      </c>
      <c r="AQ29" s="73">
        <f t="shared" si="20"/>
        <v>6.2500000000000167E-2</v>
      </c>
      <c r="AR29" s="72">
        <v>5.03</v>
      </c>
      <c r="AS29" s="73">
        <f t="shared" si="21"/>
        <v>4.1407867494824051E-2</v>
      </c>
      <c r="AT29" s="8">
        <v>73.705734000000007</v>
      </c>
      <c r="AU29" s="78">
        <f t="shared" si="22"/>
        <v>0.11124724799242507</v>
      </c>
      <c r="AV29" s="126">
        <v>1.5609999999999999</v>
      </c>
      <c r="AW29" s="53">
        <f t="shared" si="23"/>
        <v>7.2115384615384609E-2</v>
      </c>
      <c r="AX29" s="7"/>
      <c r="AY29" s="7"/>
      <c r="AZ29" s="7"/>
      <c r="BA29" s="7"/>
    </row>
    <row r="30" spans="1:53" ht="14.25" customHeight="1" x14ac:dyDescent="0.2">
      <c r="A30" s="64">
        <v>44228</v>
      </c>
      <c r="B30" s="72">
        <v>35.179600000000001</v>
      </c>
      <c r="C30" s="73">
        <f t="shared" si="0"/>
        <v>6.1343644956179916E-2</v>
      </c>
      <c r="D30" s="72">
        <v>54.874805000000002</v>
      </c>
      <c r="E30" s="73">
        <f t="shared" si="1"/>
        <v>1.5554350478184811E-2</v>
      </c>
      <c r="F30" s="72">
        <v>70.364479000000003</v>
      </c>
      <c r="G30" s="73">
        <f t="shared" si="2"/>
        <v>-3.0516892291826723E-2</v>
      </c>
      <c r="H30" s="72">
        <v>43.869999</v>
      </c>
      <c r="I30" s="73">
        <f t="shared" si="3"/>
        <v>1.04802024535253E-2</v>
      </c>
      <c r="J30" s="72">
        <v>119.746437</v>
      </c>
      <c r="K30" s="73">
        <f t="shared" si="4"/>
        <v>-5.4038185463437173E-2</v>
      </c>
      <c r="L30" s="72">
        <v>506.048676</v>
      </c>
      <c r="M30" s="73">
        <f t="shared" si="5"/>
        <v>5.35822171212465E-2</v>
      </c>
      <c r="N30" s="72">
        <v>268.33462500000002</v>
      </c>
      <c r="O30" s="73">
        <f t="shared" si="6"/>
        <v>3.2412154236093067E-2</v>
      </c>
      <c r="P30" s="72">
        <v>225.16667200000001</v>
      </c>
      <c r="Q30" s="73">
        <f t="shared" si="7"/>
        <v>-0.14874045031414884</v>
      </c>
      <c r="R30" s="72">
        <v>202.80973800000001</v>
      </c>
      <c r="S30" s="73">
        <f t="shared" si="8"/>
        <v>2.3715218200806909E-2</v>
      </c>
      <c r="T30" s="52">
        <v>136.84861799999999</v>
      </c>
      <c r="U30" s="53">
        <f t="shared" si="9"/>
        <v>5.5794027773071603E-2</v>
      </c>
      <c r="V30" s="72">
        <v>53.843680999999997</v>
      </c>
      <c r="W30" s="73">
        <f t="shared" si="10"/>
        <v>-1.5925957057065334E-3</v>
      </c>
      <c r="X30" s="72">
        <v>119.312584</v>
      </c>
      <c r="Y30" s="73">
        <f t="shared" si="11"/>
        <v>-8.1085285399479151E-2</v>
      </c>
      <c r="Z30" s="72">
        <v>152.23490899999999</v>
      </c>
      <c r="AA30" s="73">
        <f t="shared" si="12"/>
        <v>0.12149012921237429</v>
      </c>
      <c r="AB30" s="72">
        <v>93.227142000000001</v>
      </c>
      <c r="AC30" s="73">
        <f t="shared" si="13"/>
        <v>0.15276455895202665</v>
      </c>
      <c r="AD30" s="72">
        <v>337.77273600000001</v>
      </c>
      <c r="AE30" s="73">
        <f t="shared" si="14"/>
        <v>0.20886446615366008</v>
      </c>
      <c r="AF30" s="72">
        <v>54.714362999999999</v>
      </c>
      <c r="AG30" s="73">
        <f t="shared" si="15"/>
        <v>-6.4024321452499242E-2</v>
      </c>
      <c r="AH30" s="72">
        <v>99.372467</v>
      </c>
      <c r="AI30" s="73">
        <f t="shared" si="16"/>
        <v>-1.5114211717810518E-3</v>
      </c>
      <c r="AJ30" s="72">
        <v>226.76173399999999</v>
      </c>
      <c r="AK30" s="73">
        <f t="shared" si="17"/>
        <v>1.8104771707069362E-3</v>
      </c>
      <c r="AL30" s="72">
        <v>50.590823999999998</v>
      </c>
      <c r="AM30" s="73">
        <f t="shared" si="18"/>
        <v>-4.4919900498094786E-2</v>
      </c>
      <c r="AN30" s="72">
        <v>450.57000699999998</v>
      </c>
      <c r="AO30" s="78">
        <f t="shared" si="19"/>
        <v>-0.10572798789876144</v>
      </c>
      <c r="AP30" s="52">
        <v>1.0699999999999999E-2</v>
      </c>
      <c r="AQ30" s="73">
        <f t="shared" si="20"/>
        <v>4.9019607843137122E-2</v>
      </c>
      <c r="AR30" s="72">
        <v>5.08</v>
      </c>
      <c r="AS30" s="73">
        <f t="shared" si="21"/>
        <v>9.9403578528826676E-3</v>
      </c>
      <c r="AT30" s="8">
        <v>76.906158000000005</v>
      </c>
      <c r="AU30" s="78">
        <f t="shared" si="22"/>
        <v>4.3421642066545293E-2</v>
      </c>
      <c r="AV30" s="126">
        <v>1.492</v>
      </c>
      <c r="AW30" s="53">
        <f t="shared" si="23"/>
        <v>-4.4202434336963456E-2</v>
      </c>
      <c r="AX30" s="7"/>
      <c r="AY30" s="7"/>
      <c r="AZ30" s="7"/>
      <c r="BA30" s="7"/>
    </row>
    <row r="31" spans="1:53" ht="14.25" customHeight="1" x14ac:dyDescent="0.2">
      <c r="A31" s="64">
        <v>44256</v>
      </c>
      <c r="B31" s="72">
        <v>41.279549000000003</v>
      </c>
      <c r="C31" s="73">
        <f t="shared" si="0"/>
        <v>0.17339449567362911</v>
      </c>
      <c r="D31" s="72">
        <v>60.851996999999997</v>
      </c>
      <c r="E31" s="73">
        <f t="shared" si="1"/>
        <v>0.10892415927491669</v>
      </c>
      <c r="F31" s="72">
        <v>73.761093000000002</v>
      </c>
      <c r="G31" s="73">
        <f t="shared" si="2"/>
        <v>4.8271713914061661E-2</v>
      </c>
      <c r="H31" s="72">
        <v>45.544998</v>
      </c>
      <c r="I31" s="73">
        <f t="shared" si="3"/>
        <v>3.8180967362228563E-2</v>
      </c>
      <c r="J31" s="72">
        <v>131.110229</v>
      </c>
      <c r="K31" s="73">
        <f t="shared" si="4"/>
        <v>9.4898790182792694E-2</v>
      </c>
      <c r="L31" s="72">
        <v>547.59295699999996</v>
      </c>
      <c r="M31" s="73">
        <f t="shared" si="5"/>
        <v>8.209542474921909E-2</v>
      </c>
      <c r="N31" s="72">
        <v>292.145081</v>
      </c>
      <c r="O31" s="73">
        <f t="shared" si="6"/>
        <v>8.873419149690423E-2</v>
      </c>
      <c r="P31" s="72">
        <v>222.643326</v>
      </c>
      <c r="Q31" s="73">
        <f t="shared" si="7"/>
        <v>-1.120656968274596E-2</v>
      </c>
      <c r="R31" s="72">
        <v>207.37240600000001</v>
      </c>
      <c r="S31" s="73">
        <f t="shared" si="8"/>
        <v>2.2497282650204904E-2</v>
      </c>
      <c r="T31" s="52">
        <v>133.19404599999999</v>
      </c>
      <c r="U31" s="53">
        <f t="shared" si="9"/>
        <v>-2.6705216708874633E-2</v>
      </c>
      <c r="V31" s="72">
        <v>58.628788</v>
      </c>
      <c r="W31" s="73">
        <f t="shared" si="10"/>
        <v>8.8870354164679116E-2</v>
      </c>
      <c r="X31" s="72">
        <v>120.36788199999999</v>
      </c>
      <c r="Y31" s="73">
        <f t="shared" si="11"/>
        <v>8.8448172407362621E-3</v>
      </c>
      <c r="Z31" s="72">
        <v>170.10287500000001</v>
      </c>
      <c r="AA31" s="73">
        <f t="shared" si="12"/>
        <v>0.11737101639414403</v>
      </c>
      <c r="AB31" s="72">
        <v>93.839516000000003</v>
      </c>
      <c r="AC31" s="73">
        <f t="shared" si="13"/>
        <v>6.5686235452761454E-3</v>
      </c>
      <c r="AD31" s="72">
        <v>361.97949199999999</v>
      </c>
      <c r="AE31" s="73">
        <f t="shared" si="14"/>
        <v>7.1665807864374181E-2</v>
      </c>
      <c r="AF31" s="72">
        <v>57.592650999999996</v>
      </c>
      <c r="AG31" s="73">
        <f t="shared" si="15"/>
        <v>5.2605711593498729E-2</v>
      </c>
      <c r="AH31" s="72">
        <v>112.833862</v>
      </c>
      <c r="AI31" s="73">
        <f t="shared" si="16"/>
        <v>0.13546403150079786</v>
      </c>
      <c r="AJ31" s="72">
        <v>230.59965500000001</v>
      </c>
      <c r="AK31" s="73">
        <f t="shared" si="17"/>
        <v>1.6924905857352558E-2</v>
      </c>
      <c r="AL31" s="72">
        <v>56.393909000000001</v>
      </c>
      <c r="AM31" s="73">
        <f t="shared" si="18"/>
        <v>0.1147062755886325</v>
      </c>
      <c r="AN31" s="72">
        <v>473.14001500000001</v>
      </c>
      <c r="AO31" s="78">
        <f t="shared" si="19"/>
        <v>5.0092122532248429E-2</v>
      </c>
      <c r="AP31" s="52">
        <v>1.04E-2</v>
      </c>
      <c r="AQ31" s="73">
        <f t="shared" si="20"/>
        <v>-2.8037383177570086E-2</v>
      </c>
      <c r="AR31" s="72">
        <v>5.16</v>
      </c>
      <c r="AS31" s="73">
        <f t="shared" si="21"/>
        <v>1.5748031496063006E-2</v>
      </c>
      <c r="AT31" s="8">
        <v>74.147827000000007</v>
      </c>
      <c r="AU31" s="78">
        <f t="shared" si="22"/>
        <v>-3.5866191625383209E-2</v>
      </c>
      <c r="AV31" s="126">
        <v>1.3069999999999999</v>
      </c>
      <c r="AW31" s="53">
        <f t="shared" si="23"/>
        <v>-0.12399463806970513</v>
      </c>
      <c r="AX31" s="7"/>
      <c r="AY31" s="7"/>
      <c r="AZ31" s="7"/>
      <c r="BA31" s="7"/>
    </row>
    <row r="32" spans="1:53" ht="14.25" customHeight="1" x14ac:dyDescent="0.2">
      <c r="A32" s="64">
        <v>44287</v>
      </c>
      <c r="B32" s="72">
        <v>39.195464999999999</v>
      </c>
      <c r="C32" s="73">
        <f t="shared" si="0"/>
        <v>-5.0487082598698066E-2</v>
      </c>
      <c r="D32" s="72">
        <v>58.439579000000002</v>
      </c>
      <c r="E32" s="73">
        <f t="shared" si="1"/>
        <v>-3.9644023514955398E-2</v>
      </c>
      <c r="F32" s="72">
        <v>75.510834000000003</v>
      </c>
      <c r="G32" s="73">
        <f t="shared" si="2"/>
        <v>2.3721733624527501E-2</v>
      </c>
      <c r="H32" s="72">
        <v>48.525002000000001</v>
      </c>
      <c r="I32" s="73">
        <f t="shared" si="3"/>
        <v>6.5429885406955143E-2</v>
      </c>
      <c r="J32" s="72">
        <v>134.68910199999999</v>
      </c>
      <c r="K32" s="73">
        <f t="shared" si="4"/>
        <v>2.7296672634138923E-2</v>
      </c>
      <c r="L32" s="72">
        <v>603.59570299999996</v>
      </c>
      <c r="M32" s="73">
        <f t="shared" si="5"/>
        <v>0.10227075656124629</v>
      </c>
      <c r="N32" s="72">
        <v>319.63674900000001</v>
      </c>
      <c r="O32" s="73">
        <f t="shared" si="6"/>
        <v>9.4102792714829256E-2</v>
      </c>
      <c r="P32" s="72">
        <v>236.479996</v>
      </c>
      <c r="Q32" s="73">
        <f t="shared" si="7"/>
        <v>6.21472480158691E-2</v>
      </c>
      <c r="R32" s="72">
        <v>217.594391</v>
      </c>
      <c r="S32" s="73">
        <f t="shared" si="8"/>
        <v>4.9292889045228078E-2</v>
      </c>
      <c r="T32" s="52">
        <v>149.82234199999999</v>
      </c>
      <c r="U32" s="53">
        <f t="shared" si="9"/>
        <v>0.12484263748546244</v>
      </c>
      <c r="V32" s="72">
        <v>53.411175</v>
      </c>
      <c r="W32" s="73">
        <f t="shared" si="10"/>
        <v>-8.8994045041490541E-2</v>
      </c>
      <c r="X32" s="72">
        <v>129.54205300000001</v>
      </c>
      <c r="Y32" s="73">
        <f t="shared" si="11"/>
        <v>7.6217765466704945E-2</v>
      </c>
      <c r="Z32" s="72">
        <v>181.169037</v>
      </c>
      <c r="AA32" s="73">
        <f t="shared" si="12"/>
        <v>6.50557023213158E-2</v>
      </c>
      <c r="AB32" s="72">
        <v>97.144408999999996</v>
      </c>
      <c r="AC32" s="73">
        <f t="shared" si="13"/>
        <v>3.521856400026608E-2</v>
      </c>
      <c r="AD32" s="72">
        <v>359.676086</v>
      </c>
      <c r="AE32" s="73">
        <f t="shared" si="14"/>
        <v>-6.3633604966769645E-3</v>
      </c>
      <c r="AF32" s="72">
        <v>57.202717</v>
      </c>
      <c r="AG32" s="73">
        <f t="shared" si="15"/>
        <v>-6.7705513330163719E-3</v>
      </c>
      <c r="AH32" s="72">
        <v>120.13258399999999</v>
      </c>
      <c r="AI32" s="73">
        <f t="shared" si="16"/>
        <v>6.4685563984329439E-2</v>
      </c>
      <c r="AJ32" s="72">
        <v>246.64982599999999</v>
      </c>
      <c r="AK32" s="73">
        <f t="shared" si="17"/>
        <v>6.9601886438208138E-2</v>
      </c>
      <c r="AL32" s="72">
        <v>55.970863000000001</v>
      </c>
      <c r="AM32" s="73">
        <f t="shared" si="18"/>
        <v>-7.5016257518165548E-3</v>
      </c>
      <c r="AN32" s="72">
        <v>481.29998799999998</v>
      </c>
      <c r="AO32" s="78">
        <f t="shared" si="19"/>
        <v>1.7246423344683664E-2</v>
      </c>
      <c r="AP32" s="52">
        <v>1.09E-2</v>
      </c>
      <c r="AQ32" s="73">
        <f t="shared" si="20"/>
        <v>4.8076923076923121E-2</v>
      </c>
      <c r="AR32" s="72">
        <v>5.0999999999999996</v>
      </c>
      <c r="AS32" s="73">
        <f t="shared" si="21"/>
        <v>-1.1627906976744281E-2</v>
      </c>
      <c r="AT32" s="8">
        <v>77.269401999999999</v>
      </c>
      <c r="AU32" s="78">
        <f t="shared" si="22"/>
        <v>4.2099345676037042E-2</v>
      </c>
      <c r="AV32" s="126">
        <v>1.226</v>
      </c>
      <c r="AW32" s="53">
        <f t="shared" si="23"/>
        <v>-6.1973986228003035E-2</v>
      </c>
      <c r="AX32" s="7"/>
      <c r="AY32" s="7"/>
      <c r="AZ32" s="7"/>
      <c r="BA32" s="7"/>
    </row>
    <row r="33" spans="1:53" ht="14.25" customHeight="1" x14ac:dyDescent="0.2">
      <c r="A33" s="64">
        <v>44317</v>
      </c>
      <c r="B33" s="72">
        <v>40.402110999999998</v>
      </c>
      <c r="C33" s="73">
        <f t="shared" si="0"/>
        <v>3.0785347233410785E-2</v>
      </c>
      <c r="D33" s="72">
        <v>58.941757000000003</v>
      </c>
      <c r="E33" s="73">
        <f t="shared" si="1"/>
        <v>8.5931146081665074E-3</v>
      </c>
      <c r="F33" s="72">
        <v>78.834166999999994</v>
      </c>
      <c r="G33" s="73">
        <f t="shared" si="2"/>
        <v>4.4011340147560689E-2</v>
      </c>
      <c r="H33" s="72">
        <v>47.134998000000003</v>
      </c>
      <c r="I33" s="73">
        <f t="shared" si="3"/>
        <v>-2.8645109587012434E-2</v>
      </c>
      <c r="J33" s="72">
        <v>138.22077899999999</v>
      </c>
      <c r="K33" s="73">
        <f t="shared" si="4"/>
        <v>2.6220955872138803E-2</v>
      </c>
      <c r="L33" s="72">
        <v>632.51306199999999</v>
      </c>
      <c r="M33" s="73">
        <f t="shared" si="5"/>
        <v>4.7908490495002801E-2</v>
      </c>
      <c r="N33" s="72">
        <v>328.08972199999999</v>
      </c>
      <c r="O33" s="73">
        <f t="shared" si="6"/>
        <v>2.6445560550986538E-2</v>
      </c>
      <c r="P33" s="72">
        <v>208.40666200000001</v>
      </c>
      <c r="Q33" s="73">
        <f t="shared" si="7"/>
        <v>-0.11871335620286456</v>
      </c>
      <c r="R33" s="72">
        <v>208.817612</v>
      </c>
      <c r="S33" s="73">
        <f t="shared" si="8"/>
        <v>-4.0335502030472856E-2</v>
      </c>
      <c r="T33" s="52">
        <v>162.14991800000001</v>
      </c>
      <c r="U33" s="53">
        <f t="shared" si="9"/>
        <v>8.2281292866186961E-2</v>
      </c>
      <c r="V33" s="72">
        <v>58.284142000000003</v>
      </c>
      <c r="W33" s="73">
        <f t="shared" si="10"/>
        <v>9.1234970958792849E-2</v>
      </c>
      <c r="X33" s="72">
        <v>122.792</v>
      </c>
      <c r="Y33" s="73">
        <f t="shared" si="11"/>
        <v>-5.2107040483602707E-2</v>
      </c>
      <c r="Z33" s="72">
        <v>174.54084800000001</v>
      </c>
      <c r="AA33" s="73">
        <f t="shared" si="12"/>
        <v>-3.6585661157982487E-2</v>
      </c>
      <c r="AB33" s="72">
        <v>103.67643700000001</v>
      </c>
      <c r="AC33" s="73">
        <f t="shared" si="13"/>
        <v>6.7240390540643583E-2</v>
      </c>
      <c r="AD33" s="72">
        <v>350.21987899999999</v>
      </c>
      <c r="AE33" s="73">
        <f t="shared" si="14"/>
        <v>-2.6290897193537648E-2</v>
      </c>
      <c r="AF33" s="72">
        <v>59.582026999999997</v>
      </c>
      <c r="AG33" s="73">
        <f t="shared" si="15"/>
        <v>4.1594352939563983E-2</v>
      </c>
      <c r="AH33" s="72">
        <v>121.707466</v>
      </c>
      <c r="AI33" s="73">
        <f t="shared" si="16"/>
        <v>1.3109532381322975E-2</v>
      </c>
      <c r="AJ33" s="72">
        <v>244.20463599999999</v>
      </c>
      <c r="AK33" s="73">
        <f t="shared" si="17"/>
        <v>-9.9136092640097657E-3</v>
      </c>
      <c r="AL33" s="72">
        <v>58.294483</v>
      </c>
      <c r="AM33" s="73">
        <f t="shared" si="18"/>
        <v>4.1514814592013671E-2</v>
      </c>
      <c r="AN33" s="72">
        <v>502.42999300000002</v>
      </c>
      <c r="AO33" s="78">
        <f t="shared" si="19"/>
        <v>4.3901943749892716E-2</v>
      </c>
      <c r="AP33" s="52">
        <v>1.09E-2</v>
      </c>
      <c r="AQ33" s="73">
        <f t="shared" si="20"/>
        <v>0</v>
      </c>
      <c r="AR33" s="72">
        <v>5.15</v>
      </c>
      <c r="AS33" s="73">
        <f t="shared" si="21"/>
        <v>9.8039215686275914E-3</v>
      </c>
      <c r="AT33" s="8">
        <v>70.557877000000005</v>
      </c>
      <c r="AU33" s="78">
        <f t="shared" si="22"/>
        <v>-8.6858767199984213E-2</v>
      </c>
      <c r="AV33" s="126">
        <v>1.468</v>
      </c>
      <c r="AW33" s="53">
        <f t="shared" si="23"/>
        <v>0.19738988580750408</v>
      </c>
      <c r="AX33" s="7"/>
      <c r="AY33" s="7"/>
      <c r="AZ33" s="7"/>
      <c r="BA33" s="7"/>
    </row>
    <row r="34" spans="1:53" ht="14.25" customHeight="1" x14ac:dyDescent="0.2">
      <c r="A34" s="64">
        <v>44348</v>
      </c>
      <c r="B34" s="72">
        <v>39.138004000000002</v>
      </c>
      <c r="C34" s="73">
        <f t="shared" si="0"/>
        <v>-3.1288142344839252E-2</v>
      </c>
      <c r="D34" s="72">
        <v>61.551105</v>
      </c>
      <c r="E34" s="73">
        <f t="shared" si="1"/>
        <v>4.4269939221526715E-2</v>
      </c>
      <c r="F34" s="72">
        <v>76.547614999999993</v>
      </c>
      <c r="G34" s="73">
        <f t="shared" si="2"/>
        <v>-2.9004581224280592E-2</v>
      </c>
      <c r="H34" s="72">
        <v>45.674999</v>
      </c>
      <c r="I34" s="73">
        <f t="shared" si="3"/>
        <v>-3.0974839544917414E-2</v>
      </c>
      <c r="J34" s="72">
        <v>138.43563800000001</v>
      </c>
      <c r="K34" s="73">
        <f t="shared" si="4"/>
        <v>1.5544623721156885E-3</v>
      </c>
      <c r="L34" s="72">
        <v>641.535034</v>
      </c>
      <c r="M34" s="73">
        <f t="shared" si="5"/>
        <v>1.4263692786790237E-2</v>
      </c>
      <c r="N34" s="72">
        <v>355.20477299999999</v>
      </c>
      <c r="O34" s="73">
        <f t="shared" si="6"/>
        <v>8.264523141630141E-2</v>
      </c>
      <c r="P34" s="72">
        <v>226.566666</v>
      </c>
      <c r="Q34" s="73">
        <f t="shared" si="7"/>
        <v>8.7137348805097145E-2</v>
      </c>
      <c r="R34" s="72">
        <v>199.97285500000001</v>
      </c>
      <c r="S34" s="73">
        <f t="shared" si="8"/>
        <v>-4.2356374614608595E-2</v>
      </c>
      <c r="T34" s="52">
        <v>199.661652</v>
      </c>
      <c r="U34" s="53">
        <f t="shared" si="9"/>
        <v>0.23133982713454093</v>
      </c>
      <c r="V34" s="72">
        <v>67.420242000000002</v>
      </c>
      <c r="W34" s="73">
        <f t="shared" si="10"/>
        <v>0.15675104216169122</v>
      </c>
      <c r="X34" s="72">
        <v>135.19108600000001</v>
      </c>
      <c r="Y34" s="73">
        <f t="shared" si="11"/>
        <v>0.10097633396312472</v>
      </c>
      <c r="Z34" s="72">
        <v>179.23590100000001</v>
      </c>
      <c r="AA34" s="73">
        <f t="shared" si="12"/>
        <v>2.6899451067179423E-2</v>
      </c>
      <c r="AB34" s="72">
        <v>105.406639</v>
      </c>
      <c r="AC34" s="73">
        <f t="shared" si="13"/>
        <v>1.6688478598082913E-2</v>
      </c>
      <c r="AD34" s="72">
        <v>342.082672</v>
      </c>
      <c r="AE34" s="73">
        <f t="shared" si="14"/>
        <v>-2.323456630512967E-2</v>
      </c>
      <c r="AF34" s="72">
        <v>62.060467000000003</v>
      </c>
      <c r="AG34" s="73">
        <f t="shared" si="15"/>
        <v>4.159710779896774E-2</v>
      </c>
      <c r="AH34" s="72">
        <v>125.507462</v>
      </c>
      <c r="AI34" s="73">
        <f t="shared" si="16"/>
        <v>3.1222373818874903E-2</v>
      </c>
      <c r="AJ34" s="72">
        <v>265.57113600000002</v>
      </c>
      <c r="AK34" s="73">
        <f t="shared" si="17"/>
        <v>8.7494243966769053E-2</v>
      </c>
      <c r="AL34" s="72">
        <v>56.504662000000003</v>
      </c>
      <c r="AM34" s="73">
        <f t="shared" si="18"/>
        <v>-3.0703094150436094E-2</v>
      </c>
      <c r="AN34" s="72">
        <v>558.53997800000002</v>
      </c>
      <c r="AO34" s="78">
        <f t="shared" si="19"/>
        <v>0.11167722027295451</v>
      </c>
      <c r="AP34" s="52">
        <v>1.3299999999999999E-2</v>
      </c>
      <c r="AQ34" s="73">
        <f t="shared" si="20"/>
        <v>0.22018348623853204</v>
      </c>
      <c r="AR34" s="72">
        <v>5.31</v>
      </c>
      <c r="AS34" s="73">
        <f t="shared" si="21"/>
        <v>3.1067961165048397E-2</v>
      </c>
      <c r="AT34" s="8">
        <v>75.485450999999998</v>
      </c>
      <c r="AU34" s="78">
        <f t="shared" si="22"/>
        <v>6.983733368281464E-2</v>
      </c>
      <c r="AV34" s="126">
        <v>1.581</v>
      </c>
      <c r="AW34" s="53">
        <f t="shared" si="23"/>
        <v>7.6975476839237056E-2</v>
      </c>
      <c r="AX34" s="7"/>
      <c r="AY34" s="7"/>
      <c r="AZ34" s="7"/>
      <c r="BA34" s="7"/>
    </row>
    <row r="35" spans="1:53" ht="14.25" customHeight="1" x14ac:dyDescent="0.2">
      <c r="A35" s="64">
        <v>44378</v>
      </c>
      <c r="B35" s="72">
        <v>40.127021999999997</v>
      </c>
      <c r="C35" s="73">
        <f t="shared" si="0"/>
        <v>2.5270016324797615E-2</v>
      </c>
      <c r="D35" s="72">
        <v>60.970157999999998</v>
      </c>
      <c r="E35" s="73">
        <f t="shared" si="1"/>
        <v>-9.4384495615473015E-3</v>
      </c>
      <c r="F35" s="72">
        <v>74.806847000000005</v>
      </c>
      <c r="G35" s="73">
        <f t="shared" si="2"/>
        <v>-2.2740982851000499E-2</v>
      </c>
      <c r="H35" s="72">
        <v>47.16</v>
      </c>
      <c r="I35" s="73">
        <f t="shared" si="3"/>
        <v>3.2512337876569999E-2</v>
      </c>
      <c r="J35" s="72">
        <v>147.710159</v>
      </c>
      <c r="K35" s="73">
        <f t="shared" si="4"/>
        <v>6.6995183711292552E-2</v>
      </c>
      <c r="L35" s="72">
        <v>653.75848399999995</v>
      </c>
      <c r="M35" s="73">
        <f t="shared" si="5"/>
        <v>1.905344112508742E-2</v>
      </c>
      <c r="N35" s="72">
        <v>368.56530800000002</v>
      </c>
      <c r="O35" s="73">
        <f t="shared" si="6"/>
        <v>3.7613613373376681E-2</v>
      </c>
      <c r="P35" s="72">
        <v>229.066666</v>
      </c>
      <c r="Q35" s="73">
        <f t="shared" si="7"/>
        <v>1.1034279861804561E-2</v>
      </c>
      <c r="R35" s="72">
        <v>214.88104200000001</v>
      </c>
      <c r="S35" s="73">
        <f t="shared" si="8"/>
        <v>7.4551053441728368E-2</v>
      </c>
      <c r="T35" s="52">
        <v>194.68042</v>
      </c>
      <c r="U35" s="53">
        <f t="shared" si="9"/>
        <v>-2.4948366148948849E-2</v>
      </c>
      <c r="V35" s="72">
        <v>65.499709999999993</v>
      </c>
      <c r="W35" s="73">
        <f t="shared" si="10"/>
        <v>-2.8485984965761595E-2</v>
      </c>
      <c r="X35" s="72">
        <v>143.97610499999999</v>
      </c>
      <c r="Y35" s="73">
        <f t="shared" si="11"/>
        <v>6.498223558911255E-2</v>
      </c>
      <c r="Z35" s="72">
        <v>174.29405199999999</v>
      </c>
      <c r="AA35" s="73">
        <f t="shared" si="12"/>
        <v>-2.7571758628869885E-2</v>
      </c>
      <c r="AB35" s="72">
        <v>112.463554</v>
      </c>
      <c r="AC35" s="73">
        <f t="shared" si="13"/>
        <v>6.6949435699206805E-2</v>
      </c>
      <c r="AD35" s="72">
        <v>351.59954800000003</v>
      </c>
      <c r="AE35" s="73">
        <f t="shared" si="14"/>
        <v>2.782039775461069E-2</v>
      </c>
      <c r="AF35" s="72">
        <v>62.188797000000001</v>
      </c>
      <c r="AG35" s="73">
        <f t="shared" si="15"/>
        <v>2.067822016228113E-3</v>
      </c>
      <c r="AH35" s="72">
        <v>120.687172</v>
      </c>
      <c r="AI35" s="73">
        <f t="shared" si="16"/>
        <v>-3.8406401684706201E-2</v>
      </c>
      <c r="AJ35" s="72">
        <v>279.30548099999999</v>
      </c>
      <c r="AK35" s="73">
        <f t="shared" si="17"/>
        <v>5.1716256543783284E-2</v>
      </c>
      <c r="AL35" s="72">
        <v>54.584994999999999</v>
      </c>
      <c r="AM35" s="73">
        <f t="shared" si="18"/>
        <v>-3.3973603806355022E-2</v>
      </c>
      <c r="AN35" s="72">
        <v>574.60998500000005</v>
      </c>
      <c r="AO35" s="78">
        <f t="shared" si="19"/>
        <v>2.8771453491194917E-2</v>
      </c>
      <c r="AP35" s="52">
        <v>1.44E-2</v>
      </c>
      <c r="AQ35" s="73">
        <f t="shared" si="20"/>
        <v>8.2706766917293256E-2</v>
      </c>
      <c r="AR35" s="72">
        <v>4.9800000000000004</v>
      </c>
      <c r="AS35" s="73">
        <f t="shared" si="21"/>
        <v>-6.2146892655367082E-2</v>
      </c>
      <c r="AT35" s="8">
        <v>76.635185000000007</v>
      </c>
      <c r="AU35" s="78">
        <f t="shared" si="22"/>
        <v>1.5231199983159794E-2</v>
      </c>
      <c r="AV35" s="126">
        <v>1.6259999999999999</v>
      </c>
      <c r="AW35" s="53">
        <f t="shared" si="23"/>
        <v>2.846299810246675E-2</v>
      </c>
      <c r="AX35" s="7"/>
      <c r="AY35" s="7"/>
      <c r="AZ35" s="7"/>
      <c r="BA35" s="7"/>
    </row>
    <row r="36" spans="1:53" ht="14.25" customHeight="1" x14ac:dyDescent="0.2">
      <c r="A36" s="64">
        <v>44409</v>
      </c>
      <c r="B36" s="72">
        <v>41.956302999999998</v>
      </c>
      <c r="C36" s="73">
        <f t="shared" si="0"/>
        <v>4.5587260375315214E-2</v>
      </c>
      <c r="D36" s="72">
        <v>57.139828000000001</v>
      </c>
      <c r="E36" s="73">
        <f t="shared" si="1"/>
        <v>-6.2823028931629082E-2</v>
      </c>
      <c r="F36" s="72">
        <v>73.743530000000007</v>
      </c>
      <c r="G36" s="73">
        <f t="shared" si="2"/>
        <v>-1.4214166786096435E-2</v>
      </c>
      <c r="H36" s="72">
        <v>48.784999999999997</v>
      </c>
      <c r="I36" s="73">
        <f t="shared" si="3"/>
        <v>3.445716709075488E-2</v>
      </c>
      <c r="J36" s="72">
        <v>147.18310500000001</v>
      </c>
      <c r="K36" s="73">
        <f t="shared" si="4"/>
        <v>-3.5681635140612945E-3</v>
      </c>
      <c r="L36" s="72">
        <v>608.066101</v>
      </c>
      <c r="M36" s="73">
        <f t="shared" si="5"/>
        <v>-6.9891839445711812E-2</v>
      </c>
      <c r="N36" s="72">
        <v>373.24093599999998</v>
      </c>
      <c r="O36" s="73">
        <f t="shared" si="6"/>
        <v>1.2686023069756637E-2</v>
      </c>
      <c r="P36" s="72">
        <v>245.240005</v>
      </c>
      <c r="Q36" s="73">
        <f t="shared" si="7"/>
        <v>7.0605380007582597E-2</v>
      </c>
      <c r="R36" s="72">
        <v>219.28898599999999</v>
      </c>
      <c r="S36" s="73">
        <f t="shared" si="8"/>
        <v>2.0513415045706945E-2</v>
      </c>
      <c r="T36" s="52">
        <v>223.49456799999999</v>
      </c>
      <c r="U36" s="53">
        <f t="shared" si="9"/>
        <v>0.14800742673556996</v>
      </c>
      <c r="V36" s="72">
        <v>73.690787999999998</v>
      </c>
      <c r="W36" s="73">
        <f t="shared" si="10"/>
        <v>0.12505517963361984</v>
      </c>
      <c r="X36" s="72">
        <v>149.868988</v>
      </c>
      <c r="Y36" s="73">
        <f t="shared" si="11"/>
        <v>4.092959036501239E-2</v>
      </c>
      <c r="Z36" s="72">
        <v>187.12550400000001</v>
      </c>
      <c r="AA36" s="73">
        <f t="shared" si="12"/>
        <v>7.3619563334266933E-2</v>
      </c>
      <c r="AB36" s="72">
        <v>112.463554</v>
      </c>
      <c r="AC36" s="73">
        <f t="shared" si="13"/>
        <v>0</v>
      </c>
      <c r="AD36" s="72">
        <v>367.58526599999999</v>
      </c>
      <c r="AE36" s="73">
        <f t="shared" si="14"/>
        <v>4.5465695536104508E-2</v>
      </c>
      <c r="AF36" s="72">
        <v>66.277671999999995</v>
      </c>
      <c r="AG36" s="73">
        <f t="shared" si="15"/>
        <v>6.5749382481220767E-2</v>
      </c>
      <c r="AH36" s="72">
        <v>120.15634900000001</v>
      </c>
      <c r="AI36" s="73">
        <f t="shared" si="16"/>
        <v>-4.3983382094660234E-3</v>
      </c>
      <c r="AJ36" s="72">
        <v>295.941711</v>
      </c>
      <c r="AK36" s="73">
        <f t="shared" si="17"/>
        <v>5.9562848320903562E-2</v>
      </c>
      <c r="AL36" s="72">
        <v>54.067867</v>
      </c>
      <c r="AM36" s="73">
        <f t="shared" si="18"/>
        <v>-9.4738123544757975E-3</v>
      </c>
      <c r="AN36" s="72">
        <v>673.40002400000003</v>
      </c>
      <c r="AO36" s="78">
        <f t="shared" si="19"/>
        <v>0.17192537821980239</v>
      </c>
      <c r="AP36" s="52">
        <v>1.61E-2</v>
      </c>
      <c r="AQ36" s="73">
        <f t="shared" si="20"/>
        <v>0.11805555555555557</v>
      </c>
      <c r="AR36" s="72">
        <v>5.08</v>
      </c>
      <c r="AS36" s="73">
        <f t="shared" si="21"/>
        <v>2.0080321285140489E-2</v>
      </c>
      <c r="AT36" s="8">
        <v>73.123192000000003</v>
      </c>
      <c r="AU36" s="78">
        <f t="shared" si="22"/>
        <v>-4.5827422482244987E-2</v>
      </c>
      <c r="AV36" s="126">
        <v>1.744</v>
      </c>
      <c r="AW36" s="53">
        <f t="shared" si="23"/>
        <v>7.2570725707257144E-2</v>
      </c>
      <c r="AX36" s="7"/>
      <c r="AY36" s="7"/>
      <c r="AZ36" s="7"/>
      <c r="BA36" s="7"/>
    </row>
    <row r="37" spans="1:53" ht="14.25" customHeight="1" x14ac:dyDescent="0.2">
      <c r="A37" s="64">
        <v>44440</v>
      </c>
      <c r="B37" s="72">
        <v>38.022114000000002</v>
      </c>
      <c r="C37" s="73">
        <f t="shared" si="0"/>
        <v>-9.3768724093731437E-2</v>
      </c>
      <c r="D37" s="72">
        <v>59.778717</v>
      </c>
      <c r="E37" s="73">
        <f t="shared" si="1"/>
        <v>4.6183005661130073E-2</v>
      </c>
      <c r="F37" s="72">
        <v>71.501427000000007</v>
      </c>
      <c r="G37" s="73">
        <f t="shared" si="2"/>
        <v>-3.0404063922624805E-2</v>
      </c>
      <c r="H37" s="72">
        <v>44.415000999999997</v>
      </c>
      <c r="I37" s="73">
        <f t="shared" si="3"/>
        <v>-8.9576693655836842E-2</v>
      </c>
      <c r="J37" s="72">
        <v>141.555161</v>
      </c>
      <c r="K37" s="73">
        <f t="shared" si="4"/>
        <v>-3.823770398103786E-2</v>
      </c>
      <c r="L37" s="72">
        <v>601.56646699999999</v>
      </c>
      <c r="M37" s="73">
        <f t="shared" si="5"/>
        <v>-1.0689025402519543E-2</v>
      </c>
      <c r="N37" s="72">
        <v>348.666473</v>
      </c>
      <c r="O37" s="73">
        <f t="shared" si="6"/>
        <v>-6.5840749579515523E-2</v>
      </c>
      <c r="P37" s="72">
        <v>258.49334700000003</v>
      </c>
      <c r="Q37" s="73">
        <f t="shared" si="7"/>
        <v>5.4042332938298673E-2</v>
      </c>
      <c r="R37" s="72">
        <v>202.99993900000001</v>
      </c>
      <c r="S37" s="73">
        <f t="shared" si="8"/>
        <v>-7.4281190757113452E-2</v>
      </c>
      <c r="T37" s="52">
        <v>206.867538</v>
      </c>
      <c r="U37" s="53">
        <f t="shared" si="9"/>
        <v>-7.4395678377292787E-2</v>
      </c>
      <c r="V37" s="72">
        <v>67.05735</v>
      </c>
      <c r="W37" s="73">
        <f t="shared" si="10"/>
        <v>-9.0017194550830404E-2</v>
      </c>
      <c r="X37" s="72">
        <v>139.881699</v>
      </c>
      <c r="Y37" s="73">
        <f t="shared" si="11"/>
        <v>-6.6640131045657053E-2</v>
      </c>
      <c r="Z37" s="72">
        <v>195.700928</v>
      </c>
      <c r="AA37" s="73">
        <f t="shared" si="12"/>
        <v>4.5827125734822324E-2</v>
      </c>
      <c r="AB37" s="72">
        <v>111.880341</v>
      </c>
      <c r="AC37" s="73">
        <f t="shared" si="13"/>
        <v>-5.1857955689360536E-3</v>
      </c>
      <c r="AD37" s="72">
        <v>325.81222500000001</v>
      </c>
      <c r="AE37" s="73">
        <f t="shared" si="14"/>
        <v>-0.11364177202902355</v>
      </c>
      <c r="AF37" s="72">
        <v>63.609439999999999</v>
      </c>
      <c r="AG37" s="73">
        <f t="shared" si="15"/>
        <v>-4.0258384452610166E-2</v>
      </c>
      <c r="AH37" s="72">
        <v>120.318558</v>
      </c>
      <c r="AI37" s="73">
        <f t="shared" si="16"/>
        <v>1.3499827628749776E-3</v>
      </c>
      <c r="AJ37" s="72">
        <v>276.903412</v>
      </c>
      <c r="AK37" s="73">
        <f t="shared" si="17"/>
        <v>-6.4331245959445019E-2</v>
      </c>
      <c r="AL37" s="72">
        <v>55.947761999999997</v>
      </c>
      <c r="AM37" s="73">
        <f t="shared" si="18"/>
        <v>3.4769172603017567E-2</v>
      </c>
      <c r="AN37" s="72">
        <v>605.17999299999997</v>
      </c>
      <c r="AO37" s="78">
        <f t="shared" si="19"/>
        <v>-0.10130684373126791</v>
      </c>
      <c r="AP37" s="52">
        <v>2.0899999999999998E-2</v>
      </c>
      <c r="AQ37" s="73">
        <f t="shared" si="20"/>
        <v>0.29813664596273287</v>
      </c>
      <c r="AR37" s="72">
        <v>5</v>
      </c>
      <c r="AS37" s="73">
        <f t="shared" si="21"/>
        <v>-1.5748031496063006E-2</v>
      </c>
      <c r="AT37" s="8">
        <v>75.309714999999997</v>
      </c>
      <c r="AU37" s="78">
        <f t="shared" si="22"/>
        <v>2.9901908549068726E-2</v>
      </c>
      <c r="AV37" s="126">
        <v>1.407</v>
      </c>
      <c r="AW37" s="53">
        <f t="shared" si="23"/>
        <v>-0.19323394495412843</v>
      </c>
      <c r="AX37" s="7"/>
      <c r="AY37" s="7"/>
      <c r="AZ37" s="7"/>
      <c r="BA37" s="7"/>
    </row>
    <row r="38" spans="1:53" ht="14.25" customHeight="1" x14ac:dyDescent="0.2">
      <c r="A38" s="64">
        <v>44470</v>
      </c>
      <c r="B38" s="72">
        <v>37.518616000000002</v>
      </c>
      <c r="C38" s="73">
        <f t="shared" si="0"/>
        <v>-1.3242241081071937E-2</v>
      </c>
      <c r="D38" s="72">
        <v>59.138691000000001</v>
      </c>
      <c r="E38" s="73">
        <f t="shared" si="1"/>
        <v>-1.0706586426068644E-2</v>
      </c>
      <c r="F38" s="72">
        <v>72.078513999999998</v>
      </c>
      <c r="G38" s="73">
        <f t="shared" si="2"/>
        <v>8.070985772074055E-3</v>
      </c>
      <c r="H38" s="72">
        <v>42.5</v>
      </c>
      <c r="I38" s="73">
        <f t="shared" si="3"/>
        <v>-4.311608593682114E-2</v>
      </c>
      <c r="J38" s="72">
        <v>153.12889100000001</v>
      </c>
      <c r="K38" s="73">
        <f t="shared" si="4"/>
        <v>8.1761271847940686E-2</v>
      </c>
      <c r="L38" s="72">
        <v>656.95989999999995</v>
      </c>
      <c r="M38" s="73">
        <f t="shared" si="5"/>
        <v>9.208198268804095E-2</v>
      </c>
      <c r="N38" s="72">
        <v>396.81664999999998</v>
      </c>
      <c r="O38" s="73">
        <f t="shared" si="6"/>
        <v>0.13809809869502418</v>
      </c>
      <c r="P38" s="72">
        <v>371.33334400000001</v>
      </c>
      <c r="Q38" s="73">
        <f t="shared" si="7"/>
        <v>0.43652959857415585</v>
      </c>
      <c r="R38" s="72">
        <v>216.694153</v>
      </c>
      <c r="S38" s="73">
        <f t="shared" si="8"/>
        <v>6.7459202537001689E-2</v>
      </c>
      <c r="T38" s="52">
        <v>255.30903599999999</v>
      </c>
      <c r="U38" s="53">
        <f t="shared" si="9"/>
        <v>0.23416674490513825</v>
      </c>
      <c r="V38" s="72">
        <v>73.842972000000003</v>
      </c>
      <c r="W38" s="73">
        <f t="shared" si="10"/>
        <v>0.1011913235461885</v>
      </c>
      <c r="X38" s="72">
        <v>148.086761</v>
      </c>
      <c r="Y38" s="73">
        <f t="shared" si="11"/>
        <v>5.8657151426220508E-2</v>
      </c>
      <c r="Z38" s="72">
        <v>209.76440400000001</v>
      </c>
      <c r="AA38" s="73">
        <f t="shared" si="12"/>
        <v>7.1862081308066192E-2</v>
      </c>
      <c r="AB38" s="72">
        <v>107.506218</v>
      </c>
      <c r="AC38" s="73">
        <f t="shared" si="13"/>
        <v>-3.909643965064423E-2</v>
      </c>
      <c r="AD38" s="72">
        <v>333.84255999999999</v>
      </c>
      <c r="AE38" s="73">
        <f t="shared" si="14"/>
        <v>2.4647126116891346E-2</v>
      </c>
      <c r="AF38" s="72">
        <v>59.678997000000003</v>
      </c>
      <c r="AG38" s="73">
        <f t="shared" si="15"/>
        <v>-6.1790246856441383E-2</v>
      </c>
      <c r="AH38" s="72">
        <v>108.341286</v>
      </c>
      <c r="AI38" s="73">
        <f t="shared" si="16"/>
        <v>-9.9546339310349771E-2</v>
      </c>
      <c r="AJ38" s="72">
        <v>325.71899400000001</v>
      </c>
      <c r="AK38" s="73">
        <f t="shared" si="17"/>
        <v>0.17629100937188888</v>
      </c>
      <c r="AL38" s="72">
        <v>57.799594999999997</v>
      </c>
      <c r="AM38" s="73">
        <f t="shared" si="18"/>
        <v>3.3099322185577311E-2</v>
      </c>
      <c r="AN38" s="72">
        <v>639.94000200000005</v>
      </c>
      <c r="AO38" s="78">
        <f t="shared" si="19"/>
        <v>5.7437472160452079E-2</v>
      </c>
      <c r="AP38" s="52">
        <v>2.01E-2</v>
      </c>
      <c r="AQ38" s="73">
        <f t="shared" si="20"/>
        <v>-3.8277511961722424E-2</v>
      </c>
      <c r="AR38" s="72">
        <v>5.05</v>
      </c>
      <c r="AS38" s="73">
        <f t="shared" si="21"/>
        <v>9.9999999999999638E-3</v>
      </c>
      <c r="AT38" s="8">
        <v>77.115432999999996</v>
      </c>
      <c r="AU38" s="78">
        <f t="shared" si="22"/>
        <v>2.3977225249093015E-2</v>
      </c>
      <c r="AV38" s="126">
        <v>1.071</v>
      </c>
      <c r="AW38" s="53">
        <f t="shared" si="23"/>
        <v>-0.23880597014925378</v>
      </c>
      <c r="AX38" s="7"/>
      <c r="AY38" s="7"/>
      <c r="AZ38" s="7"/>
      <c r="BA38" s="7"/>
    </row>
    <row r="39" spans="1:53" ht="14.25" customHeight="1" x14ac:dyDescent="0.2">
      <c r="A39" s="64">
        <v>44501</v>
      </c>
      <c r="B39" s="72">
        <v>36.268279999999997</v>
      </c>
      <c r="C39" s="73">
        <f t="shared" si="0"/>
        <v>-3.3325749542573863E-2</v>
      </c>
      <c r="D39" s="72">
        <v>58.567585000000001</v>
      </c>
      <c r="E39" s="73">
        <f t="shared" si="1"/>
        <v>-9.6570619055467485E-3</v>
      </c>
      <c r="F39" s="72">
        <v>71.401313999999999</v>
      </c>
      <c r="G39" s="73">
        <f t="shared" si="2"/>
        <v>-9.3953102307297726E-3</v>
      </c>
      <c r="H39" s="72">
        <v>41.889999000000003</v>
      </c>
      <c r="I39" s="73">
        <f t="shared" si="3"/>
        <v>-1.4352964705882281E-2</v>
      </c>
      <c r="J39" s="72">
        <v>151.40422100000001</v>
      </c>
      <c r="K39" s="73">
        <f t="shared" si="4"/>
        <v>-1.1262864824117371E-2</v>
      </c>
      <c r="L39" s="72">
        <v>666.07885699999997</v>
      </c>
      <c r="M39" s="73">
        <f t="shared" si="5"/>
        <v>1.3880538218542751E-2</v>
      </c>
      <c r="N39" s="72">
        <v>383.55181900000002</v>
      </c>
      <c r="O39" s="73">
        <f t="shared" si="6"/>
        <v>-3.3428110942421291E-2</v>
      </c>
      <c r="P39" s="72">
        <v>381.58667000000003</v>
      </c>
      <c r="Q39" s="73">
        <f t="shared" si="7"/>
        <v>2.7612187716705601E-2</v>
      </c>
      <c r="R39" s="72">
        <v>215.962784</v>
      </c>
      <c r="S39" s="73">
        <f t="shared" si="8"/>
        <v>-3.3751210629111936E-3</v>
      </c>
      <c r="T39" s="52">
        <v>326.29873700000002</v>
      </c>
      <c r="U39" s="53">
        <f t="shared" si="9"/>
        <v>0.27805400902457689</v>
      </c>
      <c r="V39" s="72">
        <v>64.930222000000001</v>
      </c>
      <c r="W39" s="73">
        <f t="shared" si="10"/>
        <v>-0.12069869018814684</v>
      </c>
      <c r="X39" s="72">
        <v>163.40948499999999</v>
      </c>
      <c r="Y39" s="73">
        <f t="shared" si="11"/>
        <v>0.10347126168827471</v>
      </c>
      <c r="Z39" s="72">
        <v>217.64614900000001</v>
      </c>
      <c r="AA39" s="73">
        <f t="shared" si="12"/>
        <v>3.7574273087820916E-2</v>
      </c>
      <c r="AB39" s="72">
        <v>95.958534</v>
      </c>
      <c r="AC39" s="73">
        <f t="shared" si="13"/>
        <v>-0.10741410324749777</v>
      </c>
      <c r="AD39" s="72">
        <v>336.992706</v>
      </c>
      <c r="AE39" s="73">
        <f t="shared" si="14"/>
        <v>9.4360227767244734E-3</v>
      </c>
      <c r="AF39" s="72">
        <v>63.404345999999997</v>
      </c>
      <c r="AG39" s="73">
        <f t="shared" si="15"/>
        <v>6.2423116796014422E-2</v>
      </c>
      <c r="AH39" s="72">
        <v>106.077972</v>
      </c>
      <c r="AI39" s="73">
        <f t="shared" si="16"/>
        <v>-2.0890595668210863E-2</v>
      </c>
      <c r="AJ39" s="72">
        <v>324.707336</v>
      </c>
      <c r="AK39" s="73">
        <f t="shared" si="17"/>
        <v>-3.1059226469304741E-3</v>
      </c>
      <c r="AL39" s="72">
        <v>58.249679999999998</v>
      </c>
      <c r="AM39" s="73">
        <f t="shared" si="18"/>
        <v>7.7869922790981738E-3</v>
      </c>
      <c r="AN39" s="72">
        <v>636.53002900000001</v>
      </c>
      <c r="AO39" s="78">
        <f t="shared" si="19"/>
        <v>-5.3285823504435909E-3</v>
      </c>
      <c r="AP39" s="52">
        <v>1.6500000000000001E-2</v>
      </c>
      <c r="AQ39" s="73">
        <f t="shared" si="20"/>
        <v>-0.17910447761194026</v>
      </c>
      <c r="AR39" s="72">
        <v>4.95</v>
      </c>
      <c r="AS39" s="73">
        <f t="shared" si="21"/>
        <v>-1.9801980198019733E-2</v>
      </c>
      <c r="AT39" s="8">
        <v>79.436081000000001</v>
      </c>
      <c r="AU39" s="78">
        <f t="shared" si="22"/>
        <v>3.0093172141042193E-2</v>
      </c>
      <c r="AV39" s="126">
        <v>0.91600000000000004</v>
      </c>
      <c r="AW39" s="53">
        <f t="shared" si="23"/>
        <v>-0.1447245564892623</v>
      </c>
      <c r="AX39" s="7"/>
      <c r="AY39" s="7"/>
      <c r="AZ39" s="7"/>
      <c r="BA39" s="7"/>
    </row>
    <row r="40" spans="1:53" ht="14.25" customHeight="1" x14ac:dyDescent="0.2">
      <c r="A40" s="64">
        <v>44531</v>
      </c>
      <c r="B40" s="72">
        <v>40.308483000000003</v>
      </c>
      <c r="C40" s="73">
        <f t="shared" si="0"/>
        <v>0.11139770069052091</v>
      </c>
      <c r="D40" s="72">
        <v>54.953887999999999</v>
      </c>
      <c r="E40" s="73">
        <f t="shared" si="1"/>
        <v>-6.1701314814329493E-2</v>
      </c>
      <c r="F40" s="72">
        <v>81.223526000000007</v>
      </c>
      <c r="G40" s="73">
        <f t="shared" si="2"/>
        <v>0.13756346276764608</v>
      </c>
      <c r="H40" s="72">
        <v>48.02</v>
      </c>
      <c r="I40" s="73">
        <f t="shared" si="3"/>
        <v>0.14633566832980827</v>
      </c>
      <c r="J40" s="72">
        <v>164.60405</v>
      </c>
      <c r="K40" s="73">
        <f t="shared" si="4"/>
        <v>8.7182701465106399E-2</v>
      </c>
      <c r="L40" s="72">
        <v>708.31921399999999</v>
      </c>
      <c r="M40" s="73">
        <f t="shared" si="5"/>
        <v>6.3416450704124397E-2</v>
      </c>
      <c r="N40" s="72">
        <v>384.10754400000002</v>
      </c>
      <c r="O40" s="73">
        <f t="shared" si="6"/>
        <v>1.4488915772812312E-3</v>
      </c>
      <c r="P40" s="72">
        <v>352.26001000000002</v>
      </c>
      <c r="Q40" s="73">
        <f t="shared" si="7"/>
        <v>-7.6854519053299222E-2</v>
      </c>
      <c r="R40" s="72">
        <v>228.756516</v>
      </c>
      <c r="S40" s="73">
        <f t="shared" si="8"/>
        <v>5.9240447650461873E-2</v>
      </c>
      <c r="T40" s="52">
        <v>293.694794</v>
      </c>
      <c r="U40" s="53">
        <f t="shared" si="9"/>
        <v>-9.9920530798744744E-2</v>
      </c>
      <c r="V40" s="72">
        <v>64.169944999999998</v>
      </c>
      <c r="W40" s="73">
        <f t="shared" si="10"/>
        <v>-1.1709139081643708E-2</v>
      </c>
      <c r="X40" s="72">
        <v>175.79536400000001</v>
      </c>
      <c r="Y40" s="73">
        <f t="shared" si="11"/>
        <v>7.5796573252770588E-2</v>
      </c>
      <c r="Z40" s="72">
        <v>230.98764</v>
      </c>
      <c r="AA40" s="73">
        <f t="shared" si="12"/>
        <v>6.1298998678814165E-2</v>
      </c>
      <c r="AB40" s="72">
        <v>109.216988</v>
      </c>
      <c r="AC40" s="73">
        <f t="shared" si="13"/>
        <v>0.13816857602263913</v>
      </c>
      <c r="AD40" s="72">
        <v>334.40826399999997</v>
      </c>
      <c r="AE40" s="73">
        <f t="shared" si="14"/>
        <v>-7.6691333491355276E-3</v>
      </c>
      <c r="AF40" s="72">
        <v>66.789337000000003</v>
      </c>
      <c r="AG40" s="73">
        <f t="shared" si="15"/>
        <v>5.3387365591626899E-2</v>
      </c>
      <c r="AH40" s="72">
        <v>122.694969</v>
      </c>
      <c r="AI40" s="73">
        <f t="shared" si="16"/>
        <v>0.15664889407953611</v>
      </c>
      <c r="AJ40" s="72">
        <v>330.939728</v>
      </c>
      <c r="AK40" s="73">
        <f t="shared" si="17"/>
        <v>1.9193874942203353E-2</v>
      </c>
      <c r="AL40" s="72">
        <v>63.539951000000002</v>
      </c>
      <c r="AM40" s="73">
        <f t="shared" si="18"/>
        <v>9.0820601932920561E-2</v>
      </c>
      <c r="AN40" s="72">
        <v>631.52002000000005</v>
      </c>
      <c r="AO40" s="78">
        <f t="shared" si="19"/>
        <v>-7.8708132715604659E-3</v>
      </c>
      <c r="AP40" s="52">
        <v>1.2999999999999999E-2</v>
      </c>
      <c r="AQ40" s="73">
        <f t="shared" si="20"/>
        <v>-0.21212121212121218</v>
      </c>
      <c r="AR40" s="72">
        <v>5.05</v>
      </c>
      <c r="AS40" s="73">
        <f t="shared" si="21"/>
        <v>2.0202020202020131E-2</v>
      </c>
      <c r="AT40" s="8">
        <v>81.416893000000002</v>
      </c>
      <c r="AU40" s="78">
        <f t="shared" si="22"/>
        <v>2.4935923009595604E-2</v>
      </c>
      <c r="AV40" s="126">
        <v>0.84199999999999997</v>
      </c>
      <c r="AW40" s="53">
        <f t="shared" si="23"/>
        <v>-8.0786026200873426E-2</v>
      </c>
      <c r="AX40" s="7"/>
      <c r="AY40" s="7"/>
      <c r="AZ40" s="7"/>
      <c r="BA40" s="7"/>
    </row>
    <row r="41" spans="1:53" ht="14.25" customHeight="1" x14ac:dyDescent="0.2">
      <c r="A41" s="64">
        <v>44562</v>
      </c>
      <c r="B41" s="72">
        <v>44.107975000000003</v>
      </c>
      <c r="C41" s="73">
        <f t="shared" si="0"/>
        <v>9.4260357056850805E-2</v>
      </c>
      <c r="D41" s="72">
        <v>55.190201000000002</v>
      </c>
      <c r="E41" s="73">
        <f t="shared" si="1"/>
        <v>4.3002052921169596E-3</v>
      </c>
      <c r="F41" s="72">
        <v>78.472915999999998</v>
      </c>
      <c r="G41" s="73">
        <f t="shared" si="2"/>
        <v>-3.3864695802543816E-2</v>
      </c>
      <c r="H41" s="72">
        <v>43.360000999999997</v>
      </c>
      <c r="I41" s="73">
        <f t="shared" si="3"/>
        <v>-9.7042877967513666E-2</v>
      </c>
      <c r="J41" s="72">
        <v>165.53507999999999</v>
      </c>
      <c r="K41" s="73">
        <f t="shared" si="4"/>
        <v>5.6561791766362533E-3</v>
      </c>
      <c r="L41" s="72">
        <v>704.03228799999999</v>
      </c>
      <c r="M41" s="73">
        <f t="shared" si="5"/>
        <v>-6.0522514641258825E-3</v>
      </c>
      <c r="N41" s="72">
        <v>337.31601000000001</v>
      </c>
      <c r="O41" s="73">
        <f t="shared" si="6"/>
        <v>-0.12181883623717635</v>
      </c>
      <c r="P41" s="72">
        <v>312.23998999999998</v>
      </c>
      <c r="Q41" s="73">
        <f t="shared" si="7"/>
        <v>-0.11360931943424415</v>
      </c>
      <c r="R41" s="72">
        <v>185.145996</v>
      </c>
      <c r="S41" s="73">
        <f t="shared" si="8"/>
        <v>-0.19064165149289128</v>
      </c>
      <c r="T41" s="52">
        <v>244.54428100000001</v>
      </c>
      <c r="U41" s="53">
        <f t="shared" si="9"/>
        <v>-0.16735234673584301</v>
      </c>
      <c r="V41" s="72">
        <v>57.965240000000001</v>
      </c>
      <c r="W41" s="73">
        <f t="shared" si="10"/>
        <v>-9.6691761228718476E-2</v>
      </c>
      <c r="X41" s="72">
        <v>173.03321800000001</v>
      </c>
      <c r="Y41" s="73">
        <f t="shared" si="11"/>
        <v>-1.5712280103131738E-2</v>
      </c>
      <c r="Z41" s="72">
        <v>211.34498600000001</v>
      </c>
      <c r="AA41" s="73">
        <f t="shared" si="12"/>
        <v>-8.5037684267435229E-2</v>
      </c>
      <c r="AB41" s="72">
        <v>108.983704</v>
      </c>
      <c r="AC41" s="73">
        <f t="shared" si="13"/>
        <v>-2.1359680785190452E-3</v>
      </c>
      <c r="AD41" s="72">
        <v>368.20764200000002</v>
      </c>
      <c r="AE41" s="73">
        <f t="shared" si="14"/>
        <v>0.10107219718708881</v>
      </c>
      <c r="AF41" s="72">
        <v>63.816074</v>
      </c>
      <c r="AG41" s="73">
        <f t="shared" si="15"/>
        <v>-4.4517031214129324E-2</v>
      </c>
      <c r="AH41" s="72">
        <v>122.61236599999999</v>
      </c>
      <c r="AI41" s="73">
        <f t="shared" si="16"/>
        <v>-6.7323868837691281E-4</v>
      </c>
      <c r="AJ41" s="72">
        <v>306.00509599999998</v>
      </c>
      <c r="AK41" s="73">
        <f t="shared" si="17"/>
        <v>-7.5344934108364348E-2</v>
      </c>
      <c r="AL41" s="72">
        <v>64.765868999999995</v>
      </c>
      <c r="AM41" s="73">
        <f t="shared" si="18"/>
        <v>1.929365667908672E-2</v>
      </c>
      <c r="AN41" s="72">
        <v>608.59002699999996</v>
      </c>
      <c r="AO41" s="78">
        <f t="shared" si="19"/>
        <v>-3.6309209959804724E-2</v>
      </c>
      <c r="AP41" s="52">
        <v>1.7999999999999999E-2</v>
      </c>
      <c r="AQ41" s="73">
        <f t="shared" si="20"/>
        <v>0.38461538461538458</v>
      </c>
      <c r="AR41" s="72">
        <v>5.05</v>
      </c>
      <c r="AS41" s="73">
        <f t="shared" si="21"/>
        <v>0</v>
      </c>
      <c r="AT41" s="8">
        <v>78.534942999999998</v>
      </c>
      <c r="AU41" s="78">
        <f t="shared" si="22"/>
        <v>-3.5397445097788284E-2</v>
      </c>
      <c r="AV41" s="126">
        <v>0.874</v>
      </c>
      <c r="AW41" s="53">
        <f t="shared" si="23"/>
        <v>3.8004750593824264E-2</v>
      </c>
      <c r="AX41" s="7"/>
      <c r="AY41" s="7"/>
      <c r="AZ41" s="7"/>
      <c r="BA41" s="7"/>
    </row>
    <row r="42" spans="1:53" ht="14.25" customHeight="1" x14ac:dyDescent="0.2">
      <c r="A42" s="64">
        <v>44593</v>
      </c>
      <c r="B42" s="72">
        <v>44.463408999999999</v>
      </c>
      <c r="C42" s="73">
        <f t="shared" si="0"/>
        <v>8.0582706415335392E-3</v>
      </c>
      <c r="D42" s="72">
        <v>56.283172999999998</v>
      </c>
      <c r="E42" s="73">
        <f t="shared" si="1"/>
        <v>1.980373291265955E-2</v>
      </c>
      <c r="F42" s="72">
        <v>73.636062999999993</v>
      </c>
      <c r="G42" s="73">
        <f t="shared" si="2"/>
        <v>-6.1637227804813642E-2</v>
      </c>
      <c r="H42" s="72">
        <v>42.200001</v>
      </c>
      <c r="I42" s="73">
        <f t="shared" si="3"/>
        <v>-2.6752766910683342E-2</v>
      </c>
      <c r="J42" s="72">
        <v>156.20510899999999</v>
      </c>
      <c r="K42" s="73">
        <f t="shared" si="4"/>
        <v>-5.6362500323194342E-2</v>
      </c>
      <c r="L42" s="72">
        <v>642.94348100000002</v>
      </c>
      <c r="M42" s="73">
        <f t="shared" si="5"/>
        <v>-8.676989399667985E-2</v>
      </c>
      <c r="N42" s="72">
        <v>316.69348100000002</v>
      </c>
      <c r="O42" s="73">
        <f t="shared" si="6"/>
        <v>-6.113711886963203E-2</v>
      </c>
      <c r="P42" s="72">
        <v>290.14334100000002</v>
      </c>
      <c r="Q42" s="73">
        <f t="shared" si="7"/>
        <v>-7.0768158172180184E-2</v>
      </c>
      <c r="R42" s="72">
        <v>172.25564600000001</v>
      </c>
      <c r="S42" s="73">
        <f t="shared" si="8"/>
        <v>-6.9622623651013141E-2</v>
      </c>
      <c r="T42" s="52">
        <v>243.53555299999999</v>
      </c>
      <c r="U42" s="53">
        <f t="shared" si="9"/>
        <v>-4.1249298322377009E-3</v>
      </c>
      <c r="V42" s="72">
        <v>52.677253999999998</v>
      </c>
      <c r="W42" s="73">
        <f t="shared" si="10"/>
        <v>-9.1226845606090887E-2</v>
      </c>
      <c r="X42" s="72">
        <v>163.46978799999999</v>
      </c>
      <c r="Y42" s="73">
        <f t="shared" si="11"/>
        <v>-5.5269329846249583E-2</v>
      </c>
      <c r="Z42" s="72">
        <v>197.28819300000001</v>
      </c>
      <c r="AA42" s="73">
        <f t="shared" si="12"/>
        <v>-6.6511126031634352E-2</v>
      </c>
      <c r="AB42" s="72">
        <v>111.685936</v>
      </c>
      <c r="AC42" s="73">
        <f t="shared" si="13"/>
        <v>2.4794826206310579E-2</v>
      </c>
      <c r="AD42" s="72">
        <v>352.18414300000001</v>
      </c>
      <c r="AE42" s="73">
        <f t="shared" si="14"/>
        <v>-4.3517562299806953E-2</v>
      </c>
      <c r="AF42" s="72">
        <v>56.122463000000003</v>
      </c>
      <c r="AG42" s="73">
        <f t="shared" si="15"/>
        <v>-0.1205591400060116</v>
      </c>
      <c r="AH42" s="72">
        <v>112.45967899999999</v>
      </c>
      <c r="AI42" s="73">
        <f t="shared" si="16"/>
        <v>-8.2803124441787543E-2</v>
      </c>
      <c r="AJ42" s="72">
        <v>294.010132</v>
      </c>
      <c r="AK42" s="73">
        <f t="shared" si="17"/>
        <v>-3.9198575960970213E-2</v>
      </c>
      <c r="AL42" s="72">
        <v>64.064148000000003</v>
      </c>
      <c r="AM42" s="73">
        <f t="shared" si="18"/>
        <v>-1.083473457292748E-2</v>
      </c>
      <c r="AN42" s="72">
        <v>618.35998500000005</v>
      </c>
      <c r="AO42" s="78">
        <f t="shared" si="19"/>
        <v>1.6053430990580608E-2</v>
      </c>
      <c r="AP42" s="52">
        <v>1.6799999999999999E-2</v>
      </c>
      <c r="AQ42" s="73">
        <f t="shared" si="20"/>
        <v>-6.6666666666666652E-2</v>
      </c>
      <c r="AR42" s="72">
        <v>4.82</v>
      </c>
      <c r="AS42" s="73">
        <f t="shared" si="21"/>
        <v>-4.5544554455445453E-2</v>
      </c>
      <c r="AT42" s="8">
        <v>71.030799999999999</v>
      </c>
      <c r="AU42" s="78">
        <f t="shared" si="22"/>
        <v>-9.5551645081094663E-2</v>
      </c>
      <c r="AV42" s="126">
        <v>0.68600000000000005</v>
      </c>
      <c r="AW42" s="53">
        <f t="shared" si="23"/>
        <v>-0.21510297482837523</v>
      </c>
      <c r="AX42" s="7"/>
      <c r="AY42" s="7"/>
      <c r="AZ42" s="7"/>
      <c r="BA42" s="7"/>
    </row>
    <row r="43" spans="1:53" ht="14.25" customHeight="1" x14ac:dyDescent="0.2">
      <c r="A43" s="64">
        <v>44621</v>
      </c>
      <c r="B43" s="72">
        <v>45.295634999999997</v>
      </c>
      <c r="C43" s="73">
        <f t="shared" si="0"/>
        <v>1.871709836733388E-2</v>
      </c>
      <c r="D43" s="72">
        <v>56.864123999999997</v>
      </c>
      <c r="E43" s="73">
        <f t="shared" si="1"/>
        <v>1.0321930499547332E-2</v>
      </c>
      <c r="F43" s="72">
        <v>72.564293000000006</v>
      </c>
      <c r="G43" s="73">
        <f t="shared" si="2"/>
        <v>-1.4554960658339198E-2</v>
      </c>
      <c r="H43" s="72">
        <v>39.950001</v>
      </c>
      <c r="I43" s="73">
        <f t="shared" si="3"/>
        <v>-5.331753428157502E-2</v>
      </c>
      <c r="J43" s="72">
        <v>159.67761200000001</v>
      </c>
      <c r="K43" s="73">
        <f t="shared" si="4"/>
        <v>2.2230406049010967E-2</v>
      </c>
      <c r="L43" s="72">
        <v>632.713257</v>
      </c>
      <c r="M43" s="73">
        <f t="shared" si="5"/>
        <v>-1.5911544797201266E-2</v>
      </c>
      <c r="N43" s="72">
        <v>332.54864500000002</v>
      </c>
      <c r="O43" s="73">
        <f t="shared" si="6"/>
        <v>5.0064699626703089E-2</v>
      </c>
      <c r="P43" s="72">
        <v>359.20001200000002</v>
      </c>
      <c r="Q43" s="73">
        <f t="shared" si="7"/>
        <v>0.23800880889422166</v>
      </c>
      <c r="R43" s="72">
        <v>172.54884300000001</v>
      </c>
      <c r="S43" s="73">
        <f t="shared" si="8"/>
        <v>1.7021038602124665E-3</v>
      </c>
      <c r="T43" s="52">
        <v>272.50808699999999</v>
      </c>
      <c r="U43" s="53">
        <f t="shared" si="9"/>
        <v>0.11896634246253153</v>
      </c>
      <c r="V43" s="72">
        <v>55.253700000000002</v>
      </c>
      <c r="W43" s="73">
        <f t="shared" si="10"/>
        <v>4.8910028605515472E-2</v>
      </c>
      <c r="X43" s="72">
        <v>173.08517499999999</v>
      </c>
      <c r="Y43" s="73">
        <f t="shared" si="11"/>
        <v>5.8820575457037963E-2</v>
      </c>
      <c r="Z43" s="72">
        <v>226.89514199999999</v>
      </c>
      <c r="AA43" s="73">
        <f t="shared" si="12"/>
        <v>0.15006954318852717</v>
      </c>
      <c r="AB43" s="72">
        <v>107.27293400000001</v>
      </c>
      <c r="AC43" s="73">
        <f t="shared" si="13"/>
        <v>-3.9512602553646428E-2</v>
      </c>
      <c r="AD43" s="72">
        <v>406.41751099999999</v>
      </c>
      <c r="AE43" s="73">
        <f t="shared" si="14"/>
        <v>0.15399151006069001</v>
      </c>
      <c r="AF43" s="72">
        <v>55.239735000000003</v>
      </c>
      <c r="AG43" s="73">
        <f t="shared" si="15"/>
        <v>-1.5728604070708731E-2</v>
      </c>
      <c r="AH43" s="72">
        <v>120.79125999999999</v>
      </c>
      <c r="AI43" s="73">
        <f t="shared" si="16"/>
        <v>7.4085050518417364E-2</v>
      </c>
      <c r="AJ43" s="72">
        <v>304.005157</v>
      </c>
      <c r="AK43" s="73">
        <f t="shared" si="17"/>
        <v>3.3995512100242854E-2</v>
      </c>
      <c r="AL43" s="72">
        <v>64.339684000000005</v>
      </c>
      <c r="AM43" s="73">
        <f t="shared" si="18"/>
        <v>4.3009391149633714E-3</v>
      </c>
      <c r="AN43" s="72">
        <v>698.419983</v>
      </c>
      <c r="AO43" s="78">
        <f t="shared" si="19"/>
        <v>0.12947150517833061</v>
      </c>
      <c r="AP43" s="52">
        <v>2.1999999999999999E-2</v>
      </c>
      <c r="AQ43" s="73">
        <f t="shared" si="20"/>
        <v>0.30952380952380953</v>
      </c>
      <c r="AR43" s="72">
        <v>4.7699999999999996</v>
      </c>
      <c r="AS43" s="73">
        <f t="shared" si="21"/>
        <v>-1.0373443983402637E-2</v>
      </c>
      <c r="AT43" s="8">
        <v>54.753914000000002</v>
      </c>
      <c r="AU43" s="78">
        <f t="shared" si="22"/>
        <v>-0.22915250848927504</v>
      </c>
      <c r="AV43" s="126">
        <v>0.70599999999999996</v>
      </c>
      <c r="AW43" s="53">
        <f t="shared" si="23"/>
        <v>2.9154518950437181E-2</v>
      </c>
      <c r="AX43" s="7"/>
      <c r="AY43" s="7"/>
      <c r="AZ43" s="7"/>
      <c r="BA43" s="7"/>
    </row>
    <row r="44" spans="1:53" ht="14.25" customHeight="1" x14ac:dyDescent="0.2">
      <c r="A44" s="64">
        <v>44652</v>
      </c>
      <c r="B44" s="72">
        <v>49.002422000000003</v>
      </c>
      <c r="C44" s="73">
        <f t="shared" si="0"/>
        <v>8.1835413059117193E-2</v>
      </c>
      <c r="D44" s="72">
        <v>55.190201000000002</v>
      </c>
      <c r="E44" s="73">
        <f t="shared" si="1"/>
        <v>-2.9437242363919914E-2</v>
      </c>
      <c r="F44" s="72">
        <v>73.731757999999999</v>
      </c>
      <c r="G44" s="73">
        <f t="shared" si="2"/>
        <v>1.6088698059801846E-2</v>
      </c>
      <c r="H44" s="72">
        <v>42.84</v>
      </c>
      <c r="I44" s="73">
        <f t="shared" si="3"/>
        <v>7.2340398689852425E-2</v>
      </c>
      <c r="J44" s="72">
        <v>164.88575700000001</v>
      </c>
      <c r="K44" s="73">
        <f t="shared" si="4"/>
        <v>3.2616626305759143E-2</v>
      </c>
      <c r="L44" s="72">
        <v>603.58154300000001</v>
      </c>
      <c r="M44" s="73">
        <f t="shared" si="5"/>
        <v>-4.6042521912892348E-2</v>
      </c>
      <c r="N44" s="72">
        <v>311.92016599999999</v>
      </c>
      <c r="O44" s="73">
        <f t="shared" si="6"/>
        <v>-6.2031463096173571E-2</v>
      </c>
      <c r="P44" s="72">
        <v>290.25332600000002</v>
      </c>
      <c r="Q44" s="73">
        <f t="shared" si="7"/>
        <v>-0.19194511051408317</v>
      </c>
      <c r="R44" s="72">
        <v>166.025879</v>
      </c>
      <c r="S44" s="73">
        <f t="shared" si="8"/>
        <v>-3.7803580056459736E-2</v>
      </c>
      <c r="T44" s="52">
        <v>185.262405</v>
      </c>
      <c r="U44" s="53">
        <f t="shared" si="9"/>
        <v>-0.32015813901332035</v>
      </c>
      <c r="V44" s="72">
        <v>50.308411</v>
      </c>
      <c r="W44" s="73">
        <f t="shared" si="10"/>
        <v>-8.9501499447095886E-2</v>
      </c>
      <c r="X44" s="72">
        <v>156.27327</v>
      </c>
      <c r="Y44" s="73">
        <f t="shared" si="11"/>
        <v>-9.7130820129453579E-2</v>
      </c>
      <c r="Z44" s="72">
        <v>195.86080899999999</v>
      </c>
      <c r="AA44" s="73">
        <f t="shared" si="12"/>
        <v>-0.13677830528429738</v>
      </c>
      <c r="AB44" s="72">
        <v>102.587761</v>
      </c>
      <c r="AC44" s="73">
        <f t="shared" si="13"/>
        <v>-4.3675257358021045E-2</v>
      </c>
      <c r="AD44" s="72">
        <v>370.27420000000001</v>
      </c>
      <c r="AE44" s="73">
        <f t="shared" si="14"/>
        <v>-8.8931480612310487E-2</v>
      </c>
      <c r="AF44" s="72">
        <v>55.840350999999998</v>
      </c>
      <c r="AG44" s="73">
        <f t="shared" si="15"/>
        <v>1.0872897923930936E-2</v>
      </c>
      <c r="AH44" s="72">
        <v>122.825836</v>
      </c>
      <c r="AI44" s="73">
        <f t="shared" si="16"/>
        <v>1.6843735217266557E-2</v>
      </c>
      <c r="AJ44" s="72">
        <v>273.64501999999999</v>
      </c>
      <c r="AK44" s="73">
        <f t="shared" si="17"/>
        <v>-9.9867177582122421E-2</v>
      </c>
      <c r="AL44" s="72">
        <v>67.199432000000002</v>
      </c>
      <c r="AM44" s="73">
        <f t="shared" si="18"/>
        <v>4.4447653799480832E-2</v>
      </c>
      <c r="AN44" s="72">
        <v>659.10998500000005</v>
      </c>
      <c r="AO44" s="78">
        <f t="shared" si="19"/>
        <v>-5.6284182808096932E-2</v>
      </c>
      <c r="AP44" s="52">
        <v>2.81E-2</v>
      </c>
      <c r="AQ44" s="73">
        <f t="shared" si="20"/>
        <v>0.27727272727272734</v>
      </c>
      <c r="AR44" s="72">
        <v>4.76</v>
      </c>
      <c r="AS44" s="73">
        <f t="shared" si="21"/>
        <v>-2.0964360587001651E-3</v>
      </c>
      <c r="AT44" s="8">
        <v>62.112155999999999</v>
      </c>
      <c r="AU44" s="78">
        <f t="shared" si="22"/>
        <v>0.13438750698260579</v>
      </c>
      <c r="AV44" s="126">
        <v>0.53300000000000003</v>
      </c>
      <c r="AW44" s="53">
        <f t="shared" si="23"/>
        <v>-0.24504249291784694</v>
      </c>
      <c r="AX44" s="7"/>
      <c r="AY44" s="7"/>
      <c r="AZ44" s="7"/>
      <c r="BA44" s="7"/>
    </row>
    <row r="45" spans="1:53" ht="14.25" customHeight="1" x14ac:dyDescent="0.2">
      <c r="A45" s="64">
        <v>44682</v>
      </c>
      <c r="B45" s="72">
        <v>47.697333999999998</v>
      </c>
      <c r="C45" s="73">
        <f t="shared" si="0"/>
        <v>-2.6633132541897721E-2</v>
      </c>
      <c r="D45" s="72">
        <v>54.304008000000003</v>
      </c>
      <c r="E45" s="73">
        <f t="shared" si="1"/>
        <v>-1.6057071435561517E-2</v>
      </c>
      <c r="F45" s="72">
        <v>75.858245999999994</v>
      </c>
      <c r="G45" s="73">
        <f t="shared" si="2"/>
        <v>2.8840869357814509E-2</v>
      </c>
      <c r="H45" s="72">
        <v>44.560001</v>
      </c>
      <c r="I45" s="73">
        <f t="shared" si="3"/>
        <v>4.0149416433239875E-2</v>
      </c>
      <c r="J45" s="72">
        <v>161.08313000000001</v>
      </c>
      <c r="K45" s="73">
        <f t="shared" si="4"/>
        <v>-2.3062192084911257E-2</v>
      </c>
      <c r="L45" s="72">
        <v>588.54693599999996</v>
      </c>
      <c r="M45" s="73">
        <f t="shared" si="5"/>
        <v>-2.4908990631610568E-2</v>
      </c>
      <c r="N45" s="72">
        <v>297.22500600000001</v>
      </c>
      <c r="O45" s="73">
        <f t="shared" si="6"/>
        <v>-4.7111926710118469E-2</v>
      </c>
      <c r="P45" s="72">
        <v>252.75332599999999</v>
      </c>
      <c r="Q45" s="73">
        <f t="shared" si="7"/>
        <v>-0.12919748592303823</v>
      </c>
      <c r="R45" s="72">
        <v>160.702179</v>
      </c>
      <c r="S45" s="73">
        <f t="shared" si="8"/>
        <v>-3.206548299617798E-2</v>
      </c>
      <c r="T45" s="52">
        <v>186.51101700000001</v>
      </c>
      <c r="U45" s="53">
        <f t="shared" si="9"/>
        <v>6.739694435036663E-3</v>
      </c>
      <c r="V45" s="72">
        <v>47.159294000000003</v>
      </c>
      <c r="W45" s="73">
        <f t="shared" si="10"/>
        <v>-6.2596232665746432E-2</v>
      </c>
      <c r="X45" s="72">
        <v>147.54020700000001</v>
      </c>
      <c r="Y45" s="73">
        <f t="shared" si="11"/>
        <v>-5.5883280614784522E-2</v>
      </c>
      <c r="Z45" s="72">
        <v>182.16168200000001</v>
      </c>
      <c r="AA45" s="73">
        <f t="shared" si="12"/>
        <v>-6.9943175819313488E-2</v>
      </c>
      <c r="AB45" s="72">
        <v>107.25314299999999</v>
      </c>
      <c r="AC45" s="73">
        <f t="shared" si="13"/>
        <v>4.5476984335392538E-2</v>
      </c>
      <c r="AD45" s="72">
        <v>350.88516199999998</v>
      </c>
      <c r="AE45" s="73">
        <f t="shared" si="14"/>
        <v>-5.2363999436093649E-2</v>
      </c>
      <c r="AF45" s="72">
        <v>61.025390999999999</v>
      </c>
      <c r="AG45" s="73">
        <f t="shared" si="15"/>
        <v>9.2854717191874395E-2</v>
      </c>
      <c r="AH45" s="72">
        <v>128.985229</v>
      </c>
      <c r="AI45" s="73">
        <f t="shared" si="16"/>
        <v>5.0147372902880211E-2</v>
      </c>
      <c r="AJ45" s="72">
        <v>268.07394399999998</v>
      </c>
      <c r="AK45" s="73">
        <f t="shared" si="17"/>
        <v>-2.0358769912933207E-2</v>
      </c>
      <c r="AL45" s="72">
        <v>66.852303000000006</v>
      </c>
      <c r="AM45" s="73">
        <f t="shared" si="18"/>
        <v>-5.1656537811211756E-3</v>
      </c>
      <c r="AN45" s="72">
        <v>664.73999000000003</v>
      </c>
      <c r="AO45" s="78">
        <f t="shared" si="19"/>
        <v>8.541829327619703E-3</v>
      </c>
      <c r="AP45" s="52">
        <v>3.2899999999999999E-2</v>
      </c>
      <c r="AQ45" s="73">
        <f t="shared" si="20"/>
        <v>0.17081850533807824</v>
      </c>
      <c r="AR45" s="72">
        <v>4.67</v>
      </c>
      <c r="AS45" s="73">
        <f t="shared" si="21"/>
        <v>-1.8907563025210055E-2</v>
      </c>
      <c r="AT45" s="8">
        <v>64.847649000000004</v>
      </c>
      <c r="AU45" s="78">
        <f t="shared" si="22"/>
        <v>4.4041185754363533E-2</v>
      </c>
      <c r="AV45" s="126">
        <v>0.65800000000000003</v>
      </c>
      <c r="AW45" s="53">
        <f t="shared" si="23"/>
        <v>0.2345215759849906</v>
      </c>
      <c r="AX45" s="7"/>
      <c r="AY45" s="7"/>
      <c r="AZ45" s="7"/>
      <c r="BA45" s="7"/>
    </row>
    <row r="46" spans="1:53" ht="14.25" customHeight="1" x14ac:dyDescent="0.2">
      <c r="A46" s="64">
        <v>44713</v>
      </c>
      <c r="B46" s="72">
        <v>36.833382</v>
      </c>
      <c r="C46" s="73">
        <f t="shared" si="0"/>
        <v>-0.22776853733586028</v>
      </c>
      <c r="D46" s="72">
        <v>55.728515999999999</v>
      </c>
      <c r="E46" s="73">
        <f t="shared" si="1"/>
        <v>2.6232096901576692E-2</v>
      </c>
      <c r="F46" s="72">
        <v>77.138435000000001</v>
      </c>
      <c r="G46" s="73">
        <f t="shared" si="2"/>
        <v>1.687606908285234E-2</v>
      </c>
      <c r="H46" s="72">
        <v>46.349997999999999</v>
      </c>
      <c r="I46" s="73">
        <f t="shared" si="3"/>
        <v>4.0170488326515062E-2</v>
      </c>
      <c r="J46" s="72">
        <v>160.036438</v>
      </c>
      <c r="K46" s="73">
        <f t="shared" si="4"/>
        <v>-6.4978374830437381E-3</v>
      </c>
      <c r="L46" s="72">
        <v>573.27154499999995</v>
      </c>
      <c r="M46" s="73">
        <f t="shared" si="5"/>
        <v>-2.5954414279713477E-2</v>
      </c>
      <c r="N46" s="72">
        <v>268.72186299999998</v>
      </c>
      <c r="O46" s="73">
        <f t="shared" si="6"/>
        <v>-9.5897526872284838E-2</v>
      </c>
      <c r="P46" s="72">
        <v>224.47332800000001</v>
      </c>
      <c r="Q46" s="73">
        <f t="shared" si="7"/>
        <v>-0.11188773832396563</v>
      </c>
      <c r="R46" s="72">
        <v>150.75082399999999</v>
      </c>
      <c r="S46" s="73">
        <f t="shared" si="8"/>
        <v>-6.1924207014019433E-2</v>
      </c>
      <c r="T46" s="52">
        <v>151.420288</v>
      </c>
      <c r="U46" s="53">
        <f t="shared" si="9"/>
        <v>-0.18814292884371547</v>
      </c>
      <c r="V46" s="72">
        <v>40.559348999999997</v>
      </c>
      <c r="W46" s="73">
        <f t="shared" si="10"/>
        <v>-0.13995003826817265</v>
      </c>
      <c r="X46" s="72">
        <v>135.725189</v>
      </c>
      <c r="Y46" s="73">
        <f t="shared" si="11"/>
        <v>-8.0079987958807788E-2</v>
      </c>
      <c r="Z46" s="72">
        <v>189.45730599999999</v>
      </c>
      <c r="AA46" s="73">
        <f t="shared" si="12"/>
        <v>4.0050266993033004E-2</v>
      </c>
      <c r="AB46" s="72">
        <v>91.152350999999996</v>
      </c>
      <c r="AC46" s="73">
        <f t="shared" si="13"/>
        <v>-0.1501195354247101</v>
      </c>
      <c r="AD46" s="72">
        <v>293.69885299999999</v>
      </c>
      <c r="AE46" s="73">
        <f t="shared" si="14"/>
        <v>-0.16297727915892893</v>
      </c>
      <c r="AF46" s="72">
        <v>58.164679999999997</v>
      </c>
      <c r="AG46" s="73">
        <f t="shared" si="15"/>
        <v>-4.6877389118244274E-2</v>
      </c>
      <c r="AH46" s="72">
        <v>132.759567</v>
      </c>
      <c r="AI46" s="73">
        <f t="shared" si="16"/>
        <v>2.9261784696292627E-2</v>
      </c>
      <c r="AJ46" s="72">
        <v>253.83374000000001</v>
      </c>
      <c r="AK46" s="73">
        <f t="shared" si="17"/>
        <v>-5.3120433069765174E-2</v>
      </c>
      <c r="AL46" s="72">
        <v>72.211974999999995</v>
      </c>
      <c r="AM46" s="73">
        <f t="shared" si="18"/>
        <v>8.0171837909607815E-2</v>
      </c>
      <c r="AN46" s="72">
        <v>591.13000499999998</v>
      </c>
      <c r="AO46" s="78">
        <f t="shared" si="19"/>
        <v>-0.11073500332062172</v>
      </c>
      <c r="AP46" s="52">
        <v>2.3400000000000001E-2</v>
      </c>
      <c r="AQ46" s="73">
        <f t="shared" si="20"/>
        <v>-0.28875379939209722</v>
      </c>
      <c r="AR46" s="72">
        <v>4.5</v>
      </c>
      <c r="AS46" s="73">
        <f t="shared" si="21"/>
        <v>-3.6402569593147735E-2</v>
      </c>
      <c r="AT46" s="8">
        <v>66.955627000000007</v>
      </c>
      <c r="AU46" s="78">
        <f t="shared" si="22"/>
        <v>3.2506621789789213E-2</v>
      </c>
      <c r="AV46" s="126">
        <v>0.65300000000000002</v>
      </c>
      <c r="AW46" s="53">
        <f t="shared" si="23"/>
        <v>-7.5987841945288816E-3</v>
      </c>
      <c r="AX46" s="7"/>
      <c r="AY46" s="7"/>
      <c r="AZ46" s="7"/>
      <c r="BA46" s="7"/>
    </row>
    <row r="47" spans="1:53" ht="14.25" customHeight="1" x14ac:dyDescent="0.2">
      <c r="A47" s="64">
        <v>44743</v>
      </c>
      <c r="B47" s="72">
        <v>39.428837000000001</v>
      </c>
      <c r="C47" s="73">
        <f t="shared" si="0"/>
        <v>7.0464748526214649E-2</v>
      </c>
      <c r="D47" s="72">
        <v>55.024096999999998</v>
      </c>
      <c r="E47" s="73">
        <f t="shared" si="1"/>
        <v>-1.2640189449868026E-2</v>
      </c>
      <c r="F47" s="72">
        <v>75.790870999999996</v>
      </c>
      <c r="G47" s="73">
        <f t="shared" si="2"/>
        <v>-1.7469423640757108E-2</v>
      </c>
      <c r="H47" s="72">
        <v>49.810001</v>
      </c>
      <c r="I47" s="73">
        <f t="shared" si="3"/>
        <v>7.4649474634281551E-2</v>
      </c>
      <c r="J47" s="72">
        <v>169.17514</v>
      </c>
      <c r="K47" s="73">
        <f t="shared" si="4"/>
        <v>5.7103882804489782E-2</v>
      </c>
      <c r="L47" s="72">
        <v>665.21966599999996</v>
      </c>
      <c r="M47" s="73">
        <f t="shared" si="5"/>
        <v>0.16039191514380854</v>
      </c>
      <c r="N47" s="72">
        <v>306.54467799999998</v>
      </c>
      <c r="O47" s="73">
        <f t="shared" si="6"/>
        <v>0.14075079183266898</v>
      </c>
      <c r="P47" s="72">
        <v>297.14999399999999</v>
      </c>
      <c r="Q47" s="73">
        <f t="shared" si="7"/>
        <v>0.32376526265962424</v>
      </c>
      <c r="R47" s="72">
        <v>162.506607</v>
      </c>
      <c r="S47" s="73">
        <f t="shared" si="8"/>
        <v>7.7981550535339089E-2</v>
      </c>
      <c r="T47" s="52">
        <v>181.46504200000001</v>
      </c>
      <c r="U47" s="53">
        <f t="shared" si="9"/>
        <v>0.19841960675705497</v>
      </c>
      <c r="V47" s="72">
        <v>47.333843000000002</v>
      </c>
      <c r="W47" s="73">
        <f t="shared" si="10"/>
        <v>0.16702669463457129</v>
      </c>
      <c r="X47" s="72">
        <v>161.32751500000001</v>
      </c>
      <c r="Y47" s="73">
        <f t="shared" si="11"/>
        <v>0.1886335630742795</v>
      </c>
      <c r="Z47" s="72">
        <v>187.14099100000001</v>
      </c>
      <c r="AA47" s="73">
        <f t="shared" si="12"/>
        <v>-1.2226052660117392E-2</v>
      </c>
      <c r="AB47" s="72">
        <v>103.407883</v>
      </c>
      <c r="AC47" s="73">
        <f t="shared" si="13"/>
        <v>0.13445107959969133</v>
      </c>
      <c r="AD47" s="72">
        <v>337.80120799999997</v>
      </c>
      <c r="AE47" s="73">
        <f t="shared" si="14"/>
        <v>0.15016182238886711</v>
      </c>
      <c r="AF47" s="72">
        <v>56.928753</v>
      </c>
      <c r="AG47" s="73">
        <f t="shared" si="15"/>
        <v>-2.1248754398717516E-2</v>
      </c>
      <c r="AH47" s="72">
        <v>122.98053</v>
      </c>
      <c r="AI47" s="73">
        <f t="shared" si="16"/>
        <v>-7.3659753650748214E-2</v>
      </c>
      <c r="AJ47" s="72">
        <v>277.46481299999999</v>
      </c>
      <c r="AK47" s="73">
        <f t="shared" si="17"/>
        <v>9.3096658466285787E-2</v>
      </c>
      <c r="AL47" s="72">
        <v>71.580292</v>
      </c>
      <c r="AM47" s="73">
        <f t="shared" si="18"/>
        <v>-8.7476211528627404E-3</v>
      </c>
      <c r="AN47" s="72">
        <v>581.69000200000005</v>
      </c>
      <c r="AO47" s="78">
        <f t="shared" si="19"/>
        <v>-1.5969419451140759E-2</v>
      </c>
      <c r="AP47" s="52">
        <v>3.3399999999999999E-2</v>
      </c>
      <c r="AQ47" s="73">
        <f t="shared" si="20"/>
        <v>0.42735042735042728</v>
      </c>
      <c r="AR47" s="72">
        <v>4.62</v>
      </c>
      <c r="AS47" s="73">
        <f t="shared" si="21"/>
        <v>2.6666666666666689E-2</v>
      </c>
      <c r="AT47" s="8">
        <v>70.064766000000006</v>
      </c>
      <c r="AU47" s="78">
        <f t="shared" si="22"/>
        <v>4.6435813378313949E-2</v>
      </c>
      <c r="AV47" s="126">
        <v>0.64600000000000002</v>
      </c>
      <c r="AW47" s="53">
        <f t="shared" si="23"/>
        <v>-1.0719754977029105E-2</v>
      </c>
      <c r="AX47" s="7"/>
      <c r="AY47" s="7"/>
      <c r="AZ47" s="7"/>
      <c r="BA47" s="7"/>
    </row>
    <row r="48" spans="1:53" ht="14.25" customHeight="1" x14ac:dyDescent="0.2">
      <c r="A48" s="64">
        <v>44774</v>
      </c>
      <c r="B48" s="72">
        <v>40.561534999999999</v>
      </c>
      <c r="C48" s="73">
        <f t="shared" si="0"/>
        <v>2.8727654330762981E-2</v>
      </c>
      <c r="D48" s="72">
        <v>52.543747000000003</v>
      </c>
      <c r="E48" s="73">
        <f t="shared" si="1"/>
        <v>-4.5077523035043983E-2</v>
      </c>
      <c r="F48" s="72">
        <v>75.739861000000005</v>
      </c>
      <c r="G48" s="73">
        <f t="shared" si="2"/>
        <v>-6.7303620247339418E-4</v>
      </c>
      <c r="H48" s="72">
        <v>44.415000999999997</v>
      </c>
      <c r="I48" s="73">
        <f t="shared" si="3"/>
        <v>-0.10831158184477858</v>
      </c>
      <c r="J48" s="72">
        <v>166.57408100000001</v>
      </c>
      <c r="K48" s="73">
        <f t="shared" si="4"/>
        <v>-1.5374948115899253E-2</v>
      </c>
      <c r="L48" s="72">
        <v>638.11810300000002</v>
      </c>
      <c r="M48" s="73">
        <f t="shared" si="5"/>
        <v>-4.0740772387207122E-2</v>
      </c>
      <c r="N48" s="72">
        <v>281.12194799999997</v>
      </c>
      <c r="O48" s="73">
        <f t="shared" si="6"/>
        <v>-8.2933196445837506E-2</v>
      </c>
      <c r="P48" s="72">
        <v>275.60998499999999</v>
      </c>
      <c r="Q48" s="73">
        <f t="shared" si="7"/>
        <v>-7.2488673851361402E-2</v>
      </c>
      <c r="R48" s="72">
        <v>161.188232</v>
      </c>
      <c r="S48" s="73">
        <f t="shared" si="8"/>
        <v>-8.112747071262175E-3</v>
      </c>
      <c r="T48" s="52">
        <v>150.80290199999999</v>
      </c>
      <c r="U48" s="53">
        <f t="shared" si="9"/>
        <v>-0.16896995510573337</v>
      </c>
      <c r="V48" s="72">
        <v>42.953780999999999</v>
      </c>
      <c r="W48" s="73">
        <f t="shared" si="10"/>
        <v>-9.2535524740723088E-2</v>
      </c>
      <c r="X48" s="72">
        <v>156.07603499999999</v>
      </c>
      <c r="Y48" s="73">
        <f t="shared" si="11"/>
        <v>-3.2551669812802948E-2</v>
      </c>
      <c r="Z48" s="72">
        <v>180.95443700000001</v>
      </c>
      <c r="AA48" s="73">
        <f t="shared" si="12"/>
        <v>-3.3058251786216096E-2</v>
      </c>
      <c r="AB48" s="72">
        <v>96.515998999999994</v>
      </c>
      <c r="AC48" s="73">
        <f t="shared" si="13"/>
        <v>-6.6647568831865595E-2</v>
      </c>
      <c r="AD48" s="72">
        <v>359.52535999999998</v>
      </c>
      <c r="AE48" s="73">
        <f t="shared" si="14"/>
        <v>6.4310462738191285E-2</v>
      </c>
      <c r="AF48" s="72">
        <v>60.473109999999998</v>
      </c>
      <c r="AG48" s="73">
        <f t="shared" si="15"/>
        <v>6.2259522881170398E-2</v>
      </c>
      <c r="AH48" s="72">
        <v>120.780266</v>
      </c>
      <c r="AI48" s="73">
        <f t="shared" si="16"/>
        <v>-1.7891157242532651E-2</v>
      </c>
      <c r="AJ48" s="72">
        <v>258.41961700000002</v>
      </c>
      <c r="AK48" s="73">
        <f t="shared" si="17"/>
        <v>-6.8640040494071505E-2</v>
      </c>
      <c r="AL48" s="72">
        <v>74.028519000000003</v>
      </c>
      <c r="AM48" s="73">
        <f t="shared" si="18"/>
        <v>3.4202528818966023E-2</v>
      </c>
      <c r="AN48" s="72">
        <v>581.05999799999995</v>
      </c>
      <c r="AO48" s="78">
        <f t="shared" si="19"/>
        <v>-1.0830579824889254E-3</v>
      </c>
      <c r="AP48" s="52">
        <v>3.6999999999999998E-2</v>
      </c>
      <c r="AQ48" s="73">
        <f t="shared" si="20"/>
        <v>0.10778443113772453</v>
      </c>
      <c r="AR48" s="72">
        <v>4.6399999999999997</v>
      </c>
      <c r="AS48" s="73">
        <f t="shared" si="21"/>
        <v>4.3290043290042362E-3</v>
      </c>
      <c r="AT48" s="8">
        <v>72.780379999999994</v>
      </c>
      <c r="AU48" s="78">
        <f t="shared" si="22"/>
        <v>3.8758625126928813E-2</v>
      </c>
      <c r="AV48" s="126">
        <v>0.66800000000000004</v>
      </c>
      <c r="AW48" s="53">
        <f t="shared" si="23"/>
        <v>3.4055727554179599E-2</v>
      </c>
      <c r="AX48" s="7"/>
      <c r="AY48" s="7"/>
      <c r="AZ48" s="7"/>
      <c r="BA48" s="7"/>
    </row>
    <row r="49" spans="1:53" ht="14.25" customHeight="1" x14ac:dyDescent="0.2">
      <c r="A49" s="64">
        <v>44805</v>
      </c>
      <c r="B49" s="72">
        <v>36.300418999999998</v>
      </c>
      <c r="C49" s="73">
        <f t="shared" si="0"/>
        <v>-0.10505312483859404</v>
      </c>
      <c r="D49" s="72">
        <v>53.400002000000001</v>
      </c>
      <c r="E49" s="73">
        <f t="shared" si="1"/>
        <v>1.6296039945533334E-2</v>
      </c>
      <c r="F49" s="72">
        <v>68.031281000000007</v>
      </c>
      <c r="G49" s="73">
        <f t="shared" si="2"/>
        <v>-0.10177705501730452</v>
      </c>
      <c r="H49" s="72">
        <v>43.48</v>
      </c>
      <c r="I49" s="73">
        <f t="shared" si="3"/>
        <v>-2.1051468624305555E-2</v>
      </c>
      <c r="J49" s="72">
        <v>157.86196899999999</v>
      </c>
      <c r="K49" s="73">
        <f t="shared" si="4"/>
        <v>-5.230172634120682E-2</v>
      </c>
      <c r="L49" s="72">
        <v>601.55572500000005</v>
      </c>
      <c r="M49" s="73">
        <f t="shared" si="5"/>
        <v>-5.7297195970633617E-2</v>
      </c>
      <c r="N49" s="72">
        <v>240.73057600000001</v>
      </c>
      <c r="O49" s="73">
        <f t="shared" si="6"/>
        <v>-0.14367918366871862</v>
      </c>
      <c r="P49" s="72">
        <v>265.25</v>
      </c>
      <c r="Q49" s="73">
        <f t="shared" si="7"/>
        <v>-3.7589294887120997E-2</v>
      </c>
      <c r="R49" s="72">
        <v>142.091217</v>
      </c>
      <c r="S49" s="73">
        <f t="shared" si="8"/>
        <v>-0.11847648406491609</v>
      </c>
      <c r="T49" s="52">
        <v>121.27975499999999</v>
      </c>
      <c r="U49" s="53">
        <f t="shared" si="9"/>
        <v>-0.19577306940684733</v>
      </c>
      <c r="V49" s="72">
        <v>36.007098999999997</v>
      </c>
      <c r="W49" s="73">
        <f t="shared" si="10"/>
        <v>-0.16172457553853065</v>
      </c>
      <c r="X49" s="72">
        <v>137.384964</v>
      </c>
      <c r="Y49" s="73">
        <f t="shared" si="11"/>
        <v>-0.11975618806564374</v>
      </c>
      <c r="Z49" s="72">
        <v>182.486008</v>
      </c>
      <c r="AA49" s="73">
        <f t="shared" si="12"/>
        <v>8.4638488306312456E-3</v>
      </c>
      <c r="AB49" s="72">
        <v>87.642325999999997</v>
      </c>
      <c r="AC49" s="73">
        <f t="shared" si="13"/>
        <v>-9.1939917650336891E-2</v>
      </c>
      <c r="AD49" s="72">
        <v>328.65683000000001</v>
      </c>
      <c r="AE49" s="73">
        <f t="shared" si="14"/>
        <v>-8.5859117142668223E-2</v>
      </c>
      <c r="AF49" s="72">
        <v>58.777149000000001</v>
      </c>
      <c r="AG49" s="73">
        <f t="shared" si="15"/>
        <v>-2.8044878128477217E-2</v>
      </c>
      <c r="AH49" s="72">
        <v>113.123413</v>
      </c>
      <c r="AI49" s="73">
        <f t="shared" si="16"/>
        <v>-6.3394900951782948E-2</v>
      </c>
      <c r="AJ49" s="72">
        <v>230.67150899999999</v>
      </c>
      <c r="AK49" s="73">
        <f t="shared" si="17"/>
        <v>-0.1073761671893509</v>
      </c>
      <c r="AL49" s="72">
        <v>73.845375000000004</v>
      </c>
      <c r="AM49" s="73">
        <f t="shared" si="18"/>
        <v>-2.4739654726849071E-3</v>
      </c>
      <c r="AN49" s="72">
        <v>688.86999500000002</v>
      </c>
      <c r="AO49" s="78">
        <f t="shared" si="19"/>
        <v>0.18554021507431334</v>
      </c>
      <c r="AP49" s="52">
        <v>2.9100000000000001E-2</v>
      </c>
      <c r="AQ49" s="73">
        <f t="shared" si="20"/>
        <v>-0.21351351351351344</v>
      </c>
      <c r="AR49" s="72">
        <v>4.26</v>
      </c>
      <c r="AS49" s="73">
        <f t="shared" si="21"/>
        <v>-8.1896551724137914E-2</v>
      </c>
      <c r="AT49" s="8">
        <v>69.100525000000005</v>
      </c>
      <c r="AU49" s="78">
        <f t="shared" si="22"/>
        <v>-5.0561085281500176E-2</v>
      </c>
      <c r="AV49" s="126">
        <v>1.163</v>
      </c>
      <c r="AW49" s="53">
        <f t="shared" si="23"/>
        <v>0.74101796407185627</v>
      </c>
      <c r="AX49" s="7"/>
      <c r="AY49" s="7"/>
      <c r="AZ49" s="7"/>
      <c r="BA49" s="7"/>
    </row>
    <row r="50" spans="1:53" ht="14.25" customHeight="1" x14ac:dyDescent="0.2">
      <c r="A50" s="64">
        <v>44835</v>
      </c>
      <c r="B50" s="72">
        <v>42.525638999999998</v>
      </c>
      <c r="C50" s="73">
        <f t="shared" si="0"/>
        <v>0.17149168443482707</v>
      </c>
      <c r="D50" s="72">
        <v>53.689999</v>
      </c>
      <c r="E50" s="73">
        <f t="shared" si="1"/>
        <v>5.4306552273162764E-3</v>
      </c>
      <c r="F50" s="72">
        <v>71.507880999999998</v>
      </c>
      <c r="G50" s="73">
        <f t="shared" si="2"/>
        <v>5.1102962473982966E-2</v>
      </c>
      <c r="H50" s="72">
        <v>46.860000999999997</v>
      </c>
      <c r="I50" s="73">
        <f t="shared" si="3"/>
        <v>7.7736913523459072E-2</v>
      </c>
      <c r="J50" s="72">
        <v>176.75619499999999</v>
      </c>
      <c r="K50" s="73">
        <f t="shared" si="4"/>
        <v>0.11968827020015191</v>
      </c>
      <c r="L50" s="72">
        <v>629.74127199999998</v>
      </c>
      <c r="M50" s="73">
        <f t="shared" si="5"/>
        <v>4.6854424002032276E-2</v>
      </c>
      <c r="N50" s="72">
        <v>262.277557</v>
      </c>
      <c r="O50" s="73">
        <f t="shared" si="6"/>
        <v>8.9506623371349334E-2</v>
      </c>
      <c r="P50" s="72">
        <v>227.53999300000001</v>
      </c>
      <c r="Q50" s="73">
        <f t="shared" si="7"/>
        <v>-0.14216779264844481</v>
      </c>
      <c r="R50" s="72">
        <v>155.038803</v>
      </c>
      <c r="S50" s="73">
        <f t="shared" si="8"/>
        <v>9.11216489897472E-2</v>
      </c>
      <c r="T50" s="52">
        <v>134.887497</v>
      </c>
      <c r="U50" s="53">
        <f t="shared" si="9"/>
        <v>0.11220126557808434</v>
      </c>
      <c r="V50" s="72">
        <v>38.971007999999998</v>
      </c>
      <c r="W50" s="73">
        <f t="shared" si="10"/>
        <v>8.2314573578949016E-2</v>
      </c>
      <c r="X50" s="72">
        <v>152.43568400000001</v>
      </c>
      <c r="Y50" s="73">
        <f t="shared" si="11"/>
        <v>0.10955143533756731</v>
      </c>
      <c r="Z50" s="72">
        <v>215.75723300000001</v>
      </c>
      <c r="AA50" s="73">
        <f t="shared" si="12"/>
        <v>0.18232206054943137</v>
      </c>
      <c r="AB50" s="72">
        <v>108.041916</v>
      </c>
      <c r="AC50" s="73">
        <f t="shared" si="13"/>
        <v>0.23275956870428113</v>
      </c>
      <c r="AD50" s="72">
        <v>390.89312699999999</v>
      </c>
      <c r="AE50" s="73">
        <f t="shared" si="14"/>
        <v>0.18936559754440513</v>
      </c>
      <c r="AF50" s="72">
        <v>75.603095999999994</v>
      </c>
      <c r="AG50" s="73">
        <f t="shared" si="15"/>
        <v>0.28626681093361628</v>
      </c>
      <c r="AH50" s="72">
        <v>131.67105100000001</v>
      </c>
      <c r="AI50" s="73">
        <f t="shared" si="16"/>
        <v>0.16395932113540462</v>
      </c>
      <c r="AJ50" s="72">
        <v>229.90889000000001</v>
      </c>
      <c r="AK50" s="73">
        <f t="shared" si="17"/>
        <v>-3.3060823302628693E-3</v>
      </c>
      <c r="AL50" s="72">
        <v>78.636016999999995</v>
      </c>
      <c r="AM50" s="73">
        <f t="shared" si="18"/>
        <v>6.4873961300893804E-2</v>
      </c>
      <c r="AN50" s="72">
        <v>748.75</v>
      </c>
      <c r="AO50" s="78">
        <f t="shared" si="19"/>
        <v>8.6924971960783373E-2</v>
      </c>
      <c r="AP50" s="52">
        <v>2.5000000000000001E-2</v>
      </c>
      <c r="AQ50" s="73">
        <f t="shared" si="20"/>
        <v>-0.14089347079037798</v>
      </c>
      <c r="AR50" s="72">
        <v>4.09</v>
      </c>
      <c r="AS50" s="73">
        <f t="shared" si="21"/>
        <v>-3.9906103286384963E-2</v>
      </c>
      <c r="AT50" s="8">
        <v>71.156989999999993</v>
      </c>
      <c r="AU50" s="78">
        <f t="shared" si="22"/>
        <v>2.976048300646035E-2</v>
      </c>
      <c r="AV50" s="126">
        <v>1.5049999999999999</v>
      </c>
      <c r="AW50" s="53">
        <f t="shared" si="23"/>
        <v>0.29406706792777287</v>
      </c>
      <c r="AX50" s="7"/>
      <c r="AY50" s="7"/>
      <c r="AZ50" s="7"/>
      <c r="BA50" s="7"/>
    </row>
    <row r="51" spans="1:53" ht="14.25" customHeight="1" x14ac:dyDescent="0.2">
      <c r="A51" s="64">
        <v>44866</v>
      </c>
      <c r="B51" s="72">
        <v>42.810547</v>
      </c>
      <c r="C51" s="73">
        <f t="shared" si="0"/>
        <v>6.6996759296198112E-3</v>
      </c>
      <c r="D51" s="8">
        <v>684.52905299999998</v>
      </c>
      <c r="E51" s="73">
        <f t="shared" si="1"/>
        <v>11.749656653932886</v>
      </c>
      <c r="F51" s="72">
        <v>75.527671999999995</v>
      </c>
      <c r="G51" s="73">
        <f t="shared" si="2"/>
        <v>5.6214656955084409E-2</v>
      </c>
      <c r="H51" s="72">
        <v>51.43</v>
      </c>
      <c r="I51" s="73">
        <f t="shared" si="3"/>
        <v>9.7524517765161869E-2</v>
      </c>
      <c r="J51" s="72">
        <v>180.58178699999999</v>
      </c>
      <c r="K51" s="73">
        <f t="shared" si="4"/>
        <v>2.1643326277757904E-2</v>
      </c>
      <c r="L51" s="72">
        <v>726.61694299999999</v>
      </c>
      <c r="M51" s="73">
        <f t="shared" si="5"/>
        <v>0.15383408283267166</v>
      </c>
      <c r="N51" s="72">
        <v>295.35067700000002</v>
      </c>
      <c r="O51" s="73">
        <f t="shared" si="6"/>
        <v>0.12609969521715508</v>
      </c>
      <c r="P51" s="72">
        <v>194.699997</v>
      </c>
      <c r="Q51" s="73">
        <f t="shared" si="7"/>
        <v>-0.14432625916447142</v>
      </c>
      <c r="R51" s="72">
        <v>147.89244099999999</v>
      </c>
      <c r="S51" s="73">
        <f t="shared" si="8"/>
        <v>-4.6094022023635016E-2</v>
      </c>
      <c r="T51" s="52">
        <v>169.126541</v>
      </c>
      <c r="U51" s="53">
        <f t="shared" si="9"/>
        <v>0.25383408219073123</v>
      </c>
      <c r="V51" s="72">
        <v>44.448860000000003</v>
      </c>
      <c r="W51" s="73">
        <f t="shared" si="10"/>
        <v>0.140562235393039</v>
      </c>
      <c r="X51" s="72">
        <v>147.15701300000001</v>
      </c>
      <c r="Y51" s="73">
        <f t="shared" si="11"/>
        <v>-3.4628840580398501E-2</v>
      </c>
      <c r="Z51" s="72">
        <v>222.17781099999999</v>
      </c>
      <c r="AA51" s="73">
        <f t="shared" si="12"/>
        <v>2.9758344184919988E-2</v>
      </c>
      <c r="AB51" s="72">
        <v>107.667244</v>
      </c>
      <c r="AC51" s="73">
        <f t="shared" si="13"/>
        <v>-3.4678392782297928E-3</v>
      </c>
      <c r="AD51" s="72">
        <v>435.51077299999997</v>
      </c>
      <c r="AE51" s="73">
        <f t="shared" si="14"/>
        <v>0.11414282554013794</v>
      </c>
      <c r="AF51" s="72">
        <v>84.631912</v>
      </c>
      <c r="AG51" s="73">
        <f t="shared" si="15"/>
        <v>0.11942389237604777</v>
      </c>
      <c r="AH51" s="72">
        <v>141.77320900000001</v>
      </c>
      <c r="AI51" s="73">
        <f t="shared" si="16"/>
        <v>7.6722695864256465E-2</v>
      </c>
      <c r="AJ51" s="72">
        <v>252.69873000000001</v>
      </c>
      <c r="AK51" s="73">
        <f t="shared" si="17"/>
        <v>9.9125527507874955E-2</v>
      </c>
      <c r="AL51" s="72">
        <v>82.797272000000007</v>
      </c>
      <c r="AM51" s="73">
        <f t="shared" si="18"/>
        <v>5.2917926908734599E-2</v>
      </c>
      <c r="AN51" s="72">
        <v>751.70001200000002</v>
      </c>
      <c r="AO51" s="78">
        <f t="shared" si="19"/>
        <v>3.9399158597662976E-3</v>
      </c>
      <c r="AP51" s="52">
        <v>2.58E-2</v>
      </c>
      <c r="AQ51" s="73">
        <f t="shared" si="20"/>
        <v>3.1999999999999945E-2</v>
      </c>
      <c r="AR51" s="72">
        <v>4.5</v>
      </c>
      <c r="AS51" s="73">
        <f t="shared" si="21"/>
        <v>0.10024449877750614</v>
      </c>
      <c r="AT51" s="8">
        <v>84.119781000000003</v>
      </c>
      <c r="AU51" s="78">
        <f t="shared" si="22"/>
        <v>0.18217171636967797</v>
      </c>
      <c r="AV51" s="126">
        <v>1.919</v>
      </c>
      <c r="AW51" s="53">
        <f t="shared" si="23"/>
        <v>0.27508305647840542</v>
      </c>
      <c r="AX51" s="7"/>
      <c r="AY51" s="7"/>
      <c r="AZ51" s="7"/>
      <c r="BA51" s="7"/>
    </row>
    <row r="52" spans="1:53" ht="14.25" customHeight="1" x14ac:dyDescent="0.2">
      <c r="A52" s="64">
        <v>44896</v>
      </c>
      <c r="B52" s="72">
        <v>42.010947999999999</v>
      </c>
      <c r="C52" s="73">
        <f t="shared" si="0"/>
        <v>-1.8677616990037539E-2</v>
      </c>
      <c r="D52" s="8">
        <v>707.26000999999997</v>
      </c>
      <c r="E52" s="73">
        <f t="shared" si="1"/>
        <v>3.3206708905019977E-2</v>
      </c>
      <c r="F52" s="72">
        <v>76.804665</v>
      </c>
      <c r="G52" s="73">
        <f t="shared" si="2"/>
        <v>1.6907617647741142E-2</v>
      </c>
      <c r="H52" s="72">
        <v>50.764999000000003</v>
      </c>
      <c r="I52" s="73">
        <f t="shared" si="3"/>
        <v>-1.2930215827338064E-2</v>
      </c>
      <c r="J52" s="72">
        <v>175.86064099999999</v>
      </c>
      <c r="K52" s="73">
        <f t="shared" si="4"/>
        <v>-2.6144087277195926E-2</v>
      </c>
      <c r="L52" s="72">
        <v>670.04870600000004</v>
      </c>
      <c r="M52" s="73">
        <f t="shared" si="5"/>
        <v>-7.7851524857713031E-2</v>
      </c>
      <c r="N52" s="72">
        <v>276.556152</v>
      </c>
      <c r="O52" s="73">
        <f t="shared" si="6"/>
        <v>-6.3634609512000617E-2</v>
      </c>
      <c r="P52" s="72">
        <v>123.18</v>
      </c>
      <c r="Q52" s="73">
        <f t="shared" si="7"/>
        <v>-0.36733435080638438</v>
      </c>
      <c r="R52" s="72">
        <v>143.67765800000001</v>
      </c>
      <c r="S52" s="73">
        <f t="shared" si="8"/>
        <v>-2.8498975143699083E-2</v>
      </c>
      <c r="T52" s="52">
        <v>146.08802800000001</v>
      </c>
      <c r="U52" s="53">
        <f t="shared" si="9"/>
        <v>-0.13622056516842021</v>
      </c>
      <c r="V52" s="72">
        <v>40.770378000000001</v>
      </c>
      <c r="W52" s="73">
        <f t="shared" si="10"/>
        <v>-8.2757623030152008E-2</v>
      </c>
      <c r="X52" s="72">
        <v>129.378006</v>
      </c>
      <c r="Y52" s="73">
        <f t="shared" si="11"/>
        <v>-0.12081657977115917</v>
      </c>
      <c r="Z52" s="72">
        <v>221.81196600000001</v>
      </c>
      <c r="AA52" s="73">
        <f t="shared" si="12"/>
        <v>-1.6466315801445127E-3</v>
      </c>
      <c r="AB52" s="72">
        <v>109.46169999999999</v>
      </c>
      <c r="AC52" s="73">
        <f t="shared" si="13"/>
        <v>1.6666684623226697E-2</v>
      </c>
      <c r="AD52" s="72">
        <v>423.42312600000002</v>
      </c>
      <c r="AE52" s="73">
        <f t="shared" si="14"/>
        <v>-2.775510446443066E-2</v>
      </c>
      <c r="AF52" s="72">
        <v>82.724007</v>
      </c>
      <c r="AG52" s="73">
        <f t="shared" si="15"/>
        <v>-2.2543564890747117E-2</v>
      </c>
      <c r="AH52" s="72">
        <v>135.746002</v>
      </c>
      <c r="AI52" s="73">
        <f t="shared" si="16"/>
        <v>-4.2513018097798748E-2</v>
      </c>
      <c r="AJ52" s="72">
        <v>238.194717</v>
      </c>
      <c r="AK52" s="73">
        <f t="shared" si="17"/>
        <v>-5.7396461786729254E-2</v>
      </c>
      <c r="AL52" s="72">
        <v>81.389815999999996</v>
      </c>
      <c r="AM52" s="73">
        <f t="shared" si="18"/>
        <v>-1.6998820927336959E-2</v>
      </c>
      <c r="AN52" s="72">
        <v>721.48999000000003</v>
      </c>
      <c r="AO52" s="78">
        <f t="shared" si="19"/>
        <v>-4.018893377375652E-2</v>
      </c>
      <c r="AP52" s="52">
        <v>1.6400000000000001E-2</v>
      </c>
      <c r="AQ52" s="73">
        <f t="shared" si="20"/>
        <v>-0.36434108527131776</v>
      </c>
      <c r="AR52" s="72">
        <v>4.2699999999999996</v>
      </c>
      <c r="AS52" s="73">
        <f t="shared" si="21"/>
        <v>-5.1111111111111204E-2</v>
      </c>
      <c r="AT52" s="8">
        <v>90.798782000000003</v>
      </c>
      <c r="AU52" s="78">
        <f t="shared" si="22"/>
        <v>7.9398696960468779E-2</v>
      </c>
      <c r="AV52" s="126">
        <v>1.774</v>
      </c>
      <c r="AW52" s="53">
        <f t="shared" si="23"/>
        <v>-7.5560187597707149E-2</v>
      </c>
      <c r="AX52" s="7"/>
      <c r="AY52" s="7"/>
      <c r="AZ52" s="7"/>
      <c r="BA52" s="7"/>
    </row>
    <row r="53" spans="1:53" ht="14.25" customHeight="1" x14ac:dyDescent="0.2">
      <c r="A53" s="64">
        <v>44927</v>
      </c>
      <c r="B53" s="72">
        <v>42.250366</v>
      </c>
      <c r="C53" s="73">
        <f t="shared" si="0"/>
        <v>5.6989430469410159E-3</v>
      </c>
      <c r="D53" s="8">
        <v>690.87255900000002</v>
      </c>
      <c r="E53" s="73">
        <f t="shared" si="1"/>
        <v>-2.3170334485615753E-2</v>
      </c>
      <c r="F53" s="72">
        <v>72.652000000000001</v>
      </c>
      <c r="G53" s="73">
        <f t="shared" si="2"/>
        <v>-5.4067874653186743E-2</v>
      </c>
      <c r="H53" s="72">
        <v>52.040000999999997</v>
      </c>
      <c r="I53" s="73">
        <f t="shared" si="3"/>
        <v>2.5115769233049597E-2</v>
      </c>
      <c r="J53" s="72">
        <v>167.51516699999999</v>
      </c>
      <c r="K53" s="73">
        <f t="shared" si="4"/>
        <v>-4.7455041404062641E-2</v>
      </c>
      <c r="L53" s="72">
        <v>793.79156499999999</v>
      </c>
      <c r="M53" s="73">
        <f t="shared" si="5"/>
        <v>0.18467740910762978</v>
      </c>
      <c r="N53" s="72">
        <v>320.35925300000002</v>
      </c>
      <c r="O53" s="73">
        <f t="shared" si="6"/>
        <v>0.15838772951975419</v>
      </c>
      <c r="P53" s="72">
        <v>173.220001</v>
      </c>
      <c r="Q53" s="73">
        <f t="shared" si="7"/>
        <v>0.40623478649131339</v>
      </c>
      <c r="R53" s="72">
        <v>153.392166</v>
      </c>
      <c r="S53" s="73">
        <f t="shared" si="8"/>
        <v>6.7613212347879412E-2</v>
      </c>
      <c r="T53" s="52">
        <v>195.300522</v>
      </c>
      <c r="U53" s="53">
        <f t="shared" si="9"/>
        <v>0.33686876791847714</v>
      </c>
      <c r="V53" s="72">
        <v>48.664909000000002</v>
      </c>
      <c r="W53" s="73">
        <f t="shared" si="10"/>
        <v>0.19363399083520885</v>
      </c>
      <c r="X53" s="72">
        <v>143.67700199999999</v>
      </c>
      <c r="Y53" s="73">
        <f t="shared" si="11"/>
        <v>0.11052107264661343</v>
      </c>
      <c r="Z53" s="72">
        <v>224.78956600000001</v>
      </c>
      <c r="AA53" s="73">
        <f t="shared" si="12"/>
        <v>1.3423982725981498E-2</v>
      </c>
      <c r="AB53" s="72">
        <v>113.228081</v>
      </c>
      <c r="AC53" s="73">
        <f t="shared" si="13"/>
        <v>3.440820853321308E-2</v>
      </c>
      <c r="AD53" s="72">
        <v>418.74496499999998</v>
      </c>
      <c r="AE53" s="73">
        <f t="shared" si="14"/>
        <v>-1.1048430547933854E-2</v>
      </c>
      <c r="AF53" s="72">
        <v>81.554374999999993</v>
      </c>
      <c r="AG53" s="73">
        <f t="shared" si="15"/>
        <v>-1.4138966938581772E-2</v>
      </c>
      <c r="AH53" s="72">
        <v>129.810913</v>
      </c>
      <c r="AI53" s="73">
        <f t="shared" si="16"/>
        <v>-4.3722016947504681E-2</v>
      </c>
      <c r="AJ53" s="72">
        <v>246.130539</v>
      </c>
      <c r="AK53" s="73">
        <f t="shared" si="17"/>
        <v>3.3316532372966112E-2</v>
      </c>
      <c r="AL53" s="72">
        <v>76.060897999999995</v>
      </c>
      <c r="AM53" s="73">
        <f t="shared" si="18"/>
        <v>-6.5474014586788129E-2</v>
      </c>
      <c r="AN53" s="72">
        <v>758.46997099999999</v>
      </c>
      <c r="AO53" s="78">
        <f t="shared" si="19"/>
        <v>5.1255016025932597E-2</v>
      </c>
      <c r="AP53" s="52">
        <v>1.0800000000000001E-2</v>
      </c>
      <c r="AQ53" s="73">
        <f t="shared" si="20"/>
        <v>-0.34146341463414637</v>
      </c>
      <c r="AR53" s="72">
        <v>4.58</v>
      </c>
      <c r="AS53" s="73">
        <f t="shared" si="21"/>
        <v>7.2599531615925181E-2</v>
      </c>
      <c r="AT53" s="8">
        <v>96.669028999999995</v>
      </c>
      <c r="AU53" s="78">
        <f t="shared" si="22"/>
        <v>6.4651164593815716E-2</v>
      </c>
      <c r="AV53" s="126">
        <v>1.6879999999999999</v>
      </c>
      <c r="AW53" s="53">
        <f t="shared" si="23"/>
        <v>-4.8478015783540065E-2</v>
      </c>
      <c r="AX53" s="7"/>
      <c r="AY53" s="7"/>
      <c r="AZ53" s="7"/>
      <c r="BA53" s="7"/>
    </row>
    <row r="54" spans="1:53" ht="14.25" customHeight="1" x14ac:dyDescent="0.2">
      <c r="A54" s="64">
        <v>44958</v>
      </c>
      <c r="B54" s="72">
        <v>43.554271999999997</v>
      </c>
      <c r="C54" s="73">
        <f t="shared" si="0"/>
        <v>3.0861413129533548E-2</v>
      </c>
      <c r="D54" s="8">
        <v>684.21270800000002</v>
      </c>
      <c r="E54" s="73">
        <f t="shared" si="1"/>
        <v>-9.6397677303029245E-3</v>
      </c>
      <c r="F54" s="72">
        <v>71.902396999999993</v>
      </c>
      <c r="G54" s="73">
        <f t="shared" si="2"/>
        <v>-1.0317720090293558E-2</v>
      </c>
      <c r="H54" s="72">
        <v>50.880001</v>
      </c>
      <c r="I54" s="73">
        <f t="shared" si="3"/>
        <v>-2.2290545305715823E-2</v>
      </c>
      <c r="J54" s="72">
        <v>169.97373999999999</v>
      </c>
      <c r="K54" s="73">
        <f t="shared" si="4"/>
        <v>1.4676718795259903E-2</v>
      </c>
      <c r="L54" s="72">
        <v>782.87695299999996</v>
      </c>
      <c r="M54" s="73">
        <f t="shared" si="5"/>
        <v>-1.374997226129511E-2</v>
      </c>
      <c r="N54" s="72">
        <v>288.00073200000003</v>
      </c>
      <c r="O54" s="73">
        <f t="shared" si="6"/>
        <v>-0.10100698105947947</v>
      </c>
      <c r="P54" s="72">
        <v>205.71000699999999</v>
      </c>
      <c r="Q54" s="73">
        <f t="shared" si="7"/>
        <v>0.18756497986626841</v>
      </c>
      <c r="R54" s="72">
        <v>157.889984</v>
      </c>
      <c r="S54" s="73">
        <f t="shared" si="8"/>
        <v>2.9322344923403684E-2</v>
      </c>
      <c r="T54" s="52">
        <v>232.07745399999999</v>
      </c>
      <c r="U54" s="53">
        <f t="shared" si="9"/>
        <v>0.18830944036084035</v>
      </c>
      <c r="V54" s="72">
        <v>45.125641000000002</v>
      </c>
      <c r="W54" s="73">
        <f t="shared" si="10"/>
        <v>-7.2727311582972437E-2</v>
      </c>
      <c r="X54" s="72">
        <v>146.78375199999999</v>
      </c>
      <c r="Y54" s="73">
        <f t="shared" si="11"/>
        <v>2.1623154414093394E-2</v>
      </c>
      <c r="Z54" s="72">
        <v>229.98558</v>
      </c>
      <c r="AA54" s="73">
        <f t="shared" si="12"/>
        <v>2.3115014155060874E-2</v>
      </c>
      <c r="AB54" s="72">
        <v>122.279228</v>
      </c>
      <c r="AC54" s="73">
        <f t="shared" si="13"/>
        <v>7.9937299299455589E-2</v>
      </c>
      <c r="AD54" s="72">
        <v>415.179779</v>
      </c>
      <c r="AE54" s="73">
        <f t="shared" si="14"/>
        <v>-8.5139793859968747E-3</v>
      </c>
      <c r="AF54" s="72">
        <v>78.241287</v>
      </c>
      <c r="AG54" s="73">
        <f t="shared" si="15"/>
        <v>-4.062428287875413E-2</v>
      </c>
      <c r="AH54" s="72">
        <v>124.57916299999999</v>
      </c>
      <c r="AI54" s="73">
        <f t="shared" si="16"/>
        <v>-4.030285188734483E-2</v>
      </c>
      <c r="AJ54" s="72">
        <v>247.72962999999999</v>
      </c>
      <c r="AK54" s="73">
        <f t="shared" si="17"/>
        <v>6.496922350623005E-3</v>
      </c>
      <c r="AL54" s="72">
        <v>77.665047000000001</v>
      </c>
      <c r="AM54" s="73">
        <f t="shared" si="18"/>
        <v>2.1090324229409003E-2</v>
      </c>
      <c r="AN54" s="72">
        <v>760.419983</v>
      </c>
      <c r="AO54" s="78">
        <f t="shared" si="19"/>
        <v>2.5709811522650447E-3</v>
      </c>
      <c r="AP54" s="52">
        <v>0.01</v>
      </c>
      <c r="AQ54" s="73">
        <f t="shared" si="20"/>
        <v>-7.4074074074074098E-2</v>
      </c>
      <c r="AR54" s="72">
        <v>4.34</v>
      </c>
      <c r="AS54" s="73">
        <f t="shared" si="21"/>
        <v>-5.2401746724890876E-2</v>
      </c>
      <c r="AT54" s="8">
        <v>104.119576</v>
      </c>
      <c r="AU54" s="78">
        <f t="shared" si="22"/>
        <v>7.7072740639610657E-2</v>
      </c>
      <c r="AV54" s="126">
        <v>1.6679999999999999</v>
      </c>
      <c r="AW54" s="53">
        <f t="shared" si="23"/>
        <v>-1.1848341232227499E-2</v>
      </c>
      <c r="AX54" s="7"/>
      <c r="AY54" s="7"/>
      <c r="AZ54" s="7"/>
      <c r="BA54" s="7"/>
    </row>
    <row r="55" spans="1:53" ht="14.25" customHeight="1" x14ac:dyDescent="0.2">
      <c r="A55" s="64">
        <v>44986</v>
      </c>
      <c r="B55" s="72">
        <v>41.856377000000002</v>
      </c>
      <c r="C55" s="73">
        <f t="shared" si="0"/>
        <v>-3.8983431981138281E-2</v>
      </c>
      <c r="D55" s="8">
        <v>742.79193099999998</v>
      </c>
      <c r="E55" s="73">
        <f t="shared" si="1"/>
        <v>8.5615514466591811E-2</v>
      </c>
      <c r="F55" s="72">
        <v>73.717117000000002</v>
      </c>
      <c r="G55" s="73">
        <f t="shared" si="2"/>
        <v>2.5238657898985044E-2</v>
      </c>
      <c r="H55" s="72">
        <v>54.009998000000003</v>
      </c>
      <c r="I55" s="73">
        <f t="shared" si="3"/>
        <v>6.1517235426155024E-2</v>
      </c>
      <c r="J55" s="72">
        <v>178.56401099999999</v>
      </c>
      <c r="K55" s="73">
        <f t="shared" si="4"/>
        <v>5.0538812642470544E-2</v>
      </c>
      <c r="L55" s="72">
        <v>837.84704599999998</v>
      </c>
      <c r="M55" s="73">
        <f t="shared" si="5"/>
        <v>7.0215495282309096E-2</v>
      </c>
      <c r="N55" s="72">
        <v>304.54968300000002</v>
      </c>
      <c r="O55" s="73">
        <f t="shared" si="6"/>
        <v>5.7461489368714473E-2</v>
      </c>
      <c r="P55" s="72">
        <v>207.46000699999999</v>
      </c>
      <c r="Q55" s="73">
        <f t="shared" si="7"/>
        <v>8.507121386661565E-3</v>
      </c>
      <c r="R55" s="72">
        <v>163.992783</v>
      </c>
      <c r="S55" s="73">
        <f t="shared" si="8"/>
        <v>3.8652223816806545E-2</v>
      </c>
      <c r="T55" s="52">
        <v>277.67120399999999</v>
      </c>
      <c r="U55" s="53">
        <f t="shared" si="9"/>
        <v>0.19645919590276098</v>
      </c>
      <c r="V55" s="72">
        <v>43.621451999999998</v>
      </c>
      <c r="W55" s="73">
        <f t="shared" si="10"/>
        <v>-3.3333354755005117E-2</v>
      </c>
      <c r="X55" s="72">
        <v>164.45015000000001</v>
      </c>
      <c r="Y55" s="73">
        <f t="shared" si="11"/>
        <v>0.12035663184301228</v>
      </c>
      <c r="Z55" s="72">
        <v>232.76956200000001</v>
      </c>
      <c r="AA55" s="73">
        <f t="shared" si="12"/>
        <v>1.2105028497873687E-2</v>
      </c>
      <c r="AB55" s="72">
        <v>121.549622</v>
      </c>
      <c r="AC55" s="73">
        <f t="shared" si="13"/>
        <v>-5.9667206927410755E-3</v>
      </c>
      <c r="AD55" s="72">
        <v>408.88140900000002</v>
      </c>
      <c r="AE55" s="73">
        <f t="shared" si="14"/>
        <v>-1.5170223403389733E-2</v>
      </c>
      <c r="AF55" s="72">
        <v>80.611937999999995</v>
      </c>
      <c r="AG55" s="73">
        <f t="shared" si="15"/>
        <v>3.0299233191294454E-2</v>
      </c>
      <c r="AH55" s="72">
        <v>127.855217</v>
      </c>
      <c r="AI55" s="73">
        <f t="shared" si="16"/>
        <v>2.629696588987359E-2</v>
      </c>
      <c r="AJ55" s="72">
        <v>287.06332400000002</v>
      </c>
      <c r="AK55" s="73">
        <f t="shared" si="17"/>
        <v>0.15877670345691003</v>
      </c>
      <c r="AL55" s="72">
        <v>83.476982000000007</v>
      </c>
      <c r="AM55" s="73">
        <f t="shared" si="18"/>
        <v>7.4833341696168745E-2</v>
      </c>
      <c r="AN55" s="72">
        <v>821.669983</v>
      </c>
      <c r="AO55" s="78">
        <f t="shared" si="19"/>
        <v>8.0547593920871491E-2</v>
      </c>
      <c r="AP55" s="52">
        <v>8.0000000000000002E-3</v>
      </c>
      <c r="AQ55" s="73">
        <f t="shared" si="20"/>
        <v>-0.2</v>
      </c>
      <c r="AR55" s="72">
        <v>4.3899999999999997</v>
      </c>
      <c r="AS55" s="73">
        <f t="shared" si="21"/>
        <v>1.1520737327188899E-2</v>
      </c>
      <c r="AT55" s="8">
        <v>107.527824</v>
      </c>
      <c r="AU55" s="78">
        <f t="shared" si="22"/>
        <v>3.2733978862918157E-2</v>
      </c>
      <c r="AV55" s="126">
        <v>1.4990000000000001</v>
      </c>
      <c r="AW55" s="53">
        <f t="shared" si="23"/>
        <v>-0.1013189448441246</v>
      </c>
      <c r="AX55" s="7"/>
      <c r="AY55" s="7"/>
      <c r="AZ55" s="7"/>
      <c r="BA55" s="7"/>
    </row>
    <row r="56" spans="1:53" ht="14.25" customHeight="1" x14ac:dyDescent="0.2">
      <c r="A56" s="64">
        <v>45017</v>
      </c>
      <c r="B56" s="72">
        <v>45.514980000000001</v>
      </c>
      <c r="C56" s="73">
        <f t="shared" si="0"/>
        <v>8.7408496917924822E-2</v>
      </c>
      <c r="D56" s="8">
        <v>811.94433600000002</v>
      </c>
      <c r="E56" s="73">
        <f t="shared" si="1"/>
        <v>9.3097948582858317E-2</v>
      </c>
      <c r="F56" s="72">
        <v>78.278458000000001</v>
      </c>
      <c r="G56" s="73">
        <f t="shared" si="2"/>
        <v>6.1876280375967478E-2</v>
      </c>
      <c r="H56" s="72">
        <v>56</v>
      </c>
      <c r="I56" s="73">
        <f t="shared" si="3"/>
        <v>3.6845067092948179E-2</v>
      </c>
      <c r="J56" s="72">
        <v>188.24148600000001</v>
      </c>
      <c r="K56" s="73">
        <f t="shared" si="4"/>
        <v>5.4196111219746379E-2</v>
      </c>
      <c r="L56" s="72">
        <v>864.24060099999997</v>
      </c>
      <c r="M56" s="73">
        <f t="shared" si="5"/>
        <v>3.150163878479556E-2</v>
      </c>
      <c r="N56" s="72">
        <v>311.61556999999999</v>
      </c>
      <c r="O56" s="73">
        <f t="shared" si="6"/>
        <v>2.3201097864876039E-2</v>
      </c>
      <c r="P56" s="72">
        <v>164.30999800000001</v>
      </c>
      <c r="Q56" s="73">
        <f t="shared" si="7"/>
        <v>-0.2079919384173162</v>
      </c>
      <c r="R56" s="72">
        <v>166.853409</v>
      </c>
      <c r="S56" s="73">
        <f t="shared" si="8"/>
        <v>1.7443609088577981E-2</v>
      </c>
      <c r="T56" s="52">
        <v>277.43841600000002</v>
      </c>
      <c r="U56" s="53">
        <f t="shared" si="9"/>
        <v>-8.3835844929736004E-4</v>
      </c>
      <c r="V56" s="72">
        <v>45.905997999999997</v>
      </c>
      <c r="W56" s="73">
        <f t="shared" si="10"/>
        <v>5.2372076014342642E-2</v>
      </c>
      <c r="X56" s="72">
        <v>169.217117</v>
      </c>
      <c r="Y56" s="73">
        <f t="shared" si="11"/>
        <v>2.8987307095797686E-2</v>
      </c>
      <c r="Z56" s="72">
        <v>236.09710699999999</v>
      </c>
      <c r="AA56" s="73">
        <f t="shared" si="12"/>
        <v>1.4295447271580922E-2</v>
      </c>
      <c r="AB56" s="72">
        <v>125.35543800000001</v>
      </c>
      <c r="AC56" s="73">
        <f t="shared" si="13"/>
        <v>3.131080078554261E-2</v>
      </c>
      <c r="AD56" s="72">
        <v>375.53021200000001</v>
      </c>
      <c r="AE56" s="73">
        <f t="shared" si="14"/>
        <v>-8.1566919566157164E-2</v>
      </c>
      <c r="AF56" s="72">
        <v>80.634140000000002</v>
      </c>
      <c r="AG56" s="73">
        <f t="shared" si="15"/>
        <v>2.7541826373169646E-4</v>
      </c>
      <c r="AH56" s="72">
        <v>123.29071</v>
      </c>
      <c r="AI56" s="73">
        <f t="shared" si="16"/>
        <v>-3.570059249127075E-2</v>
      </c>
      <c r="AJ56" s="72">
        <v>305.942047</v>
      </c>
      <c r="AK56" s="73">
        <f t="shared" si="17"/>
        <v>6.576501218246876E-2</v>
      </c>
      <c r="AL56" s="72">
        <v>86.573409999999996</v>
      </c>
      <c r="AM56" s="73">
        <f t="shared" si="18"/>
        <v>3.7093195343358108E-2</v>
      </c>
      <c r="AN56" s="72">
        <v>801.78997800000002</v>
      </c>
      <c r="AO56" s="78">
        <f t="shared" si="19"/>
        <v>-2.4194634599424066E-2</v>
      </c>
      <c r="AP56" s="52">
        <v>7.7999999999999996E-3</v>
      </c>
      <c r="AQ56" s="73">
        <f t="shared" si="20"/>
        <v>-2.5000000000000064E-2</v>
      </c>
      <c r="AR56" s="72">
        <v>4.2699999999999996</v>
      </c>
      <c r="AS56" s="73">
        <f t="shared" si="21"/>
        <v>-2.7334851936218704E-2</v>
      </c>
      <c r="AT56" s="8">
        <v>109.79969</v>
      </c>
      <c r="AU56" s="78">
        <f t="shared" si="22"/>
        <v>2.1128168649632517E-2</v>
      </c>
      <c r="AV56" s="126">
        <v>2.0699999999999998</v>
      </c>
      <c r="AW56" s="53">
        <f t="shared" si="23"/>
        <v>0.38092061374249481</v>
      </c>
      <c r="AX56" s="7"/>
      <c r="AY56" s="7"/>
      <c r="AZ56" s="7"/>
      <c r="BA56" s="7"/>
    </row>
    <row r="57" spans="1:53" ht="14.25" customHeight="1" x14ac:dyDescent="0.2">
      <c r="A57" s="64">
        <v>45047</v>
      </c>
      <c r="B57" s="72">
        <v>42.554732999999999</v>
      </c>
      <c r="C57" s="73">
        <f t="shared" si="0"/>
        <v>-6.503896079927976E-2</v>
      </c>
      <c r="D57" s="8">
        <v>869.16589399999998</v>
      </c>
      <c r="E57" s="73">
        <f t="shared" si="1"/>
        <v>7.0474730179040199E-2</v>
      </c>
      <c r="F57" s="72">
        <v>73.428070000000005</v>
      </c>
      <c r="G57" s="73">
        <f t="shared" si="2"/>
        <v>-6.1963254309378386E-2</v>
      </c>
      <c r="H57" s="72">
        <v>58.619999</v>
      </c>
      <c r="I57" s="73">
        <f t="shared" si="3"/>
        <v>4.678569642857143E-2</v>
      </c>
      <c r="J57" s="72">
        <v>179.81997699999999</v>
      </c>
      <c r="K57" s="73">
        <f t="shared" si="4"/>
        <v>-4.4737794940696622E-2</v>
      </c>
      <c r="L57" s="72">
        <v>813.90002400000003</v>
      </c>
      <c r="M57" s="73">
        <f t="shared" si="5"/>
        <v>-5.8248336101950779E-2</v>
      </c>
      <c r="N57" s="72">
        <v>315.35754400000002</v>
      </c>
      <c r="O57" s="73">
        <f t="shared" si="6"/>
        <v>1.2008302409279574E-2</v>
      </c>
      <c r="P57" s="72">
        <v>203.929993</v>
      </c>
      <c r="Q57" s="73">
        <f t="shared" si="7"/>
        <v>0.24112954465497582</v>
      </c>
      <c r="R57" s="72">
        <v>164.07981899999999</v>
      </c>
      <c r="S57" s="73">
        <f t="shared" si="8"/>
        <v>-1.6622914788633494E-2</v>
      </c>
      <c r="T57" s="52">
        <v>378.26968399999998</v>
      </c>
      <c r="U57" s="53">
        <f t="shared" si="9"/>
        <v>0.36343657613731462</v>
      </c>
      <c r="V57" s="72">
        <v>42.059897999999997</v>
      </c>
      <c r="W57" s="73">
        <f t="shared" si="10"/>
        <v>-8.3782080067184253E-2</v>
      </c>
      <c r="X57" s="72">
        <v>176.76646400000001</v>
      </c>
      <c r="Y57" s="73">
        <f t="shared" si="11"/>
        <v>4.4613376789772466E-2</v>
      </c>
      <c r="Z57" s="72">
        <v>207.565414</v>
      </c>
      <c r="AA57" s="73">
        <f t="shared" si="12"/>
        <v>-0.12084727916636433</v>
      </c>
      <c r="AB57" s="72">
        <v>122.540001</v>
      </c>
      <c r="AC57" s="73">
        <f t="shared" si="13"/>
        <v>-2.2459631946720994E-2</v>
      </c>
      <c r="AD57" s="72">
        <v>343.70126299999998</v>
      </c>
      <c r="AE57" s="73">
        <f t="shared" si="14"/>
        <v>-8.4757359016429876E-2</v>
      </c>
      <c r="AF57" s="72">
        <v>75.465164000000001</v>
      </c>
      <c r="AG57" s="73">
        <f t="shared" si="15"/>
        <v>-6.4104063117681923E-2</v>
      </c>
      <c r="AH57" s="72">
        <v>125.41690800000001</v>
      </c>
      <c r="AI57" s="73">
        <f t="shared" si="16"/>
        <v>1.724540316135743E-2</v>
      </c>
      <c r="AJ57" s="72">
        <v>326.98141500000003</v>
      </c>
      <c r="AK57" s="73">
        <f t="shared" si="17"/>
        <v>6.87691286840348E-2</v>
      </c>
      <c r="AL57" s="72">
        <v>82.720230000000001</v>
      </c>
      <c r="AM57" s="73">
        <f t="shared" si="18"/>
        <v>-4.4507661186038473E-2</v>
      </c>
      <c r="AN57" s="72">
        <v>735.55999799999995</v>
      </c>
      <c r="AO57" s="78">
        <f t="shared" si="19"/>
        <v>-8.2602653833620338E-2</v>
      </c>
      <c r="AP57" s="52">
        <v>7.1999999999999998E-3</v>
      </c>
      <c r="AQ57" s="73">
        <f t="shared" si="20"/>
        <v>-7.69230769230769E-2</v>
      </c>
      <c r="AR57" s="72">
        <v>4.29</v>
      </c>
      <c r="AS57" s="73">
        <f t="shared" si="21"/>
        <v>4.6838407494146283E-3</v>
      </c>
      <c r="AT57" s="8">
        <v>112.09421500000001</v>
      </c>
      <c r="AU57" s="78">
        <f t="shared" si="22"/>
        <v>2.0897372296770668E-2</v>
      </c>
      <c r="AV57" s="126">
        <v>2.0699999999999998</v>
      </c>
      <c r="AW57" s="53">
        <f t="shared" si="23"/>
        <v>0</v>
      </c>
      <c r="AX57" s="7"/>
      <c r="AY57" s="7"/>
      <c r="AZ57" s="7"/>
      <c r="BA57" s="7"/>
    </row>
    <row r="58" spans="1:53" ht="14.25" customHeight="1" x14ac:dyDescent="0.2">
      <c r="A58" s="64">
        <v>45078</v>
      </c>
      <c r="B58" s="72">
        <v>43.397781000000002</v>
      </c>
      <c r="C58" s="73">
        <f t="shared" si="0"/>
        <v>1.9810910339867559E-2</v>
      </c>
      <c r="D58" s="8">
        <v>867.11444100000006</v>
      </c>
      <c r="E58" s="73">
        <f t="shared" si="1"/>
        <v>-2.3602548307077543E-3</v>
      </c>
      <c r="F58" s="72">
        <v>76.054030999999995</v>
      </c>
      <c r="G58" s="73">
        <f t="shared" si="2"/>
        <v>3.5762358999766562E-2</v>
      </c>
      <c r="H58" s="72">
        <v>57.439999</v>
      </c>
      <c r="I58" s="73">
        <f t="shared" si="3"/>
        <v>-2.0129648927493152E-2</v>
      </c>
      <c r="J58" s="72">
        <v>182.65014600000001</v>
      </c>
      <c r="K58" s="73">
        <f t="shared" si="4"/>
        <v>1.5738902024217322E-2</v>
      </c>
      <c r="L58" s="72">
        <v>863</v>
      </c>
      <c r="M58" s="73">
        <f t="shared" si="5"/>
        <v>6.0326790210292421E-2</v>
      </c>
      <c r="N58" s="72">
        <v>346.91247600000003</v>
      </c>
      <c r="O58" s="73">
        <f t="shared" si="6"/>
        <v>0.100060812244276</v>
      </c>
      <c r="P58" s="72">
        <v>261.76998900000001</v>
      </c>
      <c r="Q58" s="73">
        <f t="shared" si="7"/>
        <v>0.28362672478491191</v>
      </c>
      <c r="R58" s="72">
        <v>185.59262100000001</v>
      </c>
      <c r="S58" s="73">
        <f t="shared" si="8"/>
        <v>0.13111180967355909</v>
      </c>
      <c r="T58" s="52">
        <v>422.94137599999999</v>
      </c>
      <c r="U58" s="53">
        <f t="shared" si="9"/>
        <v>0.11809482464367937</v>
      </c>
      <c r="V58" s="72">
        <v>44.440334</v>
      </c>
      <c r="W58" s="73">
        <f t="shared" si="10"/>
        <v>5.6596333162767139E-2</v>
      </c>
      <c r="X58" s="72">
        <v>193.70841999999999</v>
      </c>
      <c r="Y58" s="73">
        <f t="shared" si="11"/>
        <v>9.584372293604275E-2</v>
      </c>
      <c r="Z58" s="72">
        <v>220.02392599999999</v>
      </c>
      <c r="AA58" s="73">
        <f t="shared" si="12"/>
        <v>6.0022099828249735E-2</v>
      </c>
      <c r="AB58" s="72">
        <v>132.36000100000001</v>
      </c>
      <c r="AC58" s="73">
        <f t="shared" si="13"/>
        <v>8.013709743645267E-2</v>
      </c>
      <c r="AD58" s="72">
        <v>402.52127100000001</v>
      </c>
      <c r="AE58" s="73">
        <f t="shared" si="14"/>
        <v>0.17113701441358983</v>
      </c>
      <c r="AF58" s="72">
        <v>75.592667000000006</v>
      </c>
      <c r="AG58" s="73">
        <f t="shared" si="15"/>
        <v>1.6895610271251032E-3</v>
      </c>
      <c r="AH58" s="72">
        <v>132.28765899999999</v>
      </c>
      <c r="AI58" s="73">
        <f t="shared" si="16"/>
        <v>5.4783291260856022E-2</v>
      </c>
      <c r="AJ58" s="72">
        <v>339.82052599999997</v>
      </c>
      <c r="AK58" s="73">
        <f t="shared" si="17"/>
        <v>3.9265568044593434E-2</v>
      </c>
      <c r="AL58" s="72">
        <v>75.387848000000005</v>
      </c>
      <c r="AM58" s="73">
        <f t="shared" si="18"/>
        <v>-8.8640735162365911E-2</v>
      </c>
      <c r="AN58" s="72">
        <v>718.53997800000002</v>
      </c>
      <c r="AO58" s="78">
        <f t="shared" si="19"/>
        <v>-2.3138860251070821E-2</v>
      </c>
      <c r="AP58" s="52">
        <v>8.0999999999999996E-3</v>
      </c>
      <c r="AQ58" s="73">
        <f t="shared" si="20"/>
        <v>0.12499999999999997</v>
      </c>
      <c r="AR58" s="72">
        <v>4.41</v>
      </c>
      <c r="AS58" s="73">
        <f t="shared" si="21"/>
        <v>2.7972027972027996E-2</v>
      </c>
      <c r="AT58" s="8">
        <v>112.22335099999999</v>
      </c>
      <c r="AU58" s="78">
        <f t="shared" si="22"/>
        <v>1.1520309054306537E-3</v>
      </c>
      <c r="AV58" s="126">
        <v>2.133</v>
      </c>
      <c r="AW58" s="53">
        <f t="shared" si="23"/>
        <v>3.0434782608695737E-2</v>
      </c>
      <c r="AX58" s="7"/>
      <c r="AY58" s="7"/>
      <c r="AZ58" s="7"/>
      <c r="BA58" s="7"/>
    </row>
    <row r="59" spans="1:53" ht="14.25" customHeight="1" x14ac:dyDescent="0.2">
      <c r="A59" s="64">
        <v>45108</v>
      </c>
      <c r="B59" s="72">
        <v>44.425322999999999</v>
      </c>
      <c r="C59" s="73">
        <f t="shared" si="0"/>
        <v>2.3677293546414201E-2</v>
      </c>
      <c r="D59" s="8">
        <v>863.40277100000003</v>
      </c>
      <c r="E59" s="73">
        <f t="shared" si="1"/>
        <v>-4.2804845871550028E-3</v>
      </c>
      <c r="F59" s="72">
        <v>75.284012000000004</v>
      </c>
      <c r="G59" s="73">
        <f t="shared" si="2"/>
        <v>-1.0124631000820861E-2</v>
      </c>
      <c r="H59" s="72">
        <v>57.490001999999997</v>
      </c>
      <c r="I59" s="73">
        <f t="shared" si="3"/>
        <v>8.7052578117204852E-4</v>
      </c>
      <c r="J59" s="72">
        <v>186.15043600000001</v>
      </c>
      <c r="K59" s="73">
        <f t="shared" si="4"/>
        <v>1.9163904747166238E-2</v>
      </c>
      <c r="L59" s="72">
        <v>848.09997599999997</v>
      </c>
      <c r="M59" s="73">
        <f t="shared" si="5"/>
        <v>-1.7265381228273501E-2</v>
      </c>
      <c r="N59" s="72">
        <v>351.93078600000001</v>
      </c>
      <c r="O59" s="73">
        <f t="shared" si="6"/>
        <v>1.4465637148200991E-2</v>
      </c>
      <c r="P59" s="72">
        <v>267.42999300000002</v>
      </c>
      <c r="Q59" s="73">
        <f t="shared" si="7"/>
        <v>2.1622050799719499E-2</v>
      </c>
      <c r="R59" s="72">
        <v>182.59457399999999</v>
      </c>
      <c r="S59" s="73">
        <f t="shared" si="8"/>
        <v>-1.615391271401902E-2</v>
      </c>
      <c r="T59" s="52">
        <v>467.25152600000001</v>
      </c>
      <c r="U59" s="53">
        <f t="shared" si="9"/>
        <v>0.1047666473757347</v>
      </c>
      <c r="V59" s="72">
        <v>44.261341000000002</v>
      </c>
      <c r="W59" s="73">
        <f t="shared" si="10"/>
        <v>-4.0277150032220366E-3</v>
      </c>
      <c r="X59" s="72">
        <v>196.18507399999999</v>
      </c>
      <c r="Y59" s="73">
        <f t="shared" si="11"/>
        <v>1.2785474167823972E-2</v>
      </c>
      <c r="Z59" s="72">
        <v>222.899857</v>
      </c>
      <c r="AA59" s="73">
        <f t="shared" si="12"/>
        <v>1.3070992106558486E-2</v>
      </c>
      <c r="AB59" s="72">
        <v>133.979996</v>
      </c>
      <c r="AC59" s="73">
        <f t="shared" si="13"/>
        <v>1.2239309366581137E-2</v>
      </c>
      <c r="AD59" s="72">
        <v>428.09112499999998</v>
      </c>
      <c r="AE59" s="73">
        <f t="shared" si="14"/>
        <v>6.3524230499609952E-2</v>
      </c>
      <c r="AF59" s="72">
        <v>75.401352000000003</v>
      </c>
      <c r="AG59" s="73">
        <f t="shared" si="15"/>
        <v>-2.5308671805428294E-3</v>
      </c>
      <c r="AH59" s="72">
        <v>142.53967299999999</v>
      </c>
      <c r="AI59" s="73">
        <f t="shared" si="16"/>
        <v>7.7497886632040283E-2</v>
      </c>
      <c r="AJ59" s="72">
        <v>335.21029700000003</v>
      </c>
      <c r="AK59" s="73">
        <f t="shared" si="17"/>
        <v>-1.3566658418979517E-2</v>
      </c>
      <c r="AL59" s="72">
        <v>73.461371999999997</v>
      </c>
      <c r="AM59" s="73">
        <f t="shared" si="18"/>
        <v>-2.5554198071816667E-2</v>
      </c>
      <c r="AN59" s="72">
        <v>741.90997300000004</v>
      </c>
      <c r="AO59" s="78">
        <f t="shared" si="19"/>
        <v>3.2524279393679079E-2</v>
      </c>
      <c r="AP59" s="52">
        <v>7.7000000000000002E-3</v>
      </c>
      <c r="AQ59" s="73">
        <f t="shared" si="20"/>
        <v>-4.9382716049382637E-2</v>
      </c>
      <c r="AR59" s="72">
        <v>4.63</v>
      </c>
      <c r="AS59" s="73">
        <f t="shared" si="21"/>
        <v>4.9886621315192684E-2</v>
      </c>
      <c r="AT59" s="8">
        <v>109.762123</v>
      </c>
      <c r="AU59" s="78">
        <f t="shared" si="22"/>
        <v>-2.1931514057176849E-2</v>
      </c>
      <c r="AV59" s="126">
        <v>2.504</v>
      </c>
      <c r="AW59" s="53">
        <f t="shared" si="23"/>
        <v>0.17393342709798407</v>
      </c>
      <c r="AX59" s="7"/>
      <c r="AY59" s="7"/>
      <c r="AZ59" s="7"/>
      <c r="BA59" s="7"/>
    </row>
    <row r="60" spans="1:53" ht="14.25" customHeight="1" x14ac:dyDescent="0.2">
      <c r="A60" s="64">
        <v>45139</v>
      </c>
      <c r="B60" s="72">
        <v>43.251606000000002</v>
      </c>
      <c r="C60" s="73">
        <f t="shared" si="0"/>
        <v>-2.6419999242323942E-2</v>
      </c>
      <c r="D60" s="8">
        <v>939.19207800000004</v>
      </c>
      <c r="E60" s="73">
        <f t="shared" si="1"/>
        <v>8.7779781980801636E-2</v>
      </c>
      <c r="F60" s="72">
        <v>72.988158999999996</v>
      </c>
      <c r="G60" s="73">
        <f t="shared" si="2"/>
        <v>-3.0495890681277827E-2</v>
      </c>
      <c r="H60" s="72">
        <v>57.41</v>
      </c>
      <c r="I60" s="73">
        <f t="shared" si="3"/>
        <v>-1.3915810961356437E-3</v>
      </c>
      <c r="J60" s="72">
        <v>176.67707799999999</v>
      </c>
      <c r="K60" s="73">
        <f t="shared" si="4"/>
        <v>-5.0890871939725232E-2</v>
      </c>
      <c r="L60" s="72">
        <v>782.20001200000002</v>
      </c>
      <c r="M60" s="73">
        <f t="shared" si="5"/>
        <v>-7.770306080046388E-2</v>
      </c>
      <c r="N60" s="72">
        <v>336.01782200000002</v>
      </c>
      <c r="O60" s="73">
        <f t="shared" si="6"/>
        <v>-4.5216174978224236E-2</v>
      </c>
      <c r="P60" s="72">
        <v>258.07998700000002</v>
      </c>
      <c r="Q60" s="73">
        <f t="shared" si="7"/>
        <v>-3.4962443423464495E-2</v>
      </c>
      <c r="R60" s="72">
        <v>183.262573</v>
      </c>
      <c r="S60" s="73">
        <f t="shared" si="8"/>
        <v>3.6583726743162088E-3</v>
      </c>
      <c r="T60" s="52">
        <v>493.50933800000001</v>
      </c>
      <c r="U60" s="53">
        <f t="shared" si="9"/>
        <v>5.6196310849501649E-2</v>
      </c>
      <c r="V60" s="72">
        <v>44.529831000000001</v>
      </c>
      <c r="W60" s="73">
        <f t="shared" si="10"/>
        <v>6.0660159392820897E-3</v>
      </c>
      <c r="X60" s="72">
        <v>187.61663799999999</v>
      </c>
      <c r="Y60" s="73">
        <f t="shared" si="11"/>
        <v>-4.3675269607921306E-2</v>
      </c>
      <c r="Z60" s="72">
        <v>217.43656899999999</v>
      </c>
      <c r="AA60" s="73">
        <f t="shared" si="12"/>
        <v>-2.4510056101112732E-2</v>
      </c>
      <c r="AB60" s="72">
        <v>135.38000500000001</v>
      </c>
      <c r="AC60" s="73">
        <f t="shared" si="13"/>
        <v>1.044938828032217E-2</v>
      </c>
      <c r="AD60" s="72">
        <v>409.49664300000001</v>
      </c>
      <c r="AE60" s="73">
        <f t="shared" si="14"/>
        <v>-4.3435803533651791E-2</v>
      </c>
      <c r="AF60" s="72">
        <v>75.738051999999996</v>
      </c>
      <c r="AG60" s="73">
        <f t="shared" si="15"/>
        <v>4.4654371714713198E-3</v>
      </c>
      <c r="AH60" s="72">
        <v>145.15953099999999</v>
      </c>
      <c r="AI60" s="73">
        <f t="shared" si="16"/>
        <v>1.8379851341457712E-2</v>
      </c>
      <c r="AJ60" s="72">
        <v>327.06753500000002</v>
      </c>
      <c r="AK60" s="73">
        <f t="shared" si="17"/>
        <v>-2.429150319329243E-2</v>
      </c>
      <c r="AL60" s="72">
        <v>67.019858999999997</v>
      </c>
      <c r="AM60" s="73">
        <f t="shared" si="18"/>
        <v>-8.7685715970564779E-2</v>
      </c>
      <c r="AN60" s="72">
        <v>826.48999000000003</v>
      </c>
      <c r="AO60" s="78">
        <f t="shared" si="19"/>
        <v>0.11400307325428014</v>
      </c>
      <c r="AP60" s="52">
        <v>8.2000000000000007E-3</v>
      </c>
      <c r="AQ60" s="73">
        <f t="shared" si="20"/>
        <v>6.4935064935064984E-2</v>
      </c>
      <c r="AR60" s="72">
        <v>4.4000000000000004</v>
      </c>
      <c r="AS60" s="73">
        <f t="shared" si="21"/>
        <v>-4.967602591792647E-2</v>
      </c>
      <c r="AT60" s="8">
        <v>111.862595</v>
      </c>
      <c r="AU60" s="78">
        <f t="shared" si="22"/>
        <v>1.9136583209127582E-2</v>
      </c>
      <c r="AV60" s="126">
        <v>2.407</v>
      </c>
      <c r="AW60" s="53">
        <f t="shared" si="23"/>
        <v>-3.8738019169329063E-2</v>
      </c>
      <c r="AX60" s="7"/>
      <c r="AY60" s="7"/>
      <c r="AZ60" s="7"/>
      <c r="BA60" s="7"/>
    </row>
    <row r="61" spans="1:53" ht="14.25" customHeight="1" x14ac:dyDescent="0.2">
      <c r="A61" s="64">
        <v>45170</v>
      </c>
      <c r="B61" s="72">
        <v>41.129128000000001</v>
      </c>
      <c r="C61" s="73">
        <f t="shared" si="0"/>
        <v>-4.9072813619915084E-2</v>
      </c>
      <c r="D61" s="8">
        <v>835.01660200000003</v>
      </c>
      <c r="E61" s="73">
        <f t="shared" si="1"/>
        <v>-0.11092030953012361</v>
      </c>
      <c r="F61" s="72">
        <v>70.643638999999993</v>
      </c>
      <c r="G61" s="73">
        <f t="shared" si="2"/>
        <v>-3.2121922680636496E-2</v>
      </c>
      <c r="H61" s="72">
        <v>52.950001</v>
      </c>
      <c r="I61" s="73">
        <f t="shared" si="3"/>
        <v>-7.7686796725309121E-2</v>
      </c>
      <c r="J61" s="72">
        <v>169.44000199999999</v>
      </c>
      <c r="K61" s="73">
        <f t="shared" si="4"/>
        <v>-4.0962167146549718E-2</v>
      </c>
      <c r="L61" s="72">
        <v>716.40002400000003</v>
      </c>
      <c r="M61" s="73">
        <f t="shared" si="5"/>
        <v>-8.4121691371183444E-2</v>
      </c>
      <c r="N61" s="72">
        <v>316.17001299999998</v>
      </c>
      <c r="O61" s="73">
        <f t="shared" si="6"/>
        <v>-5.906772706835782E-2</v>
      </c>
      <c r="P61" s="72">
        <v>250.220001</v>
      </c>
      <c r="Q61" s="73">
        <f t="shared" si="7"/>
        <v>-3.0455619947005113E-2</v>
      </c>
      <c r="R61" s="72">
        <v>168.89549299999999</v>
      </c>
      <c r="S61" s="73">
        <f t="shared" si="8"/>
        <v>-7.8396149114418556E-2</v>
      </c>
      <c r="T61" s="52">
        <v>434.95416299999999</v>
      </c>
      <c r="U61" s="53">
        <f t="shared" si="9"/>
        <v>-0.11865059177461809</v>
      </c>
      <c r="V61" s="72">
        <v>44.09</v>
      </c>
      <c r="W61" s="73">
        <f t="shared" si="10"/>
        <v>-9.8772214069260244E-3</v>
      </c>
      <c r="X61" s="72">
        <v>171.21000699999999</v>
      </c>
      <c r="Y61" s="73">
        <f t="shared" si="11"/>
        <v>-8.7447633508921555E-2</v>
      </c>
      <c r="Z61" s="72">
        <v>203.050003</v>
      </c>
      <c r="AA61" s="73">
        <f t="shared" si="12"/>
        <v>-6.6164427015034388E-2</v>
      </c>
      <c r="AB61" s="72">
        <v>126.980003</v>
      </c>
      <c r="AC61" s="73">
        <f t="shared" si="13"/>
        <v>-6.2047582285138889E-2</v>
      </c>
      <c r="AD61" s="72">
        <v>376.05453499999999</v>
      </c>
      <c r="AE61" s="73">
        <f t="shared" si="14"/>
        <v>-8.1666378886529764E-2</v>
      </c>
      <c r="AF61" s="72">
        <v>74.212997000000001</v>
      </c>
      <c r="AG61" s="73">
        <f t="shared" si="15"/>
        <v>-2.0135915299220989E-2</v>
      </c>
      <c r="AH61" s="72">
        <v>140.300003</v>
      </c>
      <c r="AI61" s="73">
        <f t="shared" si="16"/>
        <v>-3.3477154180113627E-2</v>
      </c>
      <c r="AJ61" s="72">
        <v>315.75</v>
      </c>
      <c r="AK61" s="73">
        <f t="shared" si="17"/>
        <v>-3.4603052241183214E-2</v>
      </c>
      <c r="AL61" s="72">
        <v>63.384582999999999</v>
      </c>
      <c r="AM61" s="73">
        <f t="shared" si="18"/>
        <v>-5.4241773322740022E-2</v>
      </c>
      <c r="AN61" s="72">
        <v>822.96002199999998</v>
      </c>
      <c r="AO61" s="78">
        <f t="shared" si="19"/>
        <v>-4.2710353939072552E-3</v>
      </c>
      <c r="AP61" s="52">
        <v>7.7000000000000002E-3</v>
      </c>
      <c r="AQ61" s="73">
        <f t="shared" si="20"/>
        <v>-6.0975609756097608E-2</v>
      </c>
      <c r="AR61" s="72">
        <v>4.38</v>
      </c>
      <c r="AS61" s="73">
        <f t="shared" si="21"/>
        <v>-4.5454545454546502E-3</v>
      </c>
      <c r="AT61" s="8">
        <v>108.69695299999999</v>
      </c>
      <c r="AU61" s="78">
        <f t="shared" si="22"/>
        <v>-2.8299379251840218E-2</v>
      </c>
      <c r="AV61" s="126">
        <v>2.7170000000000001</v>
      </c>
      <c r="AW61" s="53">
        <f t="shared" si="23"/>
        <v>0.12879102617366017</v>
      </c>
      <c r="AX61" s="7"/>
      <c r="AY61" s="7"/>
      <c r="AZ61" s="7"/>
      <c r="BA61" s="7"/>
    </row>
    <row r="62" spans="1:53" ht="14.25" customHeight="1" x14ac:dyDescent="0.2">
      <c r="A62" s="64">
        <v>45200</v>
      </c>
      <c r="B62" s="72">
        <v>40.169998</v>
      </c>
      <c r="C62" s="73">
        <f t="shared" si="0"/>
        <v>-2.3319969244181442E-2</v>
      </c>
      <c r="D62" s="8">
        <v>943.46002199999998</v>
      </c>
      <c r="E62" s="73">
        <f t="shared" si="1"/>
        <v>0.12986977712809589</v>
      </c>
      <c r="F62" s="72">
        <v>74.627341999999999</v>
      </c>
      <c r="G62" s="73">
        <f t="shared" si="2"/>
        <v>5.6391531585738466E-2</v>
      </c>
      <c r="H62" s="72">
        <v>51.099997999999999</v>
      </c>
      <c r="I62" s="73">
        <f t="shared" si="3"/>
        <v>-3.4938677338268623E-2</v>
      </c>
      <c r="J62" s="72">
        <v>163.279999</v>
      </c>
      <c r="K62" s="73">
        <f t="shared" si="4"/>
        <v>-3.6355069212050582E-2</v>
      </c>
      <c r="L62" s="72">
        <v>674.5</v>
      </c>
      <c r="M62" s="73">
        <f t="shared" si="5"/>
        <v>-5.8486910380114714E-2</v>
      </c>
      <c r="N62" s="72">
        <v>308</v>
      </c>
      <c r="O62" s="73">
        <f t="shared" si="6"/>
        <v>-2.5840568884057905E-2</v>
      </c>
      <c r="P62" s="72">
        <v>200.83999600000001</v>
      </c>
      <c r="Q62" s="73">
        <f t="shared" si="7"/>
        <v>-0.19734635441872603</v>
      </c>
      <c r="R62" s="72">
        <v>167.740005</v>
      </c>
      <c r="S62" s="73">
        <f t="shared" si="8"/>
        <v>-6.8414377404374628E-3</v>
      </c>
      <c r="T62" s="52">
        <v>407.79998799999998</v>
      </c>
      <c r="U62" s="53">
        <f t="shared" si="9"/>
        <v>-6.2429969201145477E-2</v>
      </c>
      <c r="V62" s="72">
        <v>39.229999999999997</v>
      </c>
      <c r="W62" s="73">
        <f t="shared" si="10"/>
        <v>-0.1102290768881834</v>
      </c>
      <c r="X62" s="72">
        <v>170.770004</v>
      </c>
      <c r="Y62" s="73">
        <f t="shared" si="11"/>
        <v>-2.5699607616977097E-3</v>
      </c>
      <c r="Z62" s="72">
        <v>192.55999800000001</v>
      </c>
      <c r="AA62" s="73">
        <f t="shared" si="12"/>
        <v>-5.1662176040450473E-2</v>
      </c>
      <c r="AB62" s="72">
        <v>126.279999</v>
      </c>
      <c r="AC62" s="73">
        <f t="shared" si="13"/>
        <v>-5.5127105328544746E-3</v>
      </c>
      <c r="AD62" s="72">
        <v>365.35998499999999</v>
      </c>
      <c r="AE62" s="73">
        <f t="shared" si="14"/>
        <v>-2.843882736316421E-2</v>
      </c>
      <c r="AF62" s="72">
        <v>78.540001000000004</v>
      </c>
      <c r="AG62" s="73">
        <f t="shared" si="15"/>
        <v>5.8305204949478086E-2</v>
      </c>
      <c r="AH62" s="72">
        <v>144.63999899999999</v>
      </c>
      <c r="AI62" s="73">
        <f t="shared" si="16"/>
        <v>3.0933684299350905E-2</v>
      </c>
      <c r="AJ62" s="72">
        <v>338.10998499999999</v>
      </c>
      <c r="AK62" s="73">
        <f t="shared" si="17"/>
        <v>7.0815471100554223E-2</v>
      </c>
      <c r="AL62" s="72">
        <v>64.622748999999999</v>
      </c>
      <c r="AM62" s="73">
        <f t="shared" si="18"/>
        <v>1.9534182310547026E-2</v>
      </c>
      <c r="AN62" s="72">
        <v>779.89001499999995</v>
      </c>
      <c r="AO62" s="78">
        <f t="shared" si="19"/>
        <v>-5.233547906170348E-2</v>
      </c>
      <c r="AP62" s="52">
        <v>8.6999999999999994E-3</v>
      </c>
      <c r="AQ62" s="73">
        <f t="shared" si="20"/>
        <v>0.12987012987012975</v>
      </c>
      <c r="AR62" s="72">
        <v>4.2</v>
      </c>
      <c r="AS62" s="73">
        <f t="shared" si="21"/>
        <v>-4.1095890410958839E-2</v>
      </c>
      <c r="AT62" s="8">
        <v>113.05999799999999</v>
      </c>
      <c r="AU62" s="78">
        <f t="shared" si="22"/>
        <v>4.0139533626117378E-2</v>
      </c>
      <c r="AV62" s="126">
        <v>2.633</v>
      </c>
      <c r="AW62" s="53">
        <f t="shared" si="23"/>
        <v>-3.0916451969083575E-2</v>
      </c>
      <c r="AX62" s="7"/>
      <c r="AY62" s="7"/>
      <c r="AZ62" s="7"/>
      <c r="BA62" s="7"/>
    </row>
    <row r="63" spans="1:53" ht="14.25" customHeight="1" thickBot="1" x14ac:dyDescent="0.25">
      <c r="A63" s="65">
        <v>45231</v>
      </c>
      <c r="B63" s="75">
        <v>40.669998</v>
      </c>
      <c r="C63" s="76">
        <f t="shared" si="0"/>
        <v>1.2447100445461809E-2</v>
      </c>
      <c r="D63" s="77">
        <v>971.48999000000003</v>
      </c>
      <c r="E63" s="76">
        <f t="shared" si="1"/>
        <v>2.970975700759481E-2</v>
      </c>
      <c r="F63" s="75">
        <v>74.800003000000004</v>
      </c>
      <c r="G63" s="76">
        <f t="shared" si="2"/>
        <v>2.3136426324818732E-3</v>
      </c>
      <c r="H63" s="75">
        <v>52.66</v>
      </c>
      <c r="I63" s="76">
        <f t="shared" si="3"/>
        <v>3.0528416067648324E-2</v>
      </c>
      <c r="J63" s="75">
        <v>166.83000200000001</v>
      </c>
      <c r="K63" s="76">
        <f t="shared" si="4"/>
        <v>2.1741811745111559E-2</v>
      </c>
      <c r="L63" s="75">
        <v>701.09997599999997</v>
      </c>
      <c r="M63" s="76">
        <f t="shared" si="5"/>
        <v>3.9436584136397286E-2</v>
      </c>
      <c r="N63" s="75">
        <v>326.82998700000002</v>
      </c>
      <c r="O63" s="76">
        <f t="shared" si="6"/>
        <v>6.1136321428571484E-2</v>
      </c>
      <c r="P63" s="75">
        <v>218.509995</v>
      </c>
      <c r="Q63" s="76">
        <f t="shared" si="7"/>
        <v>8.7980478748864291E-2</v>
      </c>
      <c r="R63" s="75">
        <v>171.11999499999999</v>
      </c>
      <c r="S63" s="76">
        <f t="shared" si="8"/>
        <v>2.0150172285973118E-2</v>
      </c>
      <c r="T63" s="54">
        <v>435.05999800000001</v>
      </c>
      <c r="U63" s="55">
        <f t="shared" si="9"/>
        <v>6.684651986797023E-2</v>
      </c>
      <c r="V63" s="75">
        <v>38.990001999999997</v>
      </c>
      <c r="W63" s="76">
        <f t="shared" si="10"/>
        <v>-6.117716033647717E-3</v>
      </c>
      <c r="X63" s="75">
        <v>177.570007</v>
      </c>
      <c r="Y63" s="76">
        <f t="shared" si="11"/>
        <v>3.9819657086850008E-2</v>
      </c>
      <c r="Z63" s="75">
        <v>195.16000399999999</v>
      </c>
      <c r="AA63" s="76">
        <f t="shared" si="12"/>
        <v>1.3502316301436496E-2</v>
      </c>
      <c r="AB63" s="75">
        <v>129.05999800000001</v>
      </c>
      <c r="AC63" s="76">
        <f t="shared" si="13"/>
        <v>2.2014563050479621E-2</v>
      </c>
      <c r="AD63" s="75">
        <v>373.55999800000001</v>
      </c>
      <c r="AE63" s="76">
        <f t="shared" si="14"/>
        <v>2.2443653756992608E-2</v>
      </c>
      <c r="AF63" s="75">
        <v>81.230002999999996</v>
      </c>
      <c r="AG63" s="76">
        <f t="shared" si="15"/>
        <v>3.4250088690474967E-2</v>
      </c>
      <c r="AH63" s="75">
        <v>147.009995</v>
      </c>
      <c r="AI63" s="76">
        <f t="shared" si="16"/>
        <v>1.6385481307974945E-2</v>
      </c>
      <c r="AJ63" s="75">
        <v>348.32000699999998</v>
      </c>
      <c r="AK63" s="76">
        <f t="shared" si="17"/>
        <v>3.0197339484073448E-2</v>
      </c>
      <c r="AL63" s="75">
        <v>66.239998</v>
      </c>
      <c r="AM63" s="76">
        <f t="shared" si="18"/>
        <v>2.5026001292516992E-2</v>
      </c>
      <c r="AN63" s="75">
        <v>818.78997800000002</v>
      </c>
      <c r="AO63" s="79">
        <f t="shared" si="19"/>
        <v>4.9878780663706886E-2</v>
      </c>
      <c r="AP63" s="54">
        <v>8.6E-3</v>
      </c>
      <c r="AQ63" s="76">
        <f t="shared" si="20"/>
        <v>-1.1494252873563149E-2</v>
      </c>
      <c r="AR63" s="75">
        <v>4.3600000000000003</v>
      </c>
      <c r="AS63" s="76">
        <f t="shared" si="21"/>
        <v>3.8095238095238126E-2</v>
      </c>
      <c r="AT63" s="77">
        <v>119.470001</v>
      </c>
      <c r="AU63" s="79">
        <f t="shared" si="22"/>
        <v>5.6695587417222526E-2</v>
      </c>
      <c r="AV63" s="127">
        <v>2.6859999999999999</v>
      </c>
      <c r="AW63" s="55">
        <f t="shared" si="23"/>
        <v>2.0129130269654363E-2</v>
      </c>
      <c r="AX63" s="7"/>
      <c r="AY63" s="7"/>
      <c r="AZ63" s="7"/>
      <c r="BA63" s="7"/>
    </row>
    <row r="64" spans="1:53" ht="14.25" customHeight="1" x14ac:dyDescent="0.2">
      <c r="A64" s="9"/>
      <c r="B64" s="9"/>
      <c r="C64" s="9"/>
      <c r="E64" s="10"/>
      <c r="G64" s="10"/>
      <c r="I64" s="10"/>
      <c r="K64" s="10"/>
      <c r="M64" s="10"/>
      <c r="O64" s="10"/>
      <c r="Q64" s="10"/>
      <c r="S64" s="10"/>
      <c r="U64" s="10"/>
      <c r="W64" s="10"/>
      <c r="Y64" s="10"/>
      <c r="AA64" s="10"/>
      <c r="AC64" s="10"/>
      <c r="AE64" s="10"/>
      <c r="AG64" s="10"/>
      <c r="AI64" s="10"/>
      <c r="AK64" s="10"/>
      <c r="AM64" s="10"/>
      <c r="AO64" s="10"/>
      <c r="AQ64" s="10"/>
      <c r="AS64" s="10"/>
      <c r="AU64" s="10"/>
      <c r="AW64" s="10">
        <f>AVERAGE(r_bons)</f>
        <v>2.9752631476069294E-3</v>
      </c>
    </row>
    <row r="65" spans="1:49" ht="14.25" customHeight="1" x14ac:dyDescent="0.2">
      <c r="A65" s="9"/>
      <c r="B65" s="9"/>
      <c r="C65" s="9"/>
      <c r="E65" s="10"/>
      <c r="G65" s="10"/>
      <c r="I65" s="10"/>
      <c r="K65" s="10"/>
      <c r="M65" s="10"/>
      <c r="O65" s="10"/>
      <c r="Q65" s="10"/>
      <c r="S65" s="10"/>
      <c r="U65" s="10"/>
      <c r="W65" s="10"/>
      <c r="Y65" s="10"/>
      <c r="AA65" s="10"/>
      <c r="AC65" s="10"/>
      <c r="AE65" s="10"/>
      <c r="AG65" s="10"/>
      <c r="AI65" s="10"/>
      <c r="AK65" s="10"/>
      <c r="AM65" s="10"/>
      <c r="AO65" s="10"/>
      <c r="AQ65" s="10"/>
      <c r="AS65" s="10"/>
      <c r="AU65" s="10"/>
      <c r="AW65" s="10"/>
    </row>
    <row r="66" spans="1:49" ht="14.25" customHeight="1" x14ac:dyDescent="0.2">
      <c r="A66" s="9"/>
      <c r="B66" s="9"/>
      <c r="AA66" s="10"/>
      <c r="AC66" s="10"/>
      <c r="AE66" s="10"/>
      <c r="AG66" s="10"/>
      <c r="AI66" s="10"/>
      <c r="AK66" s="10"/>
      <c r="AM66" s="10"/>
      <c r="AO66" s="10"/>
      <c r="AQ66" s="10"/>
      <c r="AS66" s="10"/>
      <c r="AU66" s="10"/>
      <c r="AW66" s="10"/>
    </row>
    <row r="67" spans="1:49" ht="14.25" customHeight="1" x14ac:dyDescent="0.2">
      <c r="A67" s="9"/>
      <c r="B67" s="9"/>
      <c r="C67" s="9"/>
      <c r="E67" s="10"/>
      <c r="G67" s="10"/>
      <c r="I67" s="10"/>
      <c r="K67" s="10"/>
      <c r="M67" s="10"/>
      <c r="O67" s="10"/>
      <c r="Q67" s="10"/>
      <c r="S67" s="10"/>
      <c r="U67" s="10"/>
      <c r="W67" s="10"/>
      <c r="X67" s="178"/>
      <c r="Y67" s="178"/>
      <c r="AA67" s="10"/>
      <c r="AC67" s="10"/>
      <c r="AE67" s="10"/>
      <c r="AG67" s="10"/>
      <c r="AI67" s="10"/>
      <c r="AK67" s="10"/>
      <c r="AM67" s="10"/>
      <c r="AO67" s="10"/>
      <c r="AQ67" s="10"/>
      <c r="AS67" s="10"/>
      <c r="AU67" s="10"/>
      <c r="AW67" s="10"/>
    </row>
    <row r="68" spans="1:49" ht="14.25" customHeight="1" x14ac:dyDescent="0.2">
      <c r="A68" s="9"/>
      <c r="B68" s="9"/>
      <c r="C68" s="9"/>
      <c r="E68" s="10"/>
      <c r="G68" s="10"/>
      <c r="I68" s="10"/>
      <c r="K68" s="10"/>
      <c r="M68" s="10"/>
      <c r="O68" s="10"/>
      <c r="Q68" s="10"/>
      <c r="S68" s="10"/>
      <c r="U68" s="10"/>
      <c r="W68" s="10"/>
      <c r="Y68" s="10"/>
      <c r="AA68" s="10"/>
      <c r="AC68" s="10"/>
      <c r="AE68" s="10"/>
      <c r="AG68" s="10"/>
      <c r="AI68" s="10"/>
      <c r="AK68" s="10"/>
      <c r="AM68" s="10"/>
      <c r="AO68" s="10"/>
      <c r="AQ68" s="10"/>
      <c r="AS68" s="10"/>
      <c r="AU68" s="10"/>
      <c r="AW68" s="10"/>
    </row>
    <row r="69" spans="1:49" ht="14.25" customHeight="1" x14ac:dyDescent="0.2">
      <c r="A69" s="9"/>
      <c r="B69" s="9"/>
      <c r="C69" s="9"/>
      <c r="E69" s="10"/>
      <c r="G69" s="10"/>
      <c r="I69" s="10"/>
      <c r="K69" s="10"/>
      <c r="M69" s="10"/>
      <c r="O69" s="10"/>
      <c r="Q69" s="10"/>
      <c r="S69" s="10"/>
      <c r="U69" s="10"/>
      <c r="W69" s="10"/>
      <c r="Y69" s="10"/>
      <c r="AA69" s="10"/>
      <c r="AC69" s="10"/>
      <c r="AE69" s="10"/>
      <c r="AG69" s="10"/>
      <c r="AI69" s="10"/>
      <c r="AK69" s="10"/>
      <c r="AM69" s="10"/>
      <c r="AO69" s="10"/>
      <c r="AQ69" s="10"/>
      <c r="AS69" s="10"/>
      <c r="AU69" s="10"/>
      <c r="AW69" s="10"/>
    </row>
    <row r="70" spans="1:49" ht="14.25" customHeight="1" x14ac:dyDescent="0.2">
      <c r="A70" s="9"/>
      <c r="B70" s="9"/>
      <c r="C70" s="9"/>
      <c r="E70" s="10"/>
      <c r="G70" s="10"/>
      <c r="I70" s="10"/>
      <c r="K70" s="10"/>
      <c r="M70" s="10"/>
      <c r="O70" s="10"/>
      <c r="Q70" s="10"/>
      <c r="S70" s="10"/>
      <c r="U70" s="10"/>
      <c r="W70" s="10"/>
      <c r="Y70" s="10"/>
      <c r="AA70" s="10"/>
      <c r="AC70" s="10"/>
      <c r="AE70" s="10"/>
      <c r="AG70" s="10"/>
      <c r="AI70" s="10"/>
      <c r="AK70" s="10"/>
      <c r="AM70" s="10"/>
      <c r="AO70" s="10"/>
      <c r="AQ70" s="10"/>
      <c r="AS70" s="10"/>
      <c r="AU70" s="10"/>
      <c r="AW70" s="10"/>
    </row>
    <row r="71" spans="1:49" ht="14.25" customHeight="1" x14ac:dyDescent="0.2">
      <c r="A71" s="9"/>
      <c r="B71" s="9"/>
      <c r="C71" s="9"/>
      <c r="E71" s="10"/>
      <c r="G71" s="10"/>
      <c r="I71" s="10"/>
      <c r="K71" s="10"/>
      <c r="M71" s="10"/>
      <c r="O71" s="10"/>
      <c r="Q71" s="10"/>
      <c r="S71" s="10"/>
      <c r="U71" s="10"/>
      <c r="W71" s="10"/>
      <c r="Y71" s="10"/>
      <c r="AA71" s="10"/>
      <c r="AC71" s="10"/>
      <c r="AE71" s="10"/>
      <c r="AG71" s="10"/>
      <c r="AI71" s="10"/>
      <c r="AK71" s="10"/>
      <c r="AM71" s="10"/>
      <c r="AO71" s="10"/>
      <c r="AQ71" s="10"/>
      <c r="AS71" s="10"/>
      <c r="AU71" s="10"/>
      <c r="AW71" s="10"/>
    </row>
    <row r="72" spans="1:49" ht="14.25" customHeight="1" x14ac:dyDescent="0.2">
      <c r="A72" s="9"/>
      <c r="B72" s="9"/>
      <c r="C72" s="9"/>
      <c r="E72" s="10"/>
      <c r="G72" s="10"/>
      <c r="I72" s="10"/>
      <c r="K72" s="10"/>
      <c r="M72" s="10"/>
      <c r="O72" s="10"/>
      <c r="Q72" s="10"/>
      <c r="S72" s="10"/>
      <c r="U72" s="10"/>
      <c r="W72" s="10"/>
      <c r="Y72" s="10"/>
      <c r="AA72" s="10"/>
      <c r="AC72" s="10"/>
      <c r="AE72" s="10"/>
      <c r="AG72" s="10"/>
      <c r="AI72" s="10"/>
      <c r="AK72" s="10"/>
      <c r="AM72" s="10"/>
      <c r="AO72" s="10"/>
      <c r="AQ72" s="10"/>
      <c r="AS72" s="10"/>
      <c r="AU72" s="10"/>
      <c r="AW72" s="10"/>
    </row>
    <row r="73" spans="1:49" ht="14.25" customHeight="1" x14ac:dyDescent="0.2">
      <c r="A73" s="9"/>
      <c r="B73" s="9"/>
      <c r="C73" s="9"/>
      <c r="E73" s="10"/>
      <c r="G73" s="10"/>
      <c r="I73" s="10"/>
      <c r="K73" s="10"/>
      <c r="M73" s="10"/>
      <c r="O73" s="10"/>
      <c r="Q73" s="10"/>
      <c r="S73" s="10"/>
      <c r="U73" s="10"/>
      <c r="W73" s="10"/>
      <c r="Y73" s="10"/>
      <c r="AA73" s="10"/>
      <c r="AC73" s="10"/>
      <c r="AE73" s="10"/>
      <c r="AG73" s="10"/>
      <c r="AI73" s="10"/>
      <c r="AK73" s="10"/>
      <c r="AM73" s="10"/>
      <c r="AO73" s="10"/>
      <c r="AQ73" s="10"/>
      <c r="AS73" s="10"/>
      <c r="AU73" s="10"/>
      <c r="AW73" s="10"/>
    </row>
    <row r="74" spans="1:49" ht="14.25" customHeight="1" x14ac:dyDescent="0.2">
      <c r="A74" s="9"/>
      <c r="B74" s="9"/>
      <c r="C74" s="9"/>
      <c r="E74" s="10"/>
      <c r="G74" s="10"/>
      <c r="I74" s="10"/>
      <c r="K74" s="10"/>
      <c r="M74" s="10"/>
      <c r="O74" s="10"/>
      <c r="Q74" s="10"/>
      <c r="S74" s="10"/>
      <c r="U74" s="10"/>
      <c r="W74" s="10"/>
      <c r="Y74" s="10"/>
      <c r="Z74" s="178"/>
      <c r="AA74" s="10"/>
      <c r="AC74" s="10"/>
      <c r="AE74" s="10"/>
      <c r="AG74" s="10"/>
      <c r="AI74" s="10"/>
      <c r="AK74" s="10"/>
      <c r="AM74" s="10"/>
      <c r="AO74" s="10"/>
      <c r="AQ74" s="10"/>
      <c r="AS74" s="10"/>
      <c r="AU74" s="10"/>
      <c r="AW74" s="10"/>
    </row>
    <row r="75" spans="1:49" ht="14.25" customHeight="1" x14ac:dyDescent="0.2">
      <c r="A75" s="9"/>
      <c r="B75" s="9"/>
      <c r="C75" s="9"/>
      <c r="E75" s="10"/>
      <c r="G75" s="10"/>
      <c r="I75" s="10"/>
      <c r="K75" s="10"/>
      <c r="M75" s="10"/>
      <c r="O75" s="10"/>
      <c r="Q75" s="10"/>
      <c r="S75" s="10"/>
      <c r="U75" s="10"/>
      <c r="W75" s="10"/>
      <c r="Y75" s="10"/>
      <c r="AA75" s="10"/>
      <c r="AC75" s="10"/>
      <c r="AE75" s="10"/>
      <c r="AG75" s="10"/>
      <c r="AI75" s="10"/>
      <c r="AK75" s="10"/>
      <c r="AM75" s="10"/>
      <c r="AO75" s="10"/>
      <c r="AQ75" s="10"/>
      <c r="AS75" s="10"/>
      <c r="AU75" s="10"/>
      <c r="AW75" s="10"/>
    </row>
    <row r="76" spans="1:49" ht="14.25" customHeight="1" x14ac:dyDescent="0.2">
      <c r="A76" s="9"/>
      <c r="B76" s="9"/>
      <c r="C76" s="9"/>
      <c r="E76" s="10"/>
      <c r="G76" s="10"/>
      <c r="I76" s="10"/>
      <c r="K76" s="10"/>
      <c r="M76" s="10"/>
      <c r="O76" s="10"/>
      <c r="Q76" s="10"/>
      <c r="S76" s="10"/>
      <c r="U76" s="10"/>
      <c r="W76" s="10"/>
      <c r="Y76" s="10"/>
      <c r="AA76" s="10"/>
      <c r="AC76" s="10"/>
      <c r="AE76" s="10"/>
      <c r="AG76" s="10"/>
      <c r="AI76" s="10"/>
      <c r="AK76" s="10"/>
      <c r="AM76" s="10"/>
      <c r="AO76" s="10"/>
      <c r="AQ76" s="10"/>
      <c r="AS76" s="10"/>
      <c r="AU76" s="10"/>
      <c r="AW76" s="10"/>
    </row>
    <row r="77" spans="1:49" ht="14.25" customHeight="1" x14ac:dyDescent="0.2">
      <c r="A77" s="9"/>
      <c r="B77" s="9"/>
      <c r="C77" s="9"/>
      <c r="E77" s="10"/>
      <c r="G77" s="10"/>
      <c r="I77" s="10"/>
      <c r="K77" s="10"/>
      <c r="M77" s="10"/>
      <c r="O77" s="10"/>
      <c r="Q77" s="10"/>
      <c r="S77" s="10"/>
      <c r="U77" s="10"/>
      <c r="W77" s="10"/>
      <c r="Y77" s="10"/>
      <c r="AA77" s="10"/>
      <c r="AC77" s="10"/>
      <c r="AE77" s="10"/>
      <c r="AG77" s="10"/>
      <c r="AI77" s="10"/>
      <c r="AK77" s="10"/>
      <c r="AM77" s="10"/>
      <c r="AO77" s="10"/>
      <c r="AQ77" s="10"/>
      <c r="AS77" s="10"/>
      <c r="AU77" s="10"/>
      <c r="AW77" s="10"/>
    </row>
    <row r="78" spans="1:49" ht="14.25" customHeight="1" x14ac:dyDescent="0.2">
      <c r="A78" s="9"/>
      <c r="B78" s="9"/>
      <c r="C78" s="9"/>
      <c r="E78" s="10"/>
      <c r="G78" s="10"/>
      <c r="I78" s="10"/>
      <c r="K78" s="10"/>
      <c r="M78" s="10"/>
      <c r="O78" s="10"/>
      <c r="Q78" s="10"/>
      <c r="S78" s="10"/>
      <c r="U78" s="10"/>
      <c r="W78" s="10"/>
      <c r="Y78" s="10"/>
      <c r="AA78" s="10"/>
      <c r="AC78" s="10"/>
      <c r="AE78" s="10"/>
      <c r="AG78" s="10"/>
      <c r="AI78" s="10"/>
      <c r="AK78" s="10"/>
      <c r="AM78" s="10"/>
      <c r="AO78" s="10"/>
      <c r="AQ78" s="10"/>
      <c r="AS78" s="10"/>
      <c r="AU78" s="10"/>
      <c r="AW78" s="10"/>
    </row>
    <row r="79" spans="1:49" ht="14.25" customHeight="1" x14ac:dyDescent="0.2">
      <c r="A79" s="9"/>
      <c r="B79" s="9"/>
      <c r="C79" s="9"/>
      <c r="E79" s="10"/>
      <c r="G79" s="10"/>
      <c r="I79" s="10"/>
      <c r="K79" s="10"/>
      <c r="M79" s="10"/>
      <c r="O79" s="10"/>
      <c r="Q79" s="10"/>
      <c r="S79" s="10"/>
      <c r="U79" s="10"/>
      <c r="W79" s="10"/>
      <c r="Y79" s="10"/>
      <c r="AA79" s="10"/>
      <c r="AC79" s="10"/>
      <c r="AE79" s="10"/>
      <c r="AG79" s="10"/>
      <c r="AI79" s="10"/>
      <c r="AK79" s="10"/>
      <c r="AM79" s="10"/>
      <c r="AO79" s="10"/>
      <c r="AQ79" s="10"/>
      <c r="AS79" s="10"/>
      <c r="AU79" s="10"/>
      <c r="AW79" s="10"/>
    </row>
    <row r="80" spans="1:49" ht="14.25" customHeight="1" x14ac:dyDescent="0.2">
      <c r="A80" s="9"/>
      <c r="B80" s="9"/>
      <c r="C80" s="9"/>
      <c r="E80" s="10"/>
      <c r="G80" s="10"/>
      <c r="I80" s="10"/>
      <c r="K80" s="10"/>
      <c r="M80" s="10"/>
      <c r="O80" s="10"/>
      <c r="Q80" s="10"/>
      <c r="S80" s="10"/>
      <c r="U80" s="10"/>
      <c r="W80" s="10"/>
      <c r="Y80" s="10"/>
      <c r="AA80" s="10"/>
      <c r="AC80" s="10"/>
      <c r="AE80" s="10"/>
      <c r="AG80" s="10"/>
      <c r="AI80" s="10"/>
      <c r="AK80" s="10"/>
      <c r="AM80" s="10"/>
      <c r="AO80" s="10"/>
      <c r="AQ80" s="10"/>
      <c r="AS80" s="10"/>
      <c r="AU80" s="10"/>
      <c r="AW80" s="10"/>
    </row>
    <row r="81" spans="1:49" ht="14.25" customHeight="1" x14ac:dyDescent="0.2">
      <c r="A81" s="9"/>
      <c r="B81" s="9"/>
      <c r="C81" s="9"/>
      <c r="E81" s="10"/>
      <c r="G81" s="10"/>
      <c r="I81" s="10"/>
      <c r="K81" s="10"/>
      <c r="M81" s="10"/>
      <c r="O81" s="10"/>
      <c r="Q81" s="10"/>
      <c r="S81" s="10"/>
      <c r="U81" s="10"/>
      <c r="W81" s="10"/>
      <c r="Y81" s="10"/>
      <c r="AA81" s="10"/>
      <c r="AC81" s="10"/>
      <c r="AE81" s="10"/>
      <c r="AG81" s="10"/>
      <c r="AI81" s="10"/>
      <c r="AK81" s="10"/>
      <c r="AM81" s="10"/>
      <c r="AO81" s="10"/>
      <c r="AQ81" s="10"/>
      <c r="AS81" s="10"/>
      <c r="AU81" s="10"/>
      <c r="AW81" s="10"/>
    </row>
    <row r="82" spans="1:49" ht="14.25" customHeight="1" x14ac:dyDescent="0.2">
      <c r="A82" s="9"/>
      <c r="B82" s="9"/>
      <c r="C82" s="9"/>
      <c r="E82" s="10"/>
      <c r="G82" s="10"/>
      <c r="I82" s="10"/>
      <c r="K82" s="10"/>
      <c r="M82" s="10"/>
      <c r="O82" s="10"/>
      <c r="Q82" s="10"/>
      <c r="S82" s="10"/>
      <c r="U82" s="10"/>
      <c r="W82" s="10"/>
      <c r="Y82" s="10"/>
      <c r="AA82" s="10"/>
      <c r="AC82" s="10"/>
      <c r="AE82" s="10"/>
      <c r="AG82" s="10"/>
      <c r="AI82" s="10"/>
      <c r="AK82" s="10"/>
      <c r="AM82" s="10"/>
      <c r="AO82" s="10"/>
      <c r="AQ82" s="10"/>
      <c r="AS82" s="10"/>
      <c r="AU82" s="10"/>
      <c r="AW82" s="10"/>
    </row>
    <row r="83" spans="1:49" ht="14.25" customHeight="1" x14ac:dyDescent="0.2">
      <c r="A83" s="9"/>
      <c r="B83" s="9"/>
      <c r="C83" s="9"/>
      <c r="E83" s="10"/>
      <c r="G83" s="10"/>
      <c r="I83" s="10"/>
      <c r="K83" s="10"/>
      <c r="M83" s="10"/>
      <c r="O83" s="10"/>
      <c r="Q83" s="10"/>
      <c r="S83" s="10"/>
      <c r="U83" s="10"/>
      <c r="W83" s="10"/>
      <c r="Y83" s="10"/>
      <c r="AA83" s="10"/>
      <c r="AC83" s="10"/>
      <c r="AE83" s="10"/>
      <c r="AG83" s="10"/>
      <c r="AI83" s="10"/>
      <c r="AK83" s="10"/>
      <c r="AM83" s="10"/>
      <c r="AO83" s="10"/>
      <c r="AQ83" s="10"/>
      <c r="AS83" s="10"/>
      <c r="AU83" s="10"/>
      <c r="AW83" s="10"/>
    </row>
    <row r="84" spans="1:49" ht="14.25" customHeight="1" x14ac:dyDescent="0.2">
      <c r="A84" s="9"/>
      <c r="B84" s="9"/>
      <c r="C84" s="9"/>
      <c r="E84" s="10"/>
      <c r="G84" s="10"/>
      <c r="I84" s="10"/>
      <c r="K84" s="10"/>
      <c r="M84" s="10"/>
      <c r="O84" s="10"/>
      <c r="Q84" s="10"/>
      <c r="S84" s="10"/>
      <c r="U84" s="10"/>
      <c r="W84" s="10"/>
      <c r="Y84" s="10"/>
      <c r="AA84" s="10"/>
      <c r="AC84" s="10"/>
      <c r="AE84" s="10"/>
      <c r="AG84" s="10"/>
      <c r="AI84" s="10"/>
      <c r="AK84" s="10"/>
      <c r="AM84" s="10"/>
      <c r="AO84" s="10"/>
      <c r="AQ84" s="10"/>
      <c r="AS84" s="10"/>
      <c r="AU84" s="10"/>
      <c r="AW84" s="10"/>
    </row>
    <row r="85" spans="1:49" ht="14.25" customHeight="1" x14ac:dyDescent="0.2">
      <c r="A85" s="9"/>
      <c r="B85" s="9"/>
      <c r="C85" s="9"/>
      <c r="E85" s="10"/>
      <c r="G85" s="10"/>
      <c r="I85" s="10"/>
      <c r="K85" s="10"/>
      <c r="M85" s="10"/>
      <c r="O85" s="10"/>
      <c r="Q85" s="10"/>
      <c r="S85" s="10"/>
      <c r="U85" s="10"/>
      <c r="W85" s="10"/>
      <c r="Y85" s="10"/>
      <c r="AA85" s="10"/>
      <c r="AC85" s="10"/>
      <c r="AE85" s="10"/>
      <c r="AG85" s="10"/>
      <c r="AI85" s="10"/>
      <c r="AK85" s="10"/>
      <c r="AM85" s="10"/>
      <c r="AO85" s="10"/>
      <c r="AQ85" s="10"/>
      <c r="AS85" s="10"/>
      <c r="AU85" s="10"/>
      <c r="AW85" s="10"/>
    </row>
    <row r="86" spans="1:49" ht="14.25" customHeight="1" x14ac:dyDescent="0.2">
      <c r="A86" s="9"/>
      <c r="B86" s="9"/>
      <c r="C86" s="9"/>
      <c r="E86" s="10"/>
      <c r="G86" s="10"/>
      <c r="I86" s="10"/>
      <c r="K86" s="10"/>
      <c r="M86" s="10"/>
      <c r="O86" s="10"/>
      <c r="Q86" s="10"/>
      <c r="S86" s="10"/>
      <c r="U86" s="10"/>
      <c r="W86" s="10"/>
      <c r="Y86" s="10"/>
      <c r="AA86" s="10"/>
      <c r="AC86" s="10"/>
      <c r="AE86" s="10"/>
      <c r="AG86" s="10"/>
      <c r="AI86" s="10"/>
      <c r="AK86" s="10"/>
      <c r="AM86" s="10"/>
      <c r="AO86" s="10"/>
      <c r="AQ86" s="10"/>
      <c r="AS86" s="10"/>
      <c r="AU86" s="10"/>
      <c r="AW86" s="10"/>
    </row>
    <row r="87" spans="1:49" ht="14.25" customHeight="1" x14ac:dyDescent="0.2">
      <c r="A87" s="9"/>
      <c r="B87" s="9"/>
      <c r="C87" s="9"/>
      <c r="E87" s="10"/>
      <c r="G87" s="10"/>
      <c r="I87" s="10"/>
      <c r="K87" s="10"/>
      <c r="M87" s="10"/>
      <c r="O87" s="10"/>
      <c r="Q87" s="10"/>
      <c r="S87" s="10"/>
      <c r="U87" s="10"/>
      <c r="W87" s="10"/>
      <c r="Y87" s="10"/>
      <c r="AA87" s="10"/>
      <c r="AC87" s="10"/>
      <c r="AE87" s="10"/>
      <c r="AG87" s="10"/>
      <c r="AI87" s="10"/>
      <c r="AK87" s="10"/>
      <c r="AM87" s="10"/>
      <c r="AO87" s="10"/>
      <c r="AQ87" s="10"/>
      <c r="AS87" s="10"/>
      <c r="AU87" s="10"/>
      <c r="AW87" s="10"/>
    </row>
    <row r="88" spans="1:49" ht="14.25" customHeight="1" x14ac:dyDescent="0.2">
      <c r="A88" s="9"/>
      <c r="B88" s="9"/>
      <c r="C88" s="9"/>
      <c r="E88" s="10"/>
      <c r="G88" s="10"/>
      <c r="I88" s="10"/>
      <c r="K88" s="10"/>
      <c r="M88" s="10"/>
      <c r="O88" s="10"/>
      <c r="Q88" s="10"/>
      <c r="S88" s="10"/>
      <c r="U88" s="10"/>
      <c r="W88" s="10"/>
      <c r="Y88" s="10"/>
      <c r="AA88" s="10"/>
      <c r="AC88" s="10"/>
      <c r="AE88" s="10"/>
      <c r="AG88" s="10"/>
      <c r="AI88" s="10"/>
      <c r="AK88" s="10"/>
      <c r="AM88" s="10"/>
      <c r="AO88" s="10"/>
      <c r="AQ88" s="10"/>
      <c r="AS88" s="10"/>
      <c r="AU88" s="10"/>
      <c r="AW88" s="10"/>
    </row>
    <row r="89" spans="1:49" ht="14.25" customHeight="1" x14ac:dyDescent="0.2">
      <c r="A89" s="9"/>
      <c r="B89" s="9"/>
      <c r="C89" s="9"/>
      <c r="E89" s="10"/>
      <c r="G89" s="10"/>
      <c r="I89" s="10"/>
      <c r="K89" s="10"/>
      <c r="M89" s="10"/>
      <c r="O89" s="10"/>
      <c r="Q89" s="10"/>
      <c r="S89" s="10"/>
      <c r="U89" s="10"/>
      <c r="W89" s="10"/>
      <c r="Y89" s="10"/>
      <c r="AA89" s="10"/>
      <c r="AC89" s="10"/>
      <c r="AE89" s="10"/>
      <c r="AG89" s="10"/>
      <c r="AI89" s="10"/>
      <c r="AK89" s="10"/>
      <c r="AM89" s="10"/>
      <c r="AO89" s="10"/>
      <c r="AQ89" s="10"/>
      <c r="AS89" s="10"/>
      <c r="AU89" s="10"/>
      <c r="AW89" s="10"/>
    </row>
    <row r="90" spans="1:49" ht="14.25" customHeight="1" x14ac:dyDescent="0.2">
      <c r="A90" s="9"/>
      <c r="B90" s="9"/>
      <c r="C90" s="9"/>
      <c r="E90" s="10"/>
      <c r="G90" s="10"/>
      <c r="I90" s="10"/>
      <c r="K90" s="10"/>
      <c r="M90" s="10"/>
      <c r="O90" s="10"/>
      <c r="Q90" s="10"/>
      <c r="S90" s="10"/>
      <c r="U90" s="10"/>
      <c r="W90" s="10"/>
      <c r="Y90" s="10"/>
      <c r="AA90" s="10"/>
      <c r="AC90" s="10"/>
      <c r="AE90" s="10"/>
      <c r="AG90" s="10"/>
      <c r="AI90" s="10"/>
      <c r="AK90" s="10"/>
      <c r="AM90" s="10"/>
      <c r="AO90" s="10"/>
      <c r="AQ90" s="10"/>
      <c r="AS90" s="10"/>
      <c r="AU90" s="10"/>
      <c r="AW90" s="10"/>
    </row>
    <row r="91" spans="1:49" ht="14.25" customHeight="1" x14ac:dyDescent="0.2">
      <c r="A91" s="9"/>
      <c r="B91" s="9"/>
      <c r="C91" s="9"/>
      <c r="E91" s="10"/>
      <c r="G91" s="10"/>
      <c r="I91" s="10"/>
      <c r="K91" s="10"/>
      <c r="M91" s="10"/>
      <c r="O91" s="10"/>
      <c r="Q91" s="10"/>
      <c r="S91" s="10"/>
      <c r="U91" s="10"/>
      <c r="W91" s="10"/>
      <c r="Y91" s="10"/>
      <c r="AA91" s="10"/>
      <c r="AC91" s="10"/>
      <c r="AE91" s="10"/>
      <c r="AG91" s="10"/>
      <c r="AI91" s="10"/>
      <c r="AK91" s="10"/>
      <c r="AM91" s="10"/>
      <c r="AO91" s="10"/>
      <c r="AQ91" s="10"/>
      <c r="AS91" s="10"/>
      <c r="AU91" s="10"/>
      <c r="AW91" s="10"/>
    </row>
    <row r="92" spans="1:49" ht="14.25" customHeight="1" x14ac:dyDescent="0.2">
      <c r="A92" s="9"/>
      <c r="B92" s="9"/>
      <c r="C92" s="9"/>
      <c r="E92" s="10"/>
      <c r="G92" s="10"/>
      <c r="I92" s="10"/>
      <c r="K92" s="10"/>
      <c r="M92" s="10"/>
      <c r="O92" s="10"/>
      <c r="Q92" s="10"/>
      <c r="S92" s="10"/>
      <c r="U92" s="10"/>
      <c r="W92" s="10"/>
      <c r="Y92" s="10"/>
      <c r="AA92" s="10"/>
      <c r="AC92" s="10"/>
      <c r="AE92" s="10"/>
      <c r="AG92" s="10"/>
      <c r="AI92" s="10"/>
      <c r="AK92" s="10"/>
      <c r="AM92" s="10"/>
      <c r="AO92" s="10"/>
      <c r="AQ92" s="10"/>
      <c r="AS92" s="10"/>
      <c r="AU92" s="10"/>
      <c r="AW92" s="10"/>
    </row>
    <row r="93" spans="1:49" ht="14.25" customHeight="1" x14ac:dyDescent="0.2">
      <c r="A93" s="9"/>
      <c r="B93" s="9"/>
      <c r="C93" s="9"/>
      <c r="E93" s="10"/>
      <c r="G93" s="10"/>
      <c r="I93" s="10"/>
      <c r="K93" s="10"/>
      <c r="M93" s="10"/>
      <c r="O93" s="10"/>
      <c r="Q93" s="10"/>
      <c r="S93" s="10"/>
      <c r="U93" s="10"/>
      <c r="W93" s="10"/>
      <c r="Y93" s="10"/>
      <c r="AA93" s="10"/>
      <c r="AC93" s="10"/>
      <c r="AE93" s="10"/>
      <c r="AG93" s="10"/>
      <c r="AI93" s="10"/>
      <c r="AK93" s="10"/>
      <c r="AM93" s="10"/>
      <c r="AO93" s="10"/>
      <c r="AQ93" s="10"/>
      <c r="AS93" s="10"/>
      <c r="AU93" s="10"/>
      <c r="AW93" s="10"/>
    </row>
    <row r="94" spans="1:49" ht="14.25" customHeight="1" x14ac:dyDescent="0.2">
      <c r="A94" s="9"/>
      <c r="B94" s="9"/>
      <c r="C94" s="9"/>
      <c r="E94" s="10"/>
      <c r="G94" s="10"/>
      <c r="I94" s="10"/>
      <c r="K94" s="10"/>
      <c r="M94" s="10"/>
      <c r="O94" s="10"/>
      <c r="Q94" s="10"/>
      <c r="S94" s="10"/>
      <c r="U94" s="10"/>
      <c r="W94" s="10"/>
      <c r="Y94" s="10"/>
      <c r="AA94" s="10"/>
      <c r="AC94" s="10"/>
      <c r="AE94" s="10"/>
      <c r="AG94" s="10"/>
      <c r="AI94" s="10"/>
      <c r="AK94" s="10"/>
      <c r="AM94" s="10"/>
      <c r="AO94" s="10"/>
      <c r="AQ94" s="10"/>
      <c r="AS94" s="10"/>
      <c r="AU94" s="10"/>
      <c r="AW94" s="10"/>
    </row>
    <row r="95" spans="1:49" ht="14.25" customHeight="1" x14ac:dyDescent="0.2">
      <c r="A95" s="9"/>
      <c r="B95" s="9"/>
      <c r="C95" s="9"/>
      <c r="E95" s="10"/>
      <c r="G95" s="10"/>
      <c r="I95" s="10"/>
      <c r="K95" s="10"/>
      <c r="M95" s="10"/>
      <c r="O95" s="10"/>
      <c r="Q95" s="10"/>
      <c r="S95" s="10"/>
      <c r="U95" s="10"/>
      <c r="W95" s="10"/>
      <c r="Y95" s="10"/>
      <c r="AA95" s="10"/>
      <c r="AC95" s="10"/>
      <c r="AE95" s="10"/>
      <c r="AG95" s="10"/>
      <c r="AI95" s="10"/>
      <c r="AK95" s="10"/>
      <c r="AM95" s="10"/>
      <c r="AO95" s="10"/>
      <c r="AQ95" s="10"/>
      <c r="AS95" s="10"/>
      <c r="AU95" s="10"/>
      <c r="AW95" s="10"/>
    </row>
    <row r="96" spans="1:49" ht="14.25" customHeight="1" x14ac:dyDescent="0.2">
      <c r="A96" s="9"/>
      <c r="B96" s="9"/>
      <c r="C96" s="9"/>
      <c r="E96" s="10"/>
      <c r="G96" s="10"/>
      <c r="I96" s="10"/>
      <c r="K96" s="10"/>
      <c r="M96" s="10"/>
      <c r="O96" s="10"/>
      <c r="Q96" s="10"/>
      <c r="S96" s="10"/>
      <c r="U96" s="10"/>
      <c r="W96" s="10"/>
      <c r="Y96" s="10"/>
      <c r="AA96" s="10"/>
      <c r="AC96" s="10"/>
      <c r="AE96" s="10"/>
      <c r="AG96" s="10"/>
      <c r="AI96" s="10"/>
      <c r="AK96" s="10"/>
      <c r="AM96" s="10"/>
      <c r="AO96" s="10"/>
      <c r="AQ96" s="10"/>
      <c r="AS96" s="10"/>
      <c r="AU96" s="10"/>
      <c r="AW96" s="10"/>
    </row>
    <row r="97" spans="1:49" ht="14.25" customHeight="1" x14ac:dyDescent="0.2">
      <c r="A97" s="9"/>
      <c r="B97" s="9"/>
      <c r="C97" s="9"/>
      <c r="E97" s="10"/>
      <c r="G97" s="10"/>
      <c r="I97" s="10"/>
      <c r="K97" s="10"/>
      <c r="M97" s="10"/>
      <c r="O97" s="10"/>
      <c r="Q97" s="10"/>
      <c r="S97" s="10"/>
      <c r="U97" s="10"/>
      <c r="W97" s="10"/>
      <c r="Y97" s="10"/>
      <c r="AA97" s="10"/>
      <c r="AC97" s="10"/>
      <c r="AE97" s="10"/>
      <c r="AG97" s="10"/>
      <c r="AI97" s="10"/>
      <c r="AK97" s="10"/>
      <c r="AM97" s="10"/>
      <c r="AO97" s="10"/>
      <c r="AQ97" s="10"/>
      <c r="AS97" s="10"/>
      <c r="AU97" s="10"/>
      <c r="AW97" s="10"/>
    </row>
    <row r="98" spans="1:49" ht="14.25" customHeight="1" x14ac:dyDescent="0.2">
      <c r="A98" s="9"/>
      <c r="B98" s="9"/>
      <c r="C98" s="9"/>
      <c r="E98" s="10"/>
      <c r="G98" s="10"/>
      <c r="I98" s="10"/>
      <c r="K98" s="10"/>
      <c r="M98" s="10"/>
      <c r="O98" s="10"/>
      <c r="Q98" s="10"/>
      <c r="S98" s="10"/>
      <c r="U98" s="10"/>
      <c r="W98" s="10"/>
      <c r="Y98" s="10"/>
      <c r="AA98" s="10"/>
      <c r="AC98" s="10"/>
      <c r="AE98" s="10"/>
      <c r="AG98" s="10"/>
      <c r="AI98" s="10"/>
      <c r="AK98" s="10"/>
      <c r="AM98" s="10"/>
      <c r="AO98" s="10"/>
      <c r="AQ98" s="10"/>
      <c r="AS98" s="10"/>
      <c r="AU98" s="10"/>
      <c r="AW98" s="10"/>
    </row>
    <row r="99" spans="1:49" ht="14.25" customHeight="1" x14ac:dyDescent="0.2">
      <c r="A99" s="9"/>
      <c r="B99" s="9"/>
      <c r="C99" s="9"/>
      <c r="E99" s="10"/>
      <c r="G99" s="10"/>
      <c r="I99" s="10"/>
      <c r="K99" s="10"/>
      <c r="M99" s="10"/>
      <c r="O99" s="10"/>
      <c r="Q99" s="10"/>
      <c r="S99" s="10"/>
      <c r="U99" s="10"/>
      <c r="W99" s="10"/>
      <c r="Y99" s="10"/>
      <c r="AA99" s="10"/>
      <c r="AC99" s="10"/>
      <c r="AE99" s="10"/>
      <c r="AG99" s="10"/>
      <c r="AI99" s="10"/>
      <c r="AK99" s="10"/>
      <c r="AM99" s="10"/>
      <c r="AO99" s="10"/>
      <c r="AQ99" s="10"/>
      <c r="AS99" s="10"/>
      <c r="AU99" s="10"/>
      <c r="AW99" s="10"/>
    </row>
    <row r="100" spans="1:49" ht="14.25" customHeight="1" x14ac:dyDescent="0.2">
      <c r="A100" s="9"/>
      <c r="B100" s="9"/>
      <c r="C100" s="9"/>
      <c r="E100" s="10"/>
      <c r="G100" s="10"/>
      <c r="I100" s="10"/>
      <c r="K100" s="10"/>
      <c r="M100" s="10"/>
      <c r="O100" s="10"/>
      <c r="Q100" s="10"/>
      <c r="S100" s="10"/>
      <c r="U100" s="10"/>
      <c r="W100" s="10"/>
      <c r="Y100" s="10"/>
      <c r="AA100" s="10"/>
      <c r="AC100" s="10"/>
      <c r="AE100" s="10"/>
      <c r="AG100" s="10"/>
      <c r="AI100" s="10"/>
      <c r="AK100" s="10"/>
      <c r="AM100" s="10"/>
      <c r="AO100" s="10"/>
      <c r="AQ100" s="10"/>
      <c r="AS100" s="10"/>
      <c r="AU100" s="10"/>
      <c r="AW100" s="10"/>
    </row>
    <row r="101" spans="1:49" ht="14.25" customHeight="1" x14ac:dyDescent="0.2">
      <c r="A101" s="9"/>
      <c r="B101" s="9"/>
      <c r="C101" s="9"/>
      <c r="E101" s="10"/>
      <c r="G101" s="10"/>
      <c r="I101" s="10"/>
      <c r="K101" s="10"/>
      <c r="M101" s="10"/>
      <c r="O101" s="10"/>
      <c r="Q101" s="10"/>
      <c r="S101" s="10"/>
      <c r="U101" s="10"/>
      <c r="W101" s="10"/>
      <c r="Y101" s="10"/>
      <c r="AA101" s="10"/>
      <c r="AC101" s="10"/>
      <c r="AE101" s="10"/>
      <c r="AG101" s="10"/>
      <c r="AI101" s="10"/>
      <c r="AK101" s="10"/>
      <c r="AM101" s="10"/>
      <c r="AO101" s="10"/>
      <c r="AQ101" s="10"/>
      <c r="AS101" s="10"/>
      <c r="AU101" s="10"/>
      <c r="AW101" s="10"/>
    </row>
    <row r="102" spans="1:49" ht="14.25" customHeight="1" x14ac:dyDescent="0.2">
      <c r="A102" s="9"/>
      <c r="B102" s="9"/>
      <c r="C102" s="9"/>
      <c r="E102" s="10"/>
      <c r="G102" s="10"/>
      <c r="I102" s="10"/>
      <c r="K102" s="10"/>
      <c r="M102" s="10"/>
      <c r="O102" s="10"/>
      <c r="Q102" s="10"/>
      <c r="S102" s="10"/>
      <c r="U102" s="10"/>
      <c r="W102" s="10"/>
      <c r="Y102" s="10"/>
      <c r="AA102" s="10"/>
      <c r="AC102" s="10"/>
      <c r="AE102" s="10"/>
      <c r="AG102" s="10"/>
      <c r="AI102" s="10"/>
      <c r="AK102" s="10"/>
      <c r="AM102" s="10"/>
      <c r="AO102" s="10"/>
      <c r="AQ102" s="10"/>
      <c r="AS102" s="10"/>
      <c r="AU102" s="10"/>
      <c r="AW102" s="10"/>
    </row>
    <row r="103" spans="1:49" ht="14.25" customHeight="1" x14ac:dyDescent="0.2">
      <c r="A103" s="9"/>
      <c r="B103" s="9"/>
      <c r="C103" s="9"/>
      <c r="E103" s="10"/>
      <c r="G103" s="10"/>
      <c r="I103" s="10"/>
      <c r="K103" s="10"/>
      <c r="M103" s="10"/>
      <c r="O103" s="10"/>
      <c r="Q103" s="10"/>
      <c r="S103" s="10"/>
      <c r="U103" s="10"/>
      <c r="W103" s="10"/>
      <c r="Y103" s="10"/>
      <c r="AA103" s="10"/>
      <c r="AC103" s="10"/>
      <c r="AE103" s="10"/>
      <c r="AG103" s="10"/>
      <c r="AI103" s="10"/>
      <c r="AK103" s="10"/>
      <c r="AM103" s="10"/>
      <c r="AO103" s="10"/>
      <c r="AQ103" s="10"/>
      <c r="AS103" s="10"/>
      <c r="AU103" s="10"/>
      <c r="AW103" s="10"/>
    </row>
    <row r="104" spans="1:49" ht="14.25" customHeight="1" x14ac:dyDescent="0.2">
      <c r="A104" s="9"/>
      <c r="B104" s="9"/>
      <c r="C104" s="9"/>
      <c r="E104" s="10"/>
      <c r="G104" s="10"/>
      <c r="I104" s="10"/>
      <c r="K104" s="10"/>
      <c r="M104" s="10"/>
      <c r="O104" s="10"/>
      <c r="Q104" s="10"/>
      <c r="S104" s="10"/>
      <c r="U104" s="10"/>
      <c r="W104" s="10"/>
      <c r="Y104" s="10"/>
      <c r="AA104" s="10"/>
      <c r="AC104" s="10"/>
      <c r="AE104" s="10"/>
      <c r="AG104" s="10"/>
      <c r="AI104" s="10"/>
      <c r="AK104" s="10"/>
      <c r="AM104" s="10"/>
      <c r="AO104" s="10"/>
      <c r="AQ104" s="10"/>
      <c r="AS104" s="10"/>
      <c r="AU104" s="10"/>
      <c r="AW104" s="10"/>
    </row>
    <row r="105" spans="1:49" ht="14.25" customHeight="1" x14ac:dyDescent="0.2">
      <c r="A105" s="9"/>
      <c r="B105" s="9"/>
      <c r="C105" s="9"/>
      <c r="E105" s="10"/>
      <c r="G105" s="10"/>
      <c r="I105" s="10"/>
      <c r="K105" s="10"/>
      <c r="M105" s="10"/>
      <c r="O105" s="10"/>
      <c r="Q105" s="10"/>
      <c r="S105" s="10"/>
      <c r="U105" s="10"/>
      <c r="W105" s="10"/>
      <c r="Y105" s="10"/>
      <c r="AA105" s="10"/>
      <c r="AC105" s="10"/>
      <c r="AE105" s="10"/>
      <c r="AG105" s="10"/>
      <c r="AI105" s="10"/>
      <c r="AK105" s="10"/>
      <c r="AM105" s="10"/>
      <c r="AO105" s="10"/>
      <c r="AQ105" s="10"/>
      <c r="AS105" s="10"/>
      <c r="AU105" s="10"/>
      <c r="AW105" s="10"/>
    </row>
    <row r="106" spans="1:49" ht="14.25" customHeight="1" x14ac:dyDescent="0.2">
      <c r="A106" s="9"/>
      <c r="B106" s="9"/>
      <c r="C106" s="9"/>
      <c r="E106" s="10"/>
      <c r="G106" s="10"/>
      <c r="I106" s="10"/>
      <c r="K106" s="10"/>
      <c r="M106" s="10"/>
      <c r="O106" s="10"/>
      <c r="Q106" s="10"/>
      <c r="S106" s="10"/>
      <c r="U106" s="10"/>
      <c r="W106" s="10"/>
      <c r="Y106" s="10"/>
      <c r="AA106" s="10"/>
      <c r="AC106" s="10"/>
      <c r="AE106" s="10"/>
      <c r="AG106" s="10"/>
      <c r="AI106" s="10"/>
      <c r="AK106" s="10"/>
      <c r="AM106" s="10"/>
      <c r="AO106" s="10"/>
      <c r="AQ106" s="10"/>
      <c r="AS106" s="10"/>
      <c r="AU106" s="10"/>
      <c r="AW106" s="10"/>
    </row>
    <row r="107" spans="1:49" ht="14.25" customHeight="1" x14ac:dyDescent="0.2">
      <c r="A107" s="9"/>
      <c r="B107" s="9"/>
      <c r="C107" s="9"/>
      <c r="E107" s="10"/>
      <c r="G107" s="10"/>
      <c r="I107" s="10"/>
      <c r="K107" s="10"/>
      <c r="M107" s="10"/>
      <c r="O107" s="10"/>
      <c r="Q107" s="10"/>
      <c r="S107" s="10"/>
      <c r="U107" s="10"/>
      <c r="W107" s="10"/>
      <c r="Y107" s="10"/>
      <c r="AA107" s="10"/>
      <c r="AC107" s="10"/>
      <c r="AE107" s="10"/>
      <c r="AG107" s="10"/>
      <c r="AI107" s="10"/>
      <c r="AK107" s="10"/>
      <c r="AM107" s="10"/>
      <c r="AO107" s="10"/>
      <c r="AQ107" s="10"/>
      <c r="AS107" s="10"/>
      <c r="AU107" s="10"/>
      <c r="AW107" s="10"/>
    </row>
    <row r="108" spans="1:49" ht="14.25" customHeight="1" x14ac:dyDescent="0.2">
      <c r="A108" s="9"/>
      <c r="B108" s="9"/>
      <c r="C108" s="9"/>
      <c r="E108" s="10"/>
      <c r="G108" s="10"/>
      <c r="I108" s="10"/>
      <c r="K108" s="10"/>
      <c r="M108" s="10"/>
      <c r="O108" s="10"/>
      <c r="Q108" s="10"/>
      <c r="S108" s="10"/>
      <c r="U108" s="10"/>
      <c r="W108" s="10"/>
      <c r="Y108" s="10"/>
      <c r="AA108" s="10"/>
      <c r="AC108" s="10"/>
      <c r="AE108" s="10"/>
      <c r="AG108" s="10"/>
      <c r="AI108" s="10"/>
      <c r="AK108" s="10"/>
      <c r="AM108" s="10"/>
      <c r="AO108" s="10"/>
      <c r="AQ108" s="10"/>
      <c r="AS108" s="10"/>
      <c r="AU108" s="10"/>
      <c r="AW108" s="10"/>
    </row>
    <row r="109" spans="1:49" ht="14.25" customHeight="1" x14ac:dyDescent="0.2">
      <c r="A109" s="9"/>
      <c r="B109" s="9"/>
      <c r="C109" s="9"/>
      <c r="E109" s="10"/>
      <c r="G109" s="10"/>
      <c r="I109" s="10"/>
      <c r="K109" s="10"/>
      <c r="M109" s="10"/>
      <c r="O109" s="10"/>
      <c r="Q109" s="10"/>
      <c r="S109" s="10"/>
      <c r="U109" s="10"/>
      <c r="W109" s="10"/>
      <c r="Y109" s="10"/>
      <c r="AA109" s="10"/>
      <c r="AC109" s="10"/>
      <c r="AE109" s="10"/>
      <c r="AG109" s="10"/>
      <c r="AI109" s="10"/>
      <c r="AK109" s="10"/>
      <c r="AM109" s="10"/>
      <c r="AO109" s="10"/>
      <c r="AQ109" s="10"/>
      <c r="AS109" s="10"/>
      <c r="AU109" s="10"/>
      <c r="AW109" s="10"/>
    </row>
    <row r="110" spans="1:49" ht="14.25" customHeight="1" x14ac:dyDescent="0.2">
      <c r="A110" s="9"/>
      <c r="B110" s="9"/>
      <c r="C110" s="9"/>
      <c r="E110" s="10"/>
      <c r="G110" s="10"/>
      <c r="I110" s="10"/>
      <c r="K110" s="10"/>
      <c r="M110" s="10"/>
      <c r="O110" s="10"/>
      <c r="Q110" s="10"/>
      <c r="S110" s="10"/>
      <c r="U110" s="10"/>
      <c r="W110" s="10"/>
      <c r="Y110" s="10"/>
      <c r="AA110" s="10"/>
      <c r="AC110" s="10"/>
      <c r="AE110" s="10"/>
      <c r="AG110" s="10"/>
      <c r="AI110" s="10"/>
      <c r="AK110" s="10"/>
      <c r="AM110" s="10"/>
      <c r="AO110" s="10"/>
      <c r="AQ110" s="10"/>
      <c r="AS110" s="10"/>
      <c r="AU110" s="10"/>
      <c r="AW110" s="10"/>
    </row>
    <row r="111" spans="1:49" ht="14.25" customHeight="1" x14ac:dyDescent="0.2">
      <c r="A111" s="9"/>
      <c r="B111" s="9"/>
      <c r="C111" s="9"/>
      <c r="E111" s="10"/>
      <c r="G111" s="10"/>
      <c r="I111" s="10"/>
      <c r="K111" s="10"/>
      <c r="M111" s="10"/>
      <c r="O111" s="10"/>
      <c r="Q111" s="10"/>
      <c r="S111" s="10"/>
      <c r="U111" s="10"/>
      <c r="W111" s="10"/>
      <c r="Y111" s="10"/>
      <c r="AA111" s="10"/>
      <c r="AC111" s="10"/>
      <c r="AE111" s="10"/>
      <c r="AG111" s="10"/>
      <c r="AI111" s="10"/>
      <c r="AK111" s="10"/>
      <c r="AM111" s="10"/>
      <c r="AO111" s="10"/>
      <c r="AQ111" s="10"/>
      <c r="AS111" s="10"/>
      <c r="AU111" s="10"/>
      <c r="AW111" s="10"/>
    </row>
    <row r="112" spans="1:49" ht="14.25" customHeight="1" x14ac:dyDescent="0.2">
      <c r="A112" s="9"/>
      <c r="B112" s="9"/>
      <c r="C112" s="9"/>
      <c r="E112" s="10"/>
      <c r="G112" s="10"/>
      <c r="I112" s="10"/>
      <c r="K112" s="10"/>
      <c r="M112" s="10"/>
      <c r="O112" s="10"/>
      <c r="Q112" s="10"/>
      <c r="S112" s="10"/>
      <c r="U112" s="10"/>
      <c r="W112" s="10"/>
      <c r="Y112" s="10"/>
      <c r="AA112" s="10"/>
      <c r="AC112" s="10"/>
      <c r="AE112" s="10"/>
      <c r="AG112" s="10"/>
      <c r="AI112" s="10"/>
      <c r="AK112" s="10"/>
      <c r="AM112" s="10"/>
      <c r="AO112" s="10"/>
      <c r="AQ112" s="10"/>
      <c r="AS112" s="10"/>
      <c r="AU112" s="10"/>
      <c r="AW112" s="10"/>
    </row>
    <row r="113" spans="1:49" ht="14.25" customHeight="1" x14ac:dyDescent="0.2">
      <c r="A113" s="9"/>
      <c r="B113" s="9"/>
      <c r="C113" s="9"/>
      <c r="E113" s="10"/>
      <c r="G113" s="10"/>
      <c r="I113" s="10"/>
      <c r="K113" s="10"/>
      <c r="M113" s="10"/>
      <c r="O113" s="10"/>
      <c r="Q113" s="10"/>
      <c r="S113" s="10"/>
      <c r="U113" s="10"/>
      <c r="W113" s="10"/>
      <c r="Y113" s="10"/>
      <c r="AA113" s="10"/>
      <c r="AC113" s="10"/>
      <c r="AE113" s="10"/>
      <c r="AG113" s="10"/>
      <c r="AI113" s="10"/>
      <c r="AK113" s="10"/>
      <c r="AM113" s="10"/>
      <c r="AO113" s="10"/>
      <c r="AQ113" s="10"/>
      <c r="AS113" s="10"/>
      <c r="AU113" s="10"/>
      <c r="AW113" s="10"/>
    </row>
    <row r="114" spans="1:49" ht="14.25" customHeight="1" x14ac:dyDescent="0.2">
      <c r="A114" s="9"/>
      <c r="B114" s="9"/>
      <c r="C114" s="9"/>
      <c r="E114" s="10"/>
      <c r="G114" s="10"/>
      <c r="I114" s="10"/>
      <c r="K114" s="10"/>
      <c r="M114" s="10"/>
      <c r="O114" s="10"/>
      <c r="Q114" s="10"/>
      <c r="S114" s="10"/>
      <c r="U114" s="10"/>
      <c r="W114" s="10"/>
      <c r="Y114" s="10"/>
      <c r="AA114" s="10"/>
      <c r="AC114" s="10"/>
      <c r="AE114" s="10"/>
      <c r="AG114" s="10"/>
      <c r="AI114" s="10"/>
      <c r="AK114" s="10"/>
      <c r="AM114" s="10"/>
      <c r="AO114" s="10"/>
      <c r="AQ114" s="10"/>
      <c r="AS114" s="10"/>
      <c r="AU114" s="10"/>
      <c r="AW114" s="10"/>
    </row>
    <row r="115" spans="1:49" ht="14.25" customHeight="1" x14ac:dyDescent="0.2">
      <c r="A115" s="9"/>
      <c r="B115" s="9"/>
      <c r="C115" s="9"/>
      <c r="E115" s="10"/>
      <c r="G115" s="10"/>
      <c r="I115" s="10"/>
      <c r="K115" s="10"/>
      <c r="M115" s="10"/>
      <c r="O115" s="10"/>
      <c r="Q115" s="10"/>
      <c r="S115" s="10"/>
      <c r="U115" s="10"/>
      <c r="W115" s="10"/>
      <c r="Y115" s="10"/>
      <c r="AA115" s="10"/>
      <c r="AC115" s="10"/>
      <c r="AE115" s="10"/>
      <c r="AG115" s="10"/>
      <c r="AI115" s="10"/>
      <c r="AK115" s="10"/>
      <c r="AM115" s="10"/>
      <c r="AO115" s="10"/>
      <c r="AQ115" s="10"/>
      <c r="AS115" s="10"/>
      <c r="AU115" s="10"/>
      <c r="AW115" s="10"/>
    </row>
    <row r="116" spans="1:49" ht="14.25" customHeight="1" x14ac:dyDescent="0.2">
      <c r="A116" s="9"/>
      <c r="B116" s="9"/>
      <c r="C116" s="9"/>
      <c r="E116" s="10"/>
      <c r="G116" s="10"/>
      <c r="I116" s="10"/>
      <c r="K116" s="10"/>
      <c r="M116" s="10"/>
      <c r="O116" s="10"/>
      <c r="Q116" s="10"/>
      <c r="S116" s="10"/>
      <c r="U116" s="10"/>
      <c r="W116" s="10"/>
      <c r="Y116" s="10"/>
      <c r="AA116" s="10"/>
      <c r="AC116" s="10"/>
      <c r="AE116" s="10"/>
      <c r="AG116" s="10"/>
      <c r="AI116" s="10"/>
      <c r="AK116" s="10"/>
      <c r="AM116" s="10"/>
      <c r="AO116" s="10"/>
      <c r="AQ116" s="10"/>
      <c r="AS116" s="10"/>
      <c r="AU116" s="10"/>
      <c r="AW116" s="10"/>
    </row>
    <row r="117" spans="1:49" ht="14.25" customHeight="1" x14ac:dyDescent="0.2">
      <c r="A117" s="9"/>
      <c r="B117" s="9"/>
      <c r="C117" s="9"/>
      <c r="E117" s="10"/>
      <c r="G117" s="10"/>
      <c r="I117" s="10"/>
      <c r="K117" s="10"/>
      <c r="M117" s="10"/>
      <c r="O117" s="10"/>
      <c r="Q117" s="10"/>
      <c r="S117" s="10"/>
      <c r="U117" s="10"/>
      <c r="W117" s="10"/>
      <c r="Y117" s="10"/>
      <c r="AA117" s="10"/>
      <c r="AC117" s="10"/>
      <c r="AE117" s="10"/>
      <c r="AG117" s="10"/>
      <c r="AI117" s="10"/>
      <c r="AK117" s="10"/>
      <c r="AM117" s="10"/>
      <c r="AO117" s="10"/>
      <c r="AQ117" s="10"/>
      <c r="AS117" s="10"/>
      <c r="AU117" s="10"/>
      <c r="AW117" s="10"/>
    </row>
    <row r="118" spans="1:49" ht="14.25" customHeight="1" x14ac:dyDescent="0.2">
      <c r="A118" s="9"/>
      <c r="B118" s="9"/>
      <c r="C118" s="9"/>
      <c r="E118" s="10"/>
      <c r="G118" s="10"/>
      <c r="I118" s="10"/>
      <c r="K118" s="10"/>
      <c r="M118" s="10"/>
      <c r="O118" s="10"/>
      <c r="Q118" s="10"/>
      <c r="S118" s="10"/>
      <c r="U118" s="10"/>
      <c r="W118" s="10"/>
      <c r="Y118" s="10"/>
      <c r="AA118" s="10"/>
      <c r="AC118" s="10"/>
      <c r="AE118" s="10"/>
      <c r="AG118" s="10"/>
      <c r="AI118" s="10"/>
      <c r="AK118" s="10"/>
      <c r="AM118" s="10"/>
      <c r="AO118" s="10"/>
      <c r="AQ118" s="10"/>
      <c r="AS118" s="10"/>
      <c r="AU118" s="10"/>
      <c r="AW118" s="10"/>
    </row>
    <row r="119" spans="1:49" ht="14.25" customHeight="1" x14ac:dyDescent="0.2">
      <c r="A119" s="9"/>
      <c r="B119" s="9"/>
      <c r="C119" s="9"/>
      <c r="E119" s="10"/>
      <c r="G119" s="10"/>
      <c r="I119" s="10"/>
      <c r="K119" s="10"/>
      <c r="M119" s="10"/>
      <c r="O119" s="10"/>
      <c r="Q119" s="10"/>
      <c r="S119" s="10"/>
      <c r="U119" s="10"/>
      <c r="W119" s="10"/>
      <c r="Y119" s="10"/>
      <c r="AA119" s="10"/>
      <c r="AC119" s="10"/>
      <c r="AE119" s="10"/>
      <c r="AG119" s="10"/>
      <c r="AI119" s="10"/>
      <c r="AK119" s="10"/>
      <c r="AM119" s="10"/>
      <c r="AO119" s="10"/>
      <c r="AQ119" s="10"/>
      <c r="AS119" s="10"/>
      <c r="AU119" s="10"/>
      <c r="AW119" s="10"/>
    </row>
    <row r="120" spans="1:49" ht="14.25" customHeight="1" x14ac:dyDescent="0.2">
      <c r="A120" s="9"/>
      <c r="B120" s="9"/>
      <c r="C120" s="9"/>
      <c r="E120" s="10"/>
      <c r="G120" s="10"/>
      <c r="I120" s="10"/>
      <c r="K120" s="10"/>
      <c r="M120" s="10"/>
      <c r="O120" s="10"/>
      <c r="Q120" s="10"/>
      <c r="S120" s="10"/>
      <c r="U120" s="10"/>
      <c r="W120" s="10"/>
      <c r="Y120" s="10"/>
      <c r="AA120" s="10"/>
      <c r="AC120" s="10"/>
      <c r="AE120" s="10"/>
      <c r="AG120" s="10"/>
      <c r="AI120" s="10"/>
      <c r="AK120" s="10"/>
      <c r="AM120" s="10"/>
      <c r="AO120" s="10"/>
      <c r="AQ120" s="10"/>
      <c r="AS120" s="10"/>
      <c r="AU120" s="10"/>
      <c r="AW120" s="10"/>
    </row>
    <row r="121" spans="1:49" ht="14.25" customHeight="1" x14ac:dyDescent="0.2">
      <c r="A121" s="9"/>
      <c r="B121" s="9"/>
      <c r="C121" s="9"/>
      <c r="E121" s="10"/>
      <c r="G121" s="10"/>
      <c r="I121" s="10"/>
      <c r="K121" s="10"/>
      <c r="M121" s="10"/>
      <c r="O121" s="10"/>
      <c r="Q121" s="10"/>
      <c r="S121" s="10"/>
      <c r="U121" s="10"/>
      <c r="W121" s="10"/>
      <c r="Y121" s="10"/>
      <c r="AA121" s="10"/>
      <c r="AC121" s="10"/>
      <c r="AE121" s="10"/>
      <c r="AG121" s="10"/>
      <c r="AI121" s="10"/>
      <c r="AK121" s="10"/>
      <c r="AM121" s="10"/>
      <c r="AO121" s="10"/>
      <c r="AQ121" s="10"/>
      <c r="AS121" s="10"/>
      <c r="AU121" s="10"/>
      <c r="AW121" s="10"/>
    </row>
    <row r="122" spans="1:49" ht="14.25" customHeight="1" x14ac:dyDescent="0.2">
      <c r="A122" s="9"/>
      <c r="B122" s="9"/>
      <c r="C122" s="9"/>
      <c r="E122" s="10"/>
      <c r="G122" s="10"/>
      <c r="I122" s="10"/>
      <c r="K122" s="10"/>
      <c r="M122" s="10"/>
      <c r="O122" s="10"/>
      <c r="Q122" s="10"/>
      <c r="S122" s="10"/>
      <c r="U122" s="10"/>
      <c r="W122" s="10"/>
      <c r="Y122" s="10"/>
      <c r="AA122" s="10"/>
      <c r="AC122" s="10"/>
      <c r="AE122" s="10"/>
      <c r="AG122" s="10"/>
      <c r="AI122" s="10"/>
      <c r="AK122" s="10"/>
      <c r="AM122" s="10"/>
      <c r="AO122" s="10"/>
      <c r="AQ122" s="10"/>
      <c r="AS122" s="10"/>
      <c r="AU122" s="10"/>
      <c r="AW122" s="10"/>
    </row>
    <row r="123" spans="1:49" ht="14.25" customHeight="1" x14ac:dyDescent="0.2">
      <c r="A123" s="9"/>
      <c r="B123" s="9"/>
      <c r="C123" s="9"/>
      <c r="E123" s="10"/>
      <c r="G123" s="10"/>
      <c r="I123" s="10"/>
      <c r="K123" s="10"/>
      <c r="M123" s="10"/>
      <c r="O123" s="10"/>
      <c r="Q123" s="10"/>
      <c r="S123" s="10"/>
      <c r="U123" s="10"/>
      <c r="W123" s="10"/>
      <c r="Y123" s="10"/>
      <c r="AA123" s="10"/>
      <c r="AC123" s="10"/>
      <c r="AE123" s="10"/>
      <c r="AG123" s="10"/>
      <c r="AI123" s="10"/>
      <c r="AK123" s="10"/>
      <c r="AM123" s="10"/>
      <c r="AO123" s="10"/>
      <c r="AQ123" s="10"/>
      <c r="AS123" s="10"/>
      <c r="AU123" s="10"/>
      <c r="AW123" s="10"/>
    </row>
    <row r="124" spans="1:49" ht="14.25" customHeight="1" x14ac:dyDescent="0.2">
      <c r="A124" s="9"/>
      <c r="B124" s="9"/>
      <c r="C124" s="9"/>
      <c r="E124" s="10"/>
      <c r="G124" s="10"/>
      <c r="I124" s="10"/>
      <c r="K124" s="10"/>
      <c r="M124" s="10"/>
      <c r="O124" s="10"/>
      <c r="Q124" s="10"/>
      <c r="S124" s="10"/>
      <c r="U124" s="10"/>
      <c r="W124" s="10"/>
      <c r="Y124" s="10"/>
      <c r="AA124" s="10"/>
      <c r="AC124" s="10"/>
      <c r="AE124" s="10"/>
      <c r="AG124" s="10"/>
      <c r="AI124" s="10"/>
      <c r="AK124" s="10"/>
      <c r="AM124" s="10"/>
      <c r="AO124" s="10"/>
      <c r="AQ124" s="10"/>
      <c r="AS124" s="10"/>
      <c r="AU124" s="10"/>
      <c r="AW124" s="10"/>
    </row>
    <row r="125" spans="1:49" ht="14.25" customHeight="1" x14ac:dyDescent="0.2">
      <c r="A125" s="9"/>
      <c r="B125" s="9"/>
      <c r="C125" s="9"/>
      <c r="E125" s="10"/>
      <c r="G125" s="10"/>
      <c r="I125" s="10"/>
      <c r="K125" s="10"/>
      <c r="M125" s="10"/>
      <c r="O125" s="10"/>
      <c r="Q125" s="10"/>
      <c r="S125" s="10"/>
      <c r="U125" s="10"/>
      <c r="W125" s="10"/>
      <c r="Y125" s="10"/>
      <c r="AA125" s="10"/>
      <c r="AC125" s="10"/>
      <c r="AE125" s="10"/>
      <c r="AG125" s="10"/>
      <c r="AI125" s="10"/>
      <c r="AK125" s="10"/>
      <c r="AM125" s="10"/>
      <c r="AO125" s="10"/>
      <c r="AQ125" s="10"/>
      <c r="AS125" s="10"/>
      <c r="AU125" s="10"/>
      <c r="AW125" s="10"/>
    </row>
    <row r="126" spans="1:49" ht="14.25" customHeight="1" x14ac:dyDescent="0.2">
      <c r="A126" s="9"/>
      <c r="B126" s="9"/>
      <c r="C126" s="9"/>
      <c r="E126" s="10"/>
      <c r="G126" s="10"/>
      <c r="I126" s="10"/>
      <c r="K126" s="10"/>
      <c r="M126" s="10"/>
      <c r="O126" s="10"/>
      <c r="Q126" s="10"/>
      <c r="S126" s="10"/>
      <c r="U126" s="10"/>
      <c r="W126" s="10"/>
      <c r="Y126" s="10"/>
      <c r="AA126" s="10"/>
      <c r="AC126" s="10"/>
      <c r="AE126" s="10"/>
      <c r="AG126" s="10"/>
      <c r="AI126" s="10"/>
      <c r="AK126" s="10"/>
      <c r="AM126" s="10"/>
      <c r="AO126" s="10"/>
      <c r="AQ126" s="10"/>
      <c r="AS126" s="10"/>
      <c r="AU126" s="10"/>
      <c r="AW126" s="10"/>
    </row>
    <row r="127" spans="1:49" ht="14.25" customHeight="1" x14ac:dyDescent="0.2">
      <c r="A127" s="9"/>
      <c r="B127" s="9"/>
      <c r="C127" s="9"/>
      <c r="E127" s="10"/>
      <c r="G127" s="10"/>
      <c r="I127" s="10"/>
      <c r="K127" s="10"/>
      <c r="M127" s="10"/>
      <c r="O127" s="10"/>
      <c r="Q127" s="10"/>
      <c r="S127" s="10"/>
      <c r="U127" s="10"/>
      <c r="W127" s="10"/>
      <c r="Y127" s="10"/>
      <c r="AA127" s="10"/>
      <c r="AC127" s="10"/>
      <c r="AE127" s="10"/>
      <c r="AG127" s="10"/>
      <c r="AI127" s="10"/>
      <c r="AK127" s="10"/>
      <c r="AM127" s="10"/>
      <c r="AO127" s="10"/>
      <c r="AQ127" s="10"/>
      <c r="AS127" s="10"/>
      <c r="AU127" s="10"/>
      <c r="AW127" s="10"/>
    </row>
    <row r="128" spans="1:49" ht="14.25" customHeight="1" x14ac:dyDescent="0.2">
      <c r="A128" s="9"/>
      <c r="B128" s="9"/>
      <c r="C128" s="9"/>
      <c r="E128" s="10"/>
      <c r="G128" s="10"/>
      <c r="I128" s="10"/>
      <c r="K128" s="10"/>
      <c r="M128" s="10"/>
      <c r="O128" s="10"/>
      <c r="Q128" s="10"/>
      <c r="S128" s="10"/>
      <c r="U128" s="10"/>
      <c r="W128" s="10"/>
      <c r="Y128" s="10"/>
      <c r="AA128" s="10"/>
      <c r="AC128" s="10"/>
      <c r="AE128" s="10"/>
      <c r="AG128" s="10"/>
      <c r="AI128" s="10"/>
      <c r="AK128" s="10"/>
      <c r="AM128" s="10"/>
      <c r="AO128" s="10"/>
      <c r="AQ128" s="10"/>
      <c r="AS128" s="10"/>
      <c r="AU128" s="10"/>
      <c r="AW128" s="10"/>
    </row>
    <row r="129" spans="1:49" ht="14.25" customHeight="1" x14ac:dyDescent="0.2">
      <c r="A129" s="9"/>
      <c r="B129" s="9"/>
      <c r="C129" s="9"/>
      <c r="E129" s="10"/>
      <c r="G129" s="10"/>
      <c r="I129" s="10"/>
      <c r="K129" s="10"/>
      <c r="M129" s="10"/>
      <c r="O129" s="10"/>
      <c r="Q129" s="10"/>
      <c r="S129" s="10"/>
      <c r="U129" s="10"/>
      <c r="W129" s="10"/>
      <c r="Y129" s="10"/>
      <c r="AA129" s="10"/>
      <c r="AC129" s="10"/>
      <c r="AE129" s="10"/>
      <c r="AG129" s="10"/>
      <c r="AI129" s="10"/>
      <c r="AK129" s="10"/>
      <c r="AM129" s="10"/>
      <c r="AO129" s="10"/>
      <c r="AQ129" s="10"/>
      <c r="AS129" s="10"/>
      <c r="AU129" s="10"/>
      <c r="AW129" s="10"/>
    </row>
    <row r="130" spans="1:49" ht="14.25" customHeight="1" x14ac:dyDescent="0.2">
      <c r="A130" s="9"/>
      <c r="B130" s="9"/>
      <c r="C130" s="9"/>
      <c r="E130" s="10"/>
      <c r="G130" s="10"/>
      <c r="I130" s="10"/>
      <c r="K130" s="10"/>
      <c r="M130" s="10"/>
      <c r="O130" s="10"/>
      <c r="Q130" s="10"/>
      <c r="S130" s="10"/>
      <c r="U130" s="10"/>
      <c r="W130" s="10"/>
      <c r="Y130" s="10"/>
      <c r="AA130" s="10"/>
      <c r="AC130" s="10"/>
      <c r="AE130" s="10"/>
      <c r="AG130" s="10"/>
      <c r="AI130" s="10"/>
      <c r="AK130" s="10"/>
      <c r="AM130" s="10"/>
      <c r="AO130" s="10"/>
      <c r="AQ130" s="10"/>
      <c r="AS130" s="10"/>
      <c r="AU130" s="10"/>
      <c r="AW130" s="10"/>
    </row>
    <row r="131" spans="1:49" ht="14.25" customHeight="1" x14ac:dyDescent="0.2">
      <c r="A131" s="9"/>
      <c r="B131" s="9"/>
      <c r="C131" s="9"/>
      <c r="E131" s="10"/>
      <c r="G131" s="10"/>
      <c r="I131" s="10"/>
      <c r="K131" s="10"/>
      <c r="M131" s="10"/>
      <c r="O131" s="10"/>
      <c r="Q131" s="10"/>
      <c r="S131" s="10"/>
      <c r="U131" s="10"/>
      <c r="W131" s="10"/>
      <c r="Y131" s="10"/>
      <c r="AA131" s="10"/>
      <c r="AC131" s="10"/>
      <c r="AE131" s="10"/>
      <c r="AG131" s="10"/>
      <c r="AI131" s="10"/>
      <c r="AK131" s="10"/>
      <c r="AM131" s="10"/>
      <c r="AO131" s="10"/>
      <c r="AQ131" s="10"/>
      <c r="AS131" s="10"/>
      <c r="AU131" s="10"/>
      <c r="AW131" s="10"/>
    </row>
    <row r="132" spans="1:49" ht="14.25" customHeight="1" x14ac:dyDescent="0.2">
      <c r="A132" s="9"/>
      <c r="B132" s="9"/>
      <c r="C132" s="9"/>
      <c r="E132" s="10"/>
      <c r="G132" s="10"/>
      <c r="I132" s="10"/>
      <c r="K132" s="10"/>
      <c r="M132" s="10"/>
      <c r="O132" s="10"/>
      <c r="Q132" s="10"/>
      <c r="S132" s="10"/>
      <c r="U132" s="10"/>
      <c r="W132" s="10"/>
      <c r="Y132" s="10"/>
      <c r="AA132" s="10"/>
      <c r="AC132" s="10"/>
      <c r="AE132" s="10"/>
      <c r="AG132" s="10"/>
      <c r="AI132" s="10"/>
      <c r="AK132" s="10"/>
      <c r="AM132" s="10"/>
      <c r="AO132" s="10"/>
      <c r="AQ132" s="10"/>
      <c r="AS132" s="10"/>
      <c r="AU132" s="10"/>
      <c r="AW132" s="10"/>
    </row>
    <row r="133" spans="1:49" ht="14.25" customHeight="1" x14ac:dyDescent="0.2">
      <c r="A133" s="9"/>
      <c r="B133" s="9"/>
      <c r="C133" s="9"/>
      <c r="E133" s="10"/>
      <c r="G133" s="10"/>
      <c r="I133" s="10"/>
      <c r="K133" s="10"/>
      <c r="M133" s="10"/>
      <c r="O133" s="10"/>
      <c r="Q133" s="10"/>
      <c r="S133" s="10"/>
      <c r="U133" s="10"/>
      <c r="W133" s="10"/>
      <c r="Y133" s="10"/>
      <c r="AA133" s="10"/>
      <c r="AC133" s="10"/>
      <c r="AE133" s="10"/>
      <c r="AG133" s="10"/>
      <c r="AI133" s="10"/>
      <c r="AK133" s="10"/>
      <c r="AM133" s="10"/>
      <c r="AO133" s="10"/>
      <c r="AQ133" s="10"/>
      <c r="AS133" s="10"/>
      <c r="AU133" s="10"/>
      <c r="AW133" s="10"/>
    </row>
    <row r="134" spans="1:49" ht="14.25" customHeight="1" x14ac:dyDescent="0.2">
      <c r="A134" s="9"/>
      <c r="B134" s="9"/>
      <c r="C134" s="9"/>
      <c r="E134" s="10"/>
      <c r="G134" s="10"/>
      <c r="I134" s="10"/>
      <c r="K134" s="10"/>
      <c r="M134" s="10"/>
      <c r="O134" s="10"/>
      <c r="Q134" s="10"/>
      <c r="S134" s="10"/>
      <c r="U134" s="10"/>
      <c r="W134" s="10"/>
      <c r="Y134" s="10"/>
      <c r="AA134" s="10"/>
      <c r="AC134" s="10"/>
      <c r="AE134" s="10"/>
      <c r="AG134" s="10"/>
      <c r="AI134" s="10"/>
      <c r="AK134" s="10"/>
      <c r="AM134" s="10"/>
      <c r="AO134" s="10"/>
      <c r="AQ134" s="10"/>
      <c r="AS134" s="10"/>
      <c r="AU134" s="10"/>
      <c r="AW134" s="10"/>
    </row>
    <row r="135" spans="1:49" ht="14.25" customHeight="1" x14ac:dyDescent="0.2">
      <c r="A135" s="9"/>
      <c r="B135" s="9"/>
      <c r="C135" s="9"/>
      <c r="E135" s="10"/>
      <c r="G135" s="10"/>
      <c r="I135" s="10"/>
      <c r="K135" s="10"/>
      <c r="M135" s="10"/>
      <c r="O135" s="10"/>
      <c r="Q135" s="10"/>
      <c r="S135" s="10"/>
      <c r="U135" s="10"/>
      <c r="W135" s="10"/>
      <c r="Y135" s="10"/>
      <c r="AA135" s="10"/>
      <c r="AC135" s="10"/>
      <c r="AE135" s="10"/>
      <c r="AG135" s="10"/>
      <c r="AI135" s="10"/>
      <c r="AK135" s="10"/>
      <c r="AM135" s="10"/>
      <c r="AO135" s="10"/>
      <c r="AQ135" s="10"/>
      <c r="AS135" s="10"/>
      <c r="AU135" s="10"/>
      <c r="AW135" s="10"/>
    </row>
    <row r="136" spans="1:49" ht="14.25" customHeight="1" x14ac:dyDescent="0.2">
      <c r="A136" s="9"/>
      <c r="B136" s="9"/>
      <c r="C136" s="9"/>
      <c r="E136" s="10"/>
      <c r="G136" s="10"/>
      <c r="I136" s="10"/>
      <c r="K136" s="10"/>
      <c r="M136" s="10"/>
      <c r="O136" s="10"/>
      <c r="Q136" s="10"/>
      <c r="S136" s="10"/>
      <c r="U136" s="10"/>
      <c r="W136" s="10"/>
      <c r="Y136" s="10"/>
      <c r="AA136" s="10"/>
      <c r="AC136" s="10"/>
      <c r="AE136" s="10"/>
      <c r="AG136" s="10"/>
      <c r="AI136" s="10"/>
      <c r="AK136" s="10"/>
      <c r="AM136" s="10"/>
      <c r="AO136" s="10"/>
      <c r="AQ136" s="10"/>
      <c r="AS136" s="10"/>
      <c r="AU136" s="10"/>
      <c r="AW136" s="10"/>
    </row>
    <row r="137" spans="1:49" ht="14.25" customHeight="1" x14ac:dyDescent="0.2">
      <c r="A137" s="9"/>
      <c r="B137" s="9"/>
      <c r="C137" s="9"/>
      <c r="E137" s="10"/>
      <c r="G137" s="10"/>
      <c r="I137" s="10"/>
      <c r="K137" s="10"/>
      <c r="M137" s="10"/>
      <c r="O137" s="10"/>
      <c r="Q137" s="10"/>
      <c r="S137" s="10"/>
      <c r="U137" s="10"/>
      <c r="W137" s="10"/>
      <c r="Y137" s="10"/>
      <c r="AA137" s="10"/>
      <c r="AC137" s="10"/>
      <c r="AE137" s="10"/>
      <c r="AG137" s="10"/>
      <c r="AI137" s="10"/>
      <c r="AK137" s="10"/>
      <c r="AM137" s="10"/>
      <c r="AO137" s="10"/>
      <c r="AQ137" s="10"/>
      <c r="AS137" s="10"/>
      <c r="AU137" s="10"/>
      <c r="AW137" s="10"/>
    </row>
    <row r="138" spans="1:49" ht="14.25" customHeight="1" x14ac:dyDescent="0.2">
      <c r="A138" s="9"/>
      <c r="B138" s="9"/>
      <c r="C138" s="9"/>
      <c r="E138" s="10"/>
      <c r="G138" s="10"/>
      <c r="I138" s="10"/>
      <c r="K138" s="10"/>
      <c r="M138" s="10"/>
      <c r="O138" s="10"/>
      <c r="Q138" s="10"/>
      <c r="S138" s="10"/>
      <c r="U138" s="10"/>
      <c r="W138" s="10"/>
      <c r="Y138" s="10"/>
      <c r="AA138" s="10"/>
      <c r="AC138" s="10"/>
      <c r="AE138" s="10"/>
      <c r="AG138" s="10"/>
      <c r="AI138" s="10"/>
      <c r="AK138" s="10"/>
      <c r="AM138" s="10"/>
      <c r="AO138" s="10"/>
      <c r="AQ138" s="10"/>
      <c r="AS138" s="10"/>
      <c r="AU138" s="10"/>
      <c r="AW138" s="10"/>
    </row>
    <row r="139" spans="1:49" ht="14.25" customHeight="1" x14ac:dyDescent="0.2">
      <c r="A139" s="9"/>
      <c r="B139" s="9"/>
      <c r="C139" s="9"/>
      <c r="E139" s="10"/>
      <c r="G139" s="10"/>
      <c r="I139" s="10"/>
      <c r="K139" s="10"/>
      <c r="M139" s="10"/>
      <c r="O139" s="10"/>
      <c r="Q139" s="10"/>
      <c r="S139" s="10"/>
      <c r="U139" s="10"/>
      <c r="W139" s="10"/>
      <c r="Y139" s="10"/>
      <c r="AA139" s="10"/>
      <c r="AC139" s="10"/>
      <c r="AE139" s="10"/>
      <c r="AG139" s="10"/>
      <c r="AI139" s="10"/>
      <c r="AK139" s="10"/>
      <c r="AM139" s="10"/>
      <c r="AO139" s="10"/>
      <c r="AQ139" s="10"/>
      <c r="AS139" s="10"/>
      <c r="AU139" s="10"/>
      <c r="AW139" s="10"/>
    </row>
    <row r="140" spans="1:49" ht="14.25" customHeight="1" x14ac:dyDescent="0.2">
      <c r="A140" s="9"/>
      <c r="B140" s="9"/>
      <c r="C140" s="9"/>
      <c r="E140" s="10"/>
      <c r="G140" s="10"/>
      <c r="I140" s="10"/>
      <c r="K140" s="10"/>
      <c r="M140" s="10"/>
      <c r="O140" s="10"/>
      <c r="Q140" s="10"/>
      <c r="S140" s="10"/>
      <c r="U140" s="10"/>
      <c r="W140" s="10"/>
      <c r="Y140" s="10"/>
      <c r="AA140" s="10"/>
      <c r="AC140" s="10"/>
      <c r="AE140" s="10"/>
      <c r="AG140" s="10"/>
      <c r="AI140" s="10"/>
      <c r="AK140" s="10"/>
      <c r="AM140" s="10"/>
      <c r="AO140" s="10"/>
      <c r="AQ140" s="10"/>
      <c r="AS140" s="10"/>
      <c r="AU140" s="10"/>
      <c r="AW140" s="10"/>
    </row>
    <row r="141" spans="1:49" ht="14.25" customHeight="1" x14ac:dyDescent="0.2">
      <c r="A141" s="9"/>
      <c r="B141" s="9"/>
      <c r="C141" s="9"/>
      <c r="E141" s="10"/>
      <c r="G141" s="10"/>
      <c r="I141" s="10"/>
      <c r="K141" s="10"/>
      <c r="M141" s="10"/>
      <c r="O141" s="10"/>
      <c r="Q141" s="10"/>
      <c r="S141" s="10"/>
      <c r="U141" s="10"/>
      <c r="W141" s="10"/>
      <c r="Y141" s="10"/>
      <c r="AA141" s="10"/>
      <c r="AC141" s="10"/>
      <c r="AE141" s="10"/>
      <c r="AG141" s="10"/>
      <c r="AI141" s="10"/>
      <c r="AK141" s="10"/>
      <c r="AM141" s="10"/>
      <c r="AO141" s="10"/>
      <c r="AQ141" s="10"/>
      <c r="AS141" s="10"/>
      <c r="AU141" s="10"/>
      <c r="AW141" s="10"/>
    </row>
    <row r="142" spans="1:49" ht="14.25" customHeight="1" x14ac:dyDescent="0.2">
      <c r="A142" s="9"/>
      <c r="B142" s="9"/>
      <c r="C142" s="9"/>
      <c r="E142" s="10"/>
      <c r="G142" s="10"/>
      <c r="I142" s="10"/>
      <c r="K142" s="10"/>
      <c r="M142" s="10"/>
      <c r="O142" s="10"/>
      <c r="Q142" s="10"/>
      <c r="S142" s="10"/>
      <c r="U142" s="10"/>
      <c r="W142" s="10"/>
      <c r="Y142" s="10"/>
      <c r="AA142" s="10"/>
      <c r="AC142" s="10"/>
      <c r="AE142" s="10"/>
      <c r="AG142" s="10"/>
      <c r="AI142" s="10"/>
      <c r="AK142" s="10"/>
      <c r="AM142" s="10"/>
      <c r="AO142" s="10"/>
      <c r="AQ142" s="10"/>
      <c r="AS142" s="10"/>
      <c r="AU142" s="10"/>
      <c r="AW142" s="10"/>
    </row>
    <row r="143" spans="1:49" ht="14.25" customHeight="1" x14ac:dyDescent="0.2">
      <c r="A143" s="9"/>
      <c r="B143" s="9"/>
      <c r="C143" s="9"/>
      <c r="E143" s="10"/>
      <c r="G143" s="10"/>
      <c r="I143" s="10"/>
      <c r="K143" s="10"/>
      <c r="M143" s="10"/>
      <c r="O143" s="10"/>
      <c r="Q143" s="10"/>
      <c r="S143" s="10"/>
      <c r="U143" s="10"/>
      <c r="W143" s="10"/>
      <c r="Y143" s="10"/>
      <c r="AA143" s="10"/>
      <c r="AC143" s="10"/>
      <c r="AE143" s="10"/>
      <c r="AG143" s="10"/>
      <c r="AI143" s="10"/>
      <c r="AK143" s="10"/>
      <c r="AM143" s="10"/>
      <c r="AO143" s="10"/>
      <c r="AQ143" s="10"/>
      <c r="AS143" s="10"/>
      <c r="AU143" s="10"/>
      <c r="AW143" s="10"/>
    </row>
    <row r="144" spans="1:49" ht="14.25" customHeight="1" x14ac:dyDescent="0.2">
      <c r="A144" s="9"/>
      <c r="B144" s="9"/>
      <c r="C144" s="9"/>
      <c r="E144" s="10"/>
      <c r="G144" s="10"/>
      <c r="I144" s="10"/>
      <c r="K144" s="10"/>
      <c r="M144" s="10"/>
      <c r="O144" s="10"/>
      <c r="Q144" s="10"/>
      <c r="S144" s="10"/>
      <c r="U144" s="10"/>
      <c r="W144" s="10"/>
      <c r="Y144" s="10"/>
      <c r="AA144" s="10"/>
      <c r="AC144" s="10"/>
      <c r="AE144" s="10"/>
      <c r="AG144" s="10"/>
      <c r="AI144" s="10"/>
      <c r="AK144" s="10"/>
      <c r="AM144" s="10"/>
      <c r="AO144" s="10"/>
      <c r="AQ144" s="10"/>
      <c r="AS144" s="10"/>
      <c r="AU144" s="10"/>
      <c r="AW144" s="10"/>
    </row>
    <row r="145" spans="1:49" ht="14.25" customHeight="1" x14ac:dyDescent="0.2">
      <c r="A145" s="9"/>
      <c r="B145" s="9"/>
      <c r="C145" s="9"/>
      <c r="E145" s="10"/>
      <c r="G145" s="10"/>
      <c r="I145" s="10"/>
      <c r="K145" s="10"/>
      <c r="M145" s="10"/>
      <c r="O145" s="10"/>
      <c r="Q145" s="10"/>
      <c r="S145" s="10"/>
      <c r="U145" s="10"/>
      <c r="W145" s="10"/>
      <c r="Y145" s="10"/>
      <c r="AA145" s="10"/>
      <c r="AC145" s="10"/>
      <c r="AE145" s="10"/>
      <c r="AG145" s="10"/>
      <c r="AI145" s="10"/>
      <c r="AK145" s="10"/>
      <c r="AM145" s="10"/>
      <c r="AO145" s="10"/>
      <c r="AQ145" s="10"/>
      <c r="AS145" s="10"/>
      <c r="AU145" s="10"/>
      <c r="AW145" s="10"/>
    </row>
    <row r="146" spans="1:49" ht="14.25" customHeight="1" x14ac:dyDescent="0.2">
      <c r="A146" s="9"/>
      <c r="B146" s="9"/>
      <c r="C146" s="9"/>
      <c r="E146" s="10"/>
      <c r="G146" s="10"/>
      <c r="I146" s="10"/>
      <c r="K146" s="10"/>
      <c r="M146" s="10"/>
      <c r="O146" s="10"/>
      <c r="Q146" s="10"/>
      <c r="S146" s="10"/>
      <c r="U146" s="10"/>
      <c r="W146" s="10"/>
      <c r="Y146" s="10"/>
      <c r="AA146" s="10"/>
      <c r="AC146" s="10"/>
      <c r="AE146" s="10"/>
      <c r="AG146" s="10"/>
      <c r="AI146" s="10"/>
      <c r="AK146" s="10"/>
      <c r="AM146" s="10"/>
      <c r="AO146" s="10"/>
      <c r="AQ146" s="10"/>
      <c r="AS146" s="10"/>
      <c r="AU146" s="10"/>
      <c r="AW146" s="10"/>
    </row>
    <row r="147" spans="1:49" ht="14.25" customHeight="1" x14ac:dyDescent="0.2">
      <c r="A147" s="9"/>
      <c r="B147" s="9"/>
      <c r="C147" s="9"/>
      <c r="E147" s="10"/>
      <c r="G147" s="10"/>
      <c r="I147" s="10"/>
      <c r="K147" s="10"/>
      <c r="M147" s="10"/>
      <c r="O147" s="10"/>
      <c r="Q147" s="10"/>
      <c r="S147" s="10"/>
      <c r="U147" s="10"/>
      <c r="W147" s="10"/>
      <c r="Y147" s="10"/>
      <c r="AA147" s="10"/>
      <c r="AC147" s="10"/>
      <c r="AE147" s="10"/>
      <c r="AG147" s="10"/>
      <c r="AI147" s="10"/>
      <c r="AK147" s="10"/>
      <c r="AM147" s="10"/>
      <c r="AO147" s="10"/>
      <c r="AQ147" s="10"/>
      <c r="AS147" s="10"/>
      <c r="AU147" s="10"/>
      <c r="AW147" s="10"/>
    </row>
    <row r="148" spans="1:49" ht="14.25" customHeight="1" x14ac:dyDescent="0.2">
      <c r="A148" s="9"/>
      <c r="B148" s="9"/>
      <c r="C148" s="9"/>
      <c r="E148" s="10"/>
      <c r="G148" s="10"/>
      <c r="I148" s="10"/>
      <c r="K148" s="10"/>
      <c r="M148" s="10"/>
      <c r="O148" s="10"/>
      <c r="Q148" s="10"/>
      <c r="S148" s="10"/>
      <c r="U148" s="10"/>
      <c r="W148" s="10"/>
      <c r="Y148" s="10"/>
      <c r="AA148" s="10"/>
      <c r="AC148" s="10"/>
      <c r="AE148" s="10"/>
      <c r="AG148" s="10"/>
      <c r="AI148" s="10"/>
      <c r="AK148" s="10"/>
      <c r="AM148" s="10"/>
      <c r="AO148" s="10"/>
      <c r="AQ148" s="10"/>
      <c r="AS148" s="10"/>
      <c r="AU148" s="10"/>
      <c r="AW148" s="10"/>
    </row>
    <row r="149" spans="1:49" ht="14.25" customHeight="1" x14ac:dyDescent="0.2">
      <c r="A149" s="9"/>
      <c r="B149" s="9"/>
      <c r="C149" s="9"/>
      <c r="E149" s="10"/>
      <c r="G149" s="10"/>
      <c r="I149" s="10"/>
      <c r="K149" s="10"/>
      <c r="M149" s="10"/>
      <c r="O149" s="10"/>
      <c r="Q149" s="10"/>
      <c r="S149" s="10"/>
      <c r="U149" s="10"/>
      <c r="W149" s="10"/>
      <c r="Y149" s="10"/>
      <c r="AA149" s="10"/>
      <c r="AC149" s="10"/>
      <c r="AE149" s="10"/>
      <c r="AG149" s="10"/>
      <c r="AI149" s="10"/>
      <c r="AK149" s="10"/>
      <c r="AM149" s="10"/>
      <c r="AO149" s="10"/>
      <c r="AQ149" s="10"/>
      <c r="AS149" s="10"/>
      <c r="AU149" s="10"/>
      <c r="AW149" s="10"/>
    </row>
    <row r="150" spans="1:49" ht="14.25" customHeight="1" x14ac:dyDescent="0.2">
      <c r="A150" s="9"/>
      <c r="B150" s="9"/>
      <c r="C150" s="9"/>
      <c r="E150" s="10"/>
      <c r="G150" s="10"/>
      <c r="I150" s="10"/>
      <c r="K150" s="10"/>
      <c r="M150" s="10"/>
      <c r="O150" s="10"/>
      <c r="Q150" s="10"/>
      <c r="S150" s="10"/>
      <c r="U150" s="10"/>
      <c r="W150" s="10"/>
      <c r="Y150" s="10"/>
      <c r="AA150" s="10"/>
      <c r="AC150" s="10"/>
      <c r="AE150" s="10"/>
      <c r="AG150" s="10"/>
      <c r="AI150" s="10"/>
      <c r="AK150" s="10"/>
      <c r="AM150" s="10"/>
      <c r="AO150" s="10"/>
      <c r="AQ150" s="10"/>
      <c r="AS150" s="10"/>
      <c r="AU150" s="10"/>
      <c r="AW150" s="10"/>
    </row>
    <row r="151" spans="1:49" ht="14.25" customHeight="1" x14ac:dyDescent="0.2">
      <c r="A151" s="9"/>
      <c r="B151" s="9"/>
      <c r="C151" s="9"/>
      <c r="E151" s="10"/>
      <c r="G151" s="10"/>
      <c r="I151" s="10"/>
      <c r="K151" s="10"/>
      <c r="M151" s="10"/>
      <c r="O151" s="10"/>
      <c r="Q151" s="10"/>
      <c r="S151" s="10"/>
      <c r="U151" s="10"/>
      <c r="W151" s="10"/>
      <c r="Y151" s="10"/>
      <c r="AA151" s="10"/>
      <c r="AC151" s="10"/>
      <c r="AE151" s="10"/>
      <c r="AG151" s="10"/>
      <c r="AI151" s="10"/>
      <c r="AK151" s="10"/>
      <c r="AM151" s="10"/>
      <c r="AO151" s="10"/>
      <c r="AQ151" s="10"/>
      <c r="AS151" s="10"/>
      <c r="AU151" s="10"/>
      <c r="AW151" s="10"/>
    </row>
    <row r="152" spans="1:49" ht="14.25" customHeight="1" x14ac:dyDescent="0.2">
      <c r="A152" s="9"/>
      <c r="B152" s="9"/>
      <c r="C152" s="9"/>
      <c r="E152" s="10"/>
      <c r="G152" s="10"/>
      <c r="I152" s="10"/>
      <c r="K152" s="10"/>
      <c r="M152" s="10"/>
      <c r="O152" s="10"/>
      <c r="Q152" s="10"/>
      <c r="S152" s="10"/>
      <c r="U152" s="10"/>
      <c r="W152" s="10"/>
      <c r="Y152" s="10"/>
      <c r="AA152" s="10"/>
      <c r="AC152" s="10"/>
      <c r="AE152" s="10"/>
      <c r="AG152" s="10"/>
      <c r="AI152" s="10"/>
      <c r="AK152" s="10"/>
      <c r="AM152" s="10"/>
      <c r="AO152" s="10"/>
      <c r="AQ152" s="10"/>
      <c r="AS152" s="10"/>
      <c r="AU152" s="10"/>
      <c r="AW152" s="10"/>
    </row>
    <row r="153" spans="1:49" ht="14.25" customHeight="1" x14ac:dyDescent="0.2">
      <c r="A153" s="9"/>
      <c r="B153" s="9"/>
      <c r="C153" s="9"/>
      <c r="E153" s="10"/>
      <c r="G153" s="10"/>
      <c r="I153" s="10"/>
      <c r="K153" s="10"/>
      <c r="M153" s="10"/>
      <c r="O153" s="10"/>
      <c r="Q153" s="10"/>
      <c r="S153" s="10"/>
      <c r="U153" s="10"/>
      <c r="W153" s="10"/>
      <c r="Y153" s="10"/>
      <c r="AA153" s="10"/>
      <c r="AC153" s="10"/>
      <c r="AE153" s="10"/>
      <c r="AG153" s="10"/>
      <c r="AI153" s="10"/>
      <c r="AK153" s="10"/>
      <c r="AM153" s="10"/>
      <c r="AO153" s="10"/>
      <c r="AQ153" s="10"/>
      <c r="AS153" s="10"/>
      <c r="AU153" s="10"/>
      <c r="AW153" s="10"/>
    </row>
    <row r="154" spans="1:49" ht="14.25" customHeight="1" x14ac:dyDescent="0.2">
      <c r="A154" s="9"/>
      <c r="B154" s="9"/>
      <c r="C154" s="9"/>
      <c r="E154" s="10"/>
      <c r="G154" s="10"/>
      <c r="I154" s="10"/>
      <c r="K154" s="10"/>
      <c r="M154" s="10"/>
      <c r="O154" s="10"/>
      <c r="Q154" s="10"/>
      <c r="S154" s="10"/>
      <c r="U154" s="10"/>
      <c r="W154" s="10"/>
      <c r="Y154" s="10"/>
      <c r="AA154" s="10"/>
      <c r="AC154" s="10"/>
      <c r="AE154" s="10"/>
      <c r="AG154" s="10"/>
      <c r="AI154" s="10"/>
      <c r="AK154" s="10"/>
      <c r="AM154" s="10"/>
      <c r="AO154" s="10"/>
      <c r="AQ154" s="10"/>
      <c r="AS154" s="10"/>
      <c r="AU154" s="10"/>
      <c r="AW154" s="10"/>
    </row>
    <row r="155" spans="1:49" ht="14.25" customHeight="1" x14ac:dyDescent="0.2">
      <c r="A155" s="9"/>
      <c r="B155" s="9"/>
      <c r="C155" s="9"/>
      <c r="E155" s="10"/>
      <c r="G155" s="10"/>
      <c r="I155" s="10"/>
      <c r="K155" s="10"/>
      <c r="M155" s="10"/>
      <c r="O155" s="10"/>
      <c r="Q155" s="10"/>
      <c r="S155" s="10"/>
      <c r="U155" s="10"/>
      <c r="W155" s="10"/>
      <c r="Y155" s="10"/>
      <c r="AA155" s="10"/>
      <c r="AC155" s="10"/>
      <c r="AE155" s="10"/>
      <c r="AG155" s="10"/>
      <c r="AI155" s="10"/>
      <c r="AK155" s="10"/>
      <c r="AM155" s="10"/>
      <c r="AO155" s="10"/>
      <c r="AQ155" s="10"/>
      <c r="AS155" s="10"/>
      <c r="AU155" s="10"/>
      <c r="AW155" s="10"/>
    </row>
    <row r="156" spans="1:49" ht="14.25" customHeight="1" x14ac:dyDescent="0.2">
      <c r="A156" s="9"/>
      <c r="B156" s="9"/>
      <c r="C156" s="9"/>
      <c r="E156" s="10"/>
      <c r="G156" s="10"/>
      <c r="I156" s="10"/>
      <c r="K156" s="10"/>
      <c r="M156" s="10"/>
      <c r="O156" s="10"/>
      <c r="Q156" s="10"/>
      <c r="S156" s="10"/>
      <c r="U156" s="10"/>
      <c r="W156" s="10"/>
      <c r="Y156" s="10"/>
      <c r="AA156" s="10"/>
      <c r="AC156" s="10"/>
      <c r="AE156" s="10"/>
      <c r="AG156" s="10"/>
      <c r="AI156" s="10"/>
      <c r="AK156" s="10"/>
      <c r="AM156" s="10"/>
      <c r="AO156" s="10"/>
      <c r="AQ156" s="10"/>
      <c r="AS156" s="10"/>
      <c r="AU156" s="10"/>
      <c r="AW156" s="10"/>
    </row>
    <row r="157" spans="1:49" ht="14.25" customHeight="1" x14ac:dyDescent="0.2">
      <c r="A157" s="9"/>
      <c r="B157" s="9"/>
      <c r="C157" s="9"/>
      <c r="E157" s="10"/>
      <c r="G157" s="10"/>
      <c r="I157" s="10"/>
      <c r="K157" s="10"/>
      <c r="M157" s="10"/>
      <c r="O157" s="10"/>
      <c r="Q157" s="10"/>
      <c r="S157" s="10"/>
      <c r="U157" s="10"/>
      <c r="W157" s="10"/>
      <c r="Y157" s="10"/>
      <c r="AA157" s="10"/>
      <c r="AC157" s="10"/>
      <c r="AE157" s="10"/>
      <c r="AG157" s="10"/>
      <c r="AI157" s="10"/>
      <c r="AK157" s="10"/>
      <c r="AM157" s="10"/>
      <c r="AO157" s="10"/>
      <c r="AQ157" s="10"/>
      <c r="AS157" s="10"/>
      <c r="AU157" s="10"/>
      <c r="AW157" s="10"/>
    </row>
    <row r="158" spans="1:49" ht="14.25" customHeight="1" x14ac:dyDescent="0.2">
      <c r="A158" s="9"/>
      <c r="B158" s="9"/>
      <c r="C158" s="9"/>
      <c r="E158" s="10"/>
      <c r="G158" s="10"/>
      <c r="I158" s="10"/>
      <c r="K158" s="10"/>
      <c r="M158" s="10"/>
      <c r="O158" s="10"/>
      <c r="Q158" s="10"/>
      <c r="S158" s="10"/>
      <c r="U158" s="10"/>
      <c r="W158" s="10"/>
      <c r="Y158" s="10"/>
      <c r="AA158" s="10"/>
      <c r="AC158" s="10"/>
      <c r="AE158" s="10"/>
      <c r="AG158" s="10"/>
      <c r="AI158" s="10"/>
      <c r="AK158" s="10"/>
      <c r="AM158" s="10"/>
      <c r="AO158" s="10"/>
      <c r="AQ158" s="10"/>
      <c r="AS158" s="10"/>
      <c r="AU158" s="10"/>
      <c r="AW158" s="10"/>
    </row>
    <row r="159" spans="1:49" ht="14.25" customHeight="1" x14ac:dyDescent="0.2">
      <c r="A159" s="9"/>
      <c r="B159" s="9"/>
      <c r="C159" s="9"/>
      <c r="E159" s="10"/>
      <c r="G159" s="10"/>
      <c r="I159" s="10"/>
      <c r="K159" s="10"/>
      <c r="M159" s="10"/>
      <c r="O159" s="10"/>
      <c r="Q159" s="10"/>
      <c r="S159" s="10"/>
      <c r="U159" s="10"/>
      <c r="W159" s="10"/>
      <c r="Y159" s="10"/>
      <c r="AA159" s="10"/>
      <c r="AC159" s="10"/>
      <c r="AE159" s="10"/>
      <c r="AG159" s="10"/>
      <c r="AI159" s="10"/>
      <c r="AK159" s="10"/>
      <c r="AM159" s="10"/>
      <c r="AO159" s="10"/>
      <c r="AQ159" s="10"/>
      <c r="AS159" s="10"/>
      <c r="AU159" s="10"/>
      <c r="AW159" s="10"/>
    </row>
    <row r="160" spans="1:49" ht="14.25" customHeight="1" x14ac:dyDescent="0.2">
      <c r="A160" s="9"/>
      <c r="B160" s="9"/>
      <c r="C160" s="9"/>
      <c r="E160" s="10"/>
      <c r="G160" s="10"/>
      <c r="I160" s="10"/>
      <c r="K160" s="10"/>
      <c r="M160" s="10"/>
      <c r="O160" s="10"/>
      <c r="Q160" s="10"/>
      <c r="S160" s="10"/>
      <c r="U160" s="10"/>
      <c r="W160" s="10"/>
      <c r="Y160" s="10"/>
      <c r="AA160" s="10"/>
      <c r="AC160" s="10"/>
      <c r="AE160" s="10"/>
      <c r="AG160" s="10"/>
      <c r="AI160" s="10"/>
      <c r="AK160" s="10"/>
      <c r="AM160" s="10"/>
      <c r="AO160" s="10"/>
      <c r="AQ160" s="10"/>
      <c r="AS160" s="10"/>
      <c r="AU160" s="10"/>
      <c r="AW160" s="10"/>
    </row>
    <row r="161" spans="1:49" ht="14.25" customHeight="1" x14ac:dyDescent="0.2">
      <c r="A161" s="9"/>
      <c r="B161" s="9"/>
      <c r="C161" s="9"/>
      <c r="E161" s="10"/>
      <c r="G161" s="10"/>
      <c r="I161" s="10"/>
      <c r="K161" s="10"/>
      <c r="M161" s="10"/>
      <c r="O161" s="10"/>
      <c r="Q161" s="10"/>
      <c r="S161" s="10"/>
      <c r="U161" s="10"/>
      <c r="W161" s="10"/>
      <c r="Y161" s="10"/>
      <c r="AA161" s="10"/>
      <c r="AC161" s="10"/>
      <c r="AE161" s="10"/>
      <c r="AG161" s="10"/>
      <c r="AI161" s="10"/>
      <c r="AK161" s="10"/>
      <c r="AM161" s="10"/>
      <c r="AO161" s="10"/>
      <c r="AQ161" s="10"/>
      <c r="AS161" s="10"/>
      <c r="AU161" s="10"/>
      <c r="AW161" s="10"/>
    </row>
    <row r="162" spans="1:49" ht="14.25" customHeight="1" x14ac:dyDescent="0.2">
      <c r="A162" s="9"/>
      <c r="B162" s="9"/>
      <c r="C162" s="9"/>
      <c r="E162" s="10"/>
      <c r="G162" s="10"/>
      <c r="I162" s="10"/>
      <c r="K162" s="10"/>
      <c r="M162" s="10"/>
      <c r="O162" s="10"/>
      <c r="Q162" s="10"/>
      <c r="S162" s="10"/>
      <c r="U162" s="10"/>
      <c r="W162" s="10"/>
      <c r="Y162" s="10"/>
      <c r="AA162" s="10"/>
      <c r="AC162" s="10"/>
      <c r="AE162" s="10"/>
      <c r="AG162" s="10"/>
      <c r="AI162" s="10"/>
      <c r="AK162" s="10"/>
      <c r="AM162" s="10"/>
      <c r="AO162" s="10"/>
      <c r="AQ162" s="10"/>
      <c r="AS162" s="10"/>
      <c r="AU162" s="10"/>
      <c r="AW162" s="10"/>
    </row>
    <row r="163" spans="1:49" ht="14.25" customHeight="1" x14ac:dyDescent="0.2">
      <c r="A163" s="9"/>
      <c r="B163" s="9"/>
      <c r="C163" s="9"/>
      <c r="E163" s="10"/>
      <c r="G163" s="10"/>
      <c r="I163" s="10"/>
      <c r="K163" s="10"/>
      <c r="M163" s="10"/>
      <c r="O163" s="10"/>
      <c r="Q163" s="10"/>
      <c r="S163" s="10"/>
      <c r="U163" s="10"/>
      <c r="W163" s="10"/>
      <c r="Y163" s="10"/>
      <c r="AA163" s="10"/>
      <c r="AC163" s="10"/>
      <c r="AE163" s="10"/>
      <c r="AG163" s="10"/>
      <c r="AI163" s="10"/>
      <c r="AK163" s="10"/>
      <c r="AM163" s="10"/>
      <c r="AO163" s="10"/>
      <c r="AQ163" s="10"/>
      <c r="AS163" s="10"/>
      <c r="AU163" s="10"/>
      <c r="AW163" s="10"/>
    </row>
    <row r="164" spans="1:49" ht="14.25" customHeight="1" x14ac:dyDescent="0.2">
      <c r="A164" s="9"/>
      <c r="B164" s="9"/>
      <c r="C164" s="9"/>
      <c r="E164" s="10"/>
      <c r="G164" s="10"/>
      <c r="I164" s="10"/>
      <c r="K164" s="10"/>
      <c r="M164" s="10"/>
      <c r="O164" s="10"/>
      <c r="Q164" s="10"/>
      <c r="S164" s="10"/>
      <c r="U164" s="10"/>
      <c r="W164" s="10"/>
      <c r="Y164" s="10"/>
      <c r="AA164" s="10"/>
      <c r="AC164" s="10"/>
      <c r="AE164" s="10"/>
      <c r="AG164" s="10"/>
      <c r="AI164" s="10"/>
      <c r="AK164" s="10"/>
      <c r="AM164" s="10"/>
      <c r="AO164" s="10"/>
      <c r="AQ164" s="10"/>
      <c r="AS164" s="10"/>
      <c r="AU164" s="10"/>
      <c r="AW164" s="10"/>
    </row>
    <row r="165" spans="1:49" ht="14.25" customHeight="1" x14ac:dyDescent="0.2">
      <c r="A165" s="9"/>
      <c r="B165" s="9"/>
      <c r="C165" s="9"/>
      <c r="E165" s="10"/>
      <c r="G165" s="10"/>
      <c r="I165" s="10"/>
      <c r="K165" s="10"/>
      <c r="M165" s="10"/>
      <c r="O165" s="10"/>
      <c r="Q165" s="10"/>
      <c r="S165" s="10"/>
      <c r="U165" s="10"/>
      <c r="W165" s="10"/>
      <c r="Y165" s="10"/>
      <c r="AA165" s="10"/>
      <c r="AC165" s="10"/>
      <c r="AE165" s="10"/>
      <c r="AG165" s="10"/>
      <c r="AI165" s="10"/>
      <c r="AK165" s="10"/>
      <c r="AM165" s="10"/>
      <c r="AO165" s="10"/>
      <c r="AQ165" s="10"/>
      <c r="AS165" s="10"/>
      <c r="AU165" s="10"/>
      <c r="AW165" s="10"/>
    </row>
    <row r="166" spans="1:49" ht="14.25" customHeight="1" x14ac:dyDescent="0.2">
      <c r="A166" s="9"/>
      <c r="B166" s="9"/>
      <c r="C166" s="9"/>
      <c r="E166" s="10"/>
      <c r="G166" s="10"/>
      <c r="I166" s="10"/>
      <c r="K166" s="10"/>
      <c r="M166" s="10"/>
      <c r="O166" s="10"/>
      <c r="Q166" s="10"/>
      <c r="S166" s="10"/>
      <c r="U166" s="10"/>
      <c r="W166" s="10"/>
      <c r="Y166" s="10"/>
      <c r="AA166" s="10"/>
      <c r="AC166" s="10"/>
      <c r="AE166" s="10"/>
      <c r="AG166" s="10"/>
      <c r="AI166" s="10"/>
      <c r="AK166" s="10"/>
      <c r="AM166" s="10"/>
      <c r="AO166" s="10"/>
      <c r="AQ166" s="10"/>
      <c r="AS166" s="10"/>
      <c r="AU166" s="10"/>
      <c r="AW166" s="10"/>
    </row>
    <row r="167" spans="1:49" ht="14.25" customHeight="1" x14ac:dyDescent="0.2">
      <c r="A167" s="9"/>
      <c r="B167" s="9"/>
      <c r="C167" s="9"/>
      <c r="E167" s="10"/>
      <c r="G167" s="10"/>
      <c r="I167" s="10"/>
      <c r="K167" s="10"/>
      <c r="M167" s="10"/>
      <c r="O167" s="10"/>
      <c r="Q167" s="10"/>
      <c r="S167" s="10"/>
      <c r="U167" s="10"/>
      <c r="W167" s="10"/>
      <c r="Y167" s="10"/>
      <c r="AA167" s="10"/>
      <c r="AC167" s="10"/>
      <c r="AE167" s="10"/>
      <c r="AG167" s="10"/>
      <c r="AI167" s="10"/>
      <c r="AK167" s="10"/>
      <c r="AM167" s="10"/>
      <c r="AO167" s="10"/>
      <c r="AQ167" s="10"/>
      <c r="AS167" s="10"/>
      <c r="AU167" s="10"/>
      <c r="AW167" s="10"/>
    </row>
    <row r="168" spans="1:49" ht="14.25" customHeight="1" x14ac:dyDescent="0.2">
      <c r="A168" s="9"/>
      <c r="B168" s="9"/>
      <c r="C168" s="9"/>
      <c r="E168" s="10"/>
      <c r="G168" s="10"/>
      <c r="I168" s="10"/>
      <c r="K168" s="10"/>
      <c r="M168" s="10"/>
      <c r="O168" s="10"/>
      <c r="Q168" s="10"/>
      <c r="S168" s="10"/>
      <c r="U168" s="10"/>
      <c r="W168" s="10"/>
      <c r="Y168" s="10"/>
      <c r="AA168" s="10"/>
      <c r="AC168" s="10"/>
      <c r="AE168" s="10"/>
      <c r="AG168" s="10"/>
      <c r="AI168" s="10"/>
      <c r="AK168" s="10"/>
      <c r="AM168" s="10"/>
      <c r="AO168" s="10"/>
      <c r="AQ168" s="10"/>
      <c r="AS168" s="10"/>
      <c r="AU168" s="10"/>
      <c r="AW168" s="10"/>
    </row>
    <row r="169" spans="1:49" ht="14.25" customHeight="1" x14ac:dyDescent="0.2">
      <c r="A169" s="9"/>
      <c r="B169" s="9"/>
      <c r="C169" s="9"/>
      <c r="E169" s="10"/>
      <c r="G169" s="10"/>
      <c r="I169" s="10"/>
      <c r="K169" s="10"/>
      <c r="M169" s="10"/>
      <c r="O169" s="10"/>
      <c r="Q169" s="10"/>
      <c r="S169" s="10"/>
      <c r="U169" s="10"/>
      <c r="W169" s="10"/>
      <c r="Y169" s="10"/>
      <c r="AA169" s="10"/>
      <c r="AC169" s="10"/>
      <c r="AE169" s="10"/>
      <c r="AG169" s="10"/>
      <c r="AI169" s="10"/>
      <c r="AK169" s="10"/>
      <c r="AM169" s="10"/>
      <c r="AO169" s="10"/>
      <c r="AQ169" s="10"/>
      <c r="AS169" s="10"/>
      <c r="AU169" s="10"/>
      <c r="AW169" s="10"/>
    </row>
    <row r="170" spans="1:49" ht="14.25" customHeight="1" x14ac:dyDescent="0.2">
      <c r="A170" s="9"/>
      <c r="B170" s="9"/>
      <c r="C170" s="9"/>
      <c r="E170" s="10"/>
      <c r="G170" s="10"/>
      <c r="I170" s="10"/>
      <c r="K170" s="10"/>
      <c r="M170" s="10"/>
      <c r="O170" s="10"/>
      <c r="Q170" s="10"/>
      <c r="S170" s="10"/>
      <c r="U170" s="10"/>
      <c r="W170" s="10"/>
      <c r="Y170" s="10"/>
      <c r="AA170" s="10"/>
      <c r="AC170" s="10"/>
      <c r="AE170" s="10"/>
      <c r="AG170" s="10"/>
      <c r="AI170" s="10"/>
      <c r="AK170" s="10"/>
      <c r="AM170" s="10"/>
      <c r="AO170" s="10"/>
      <c r="AQ170" s="10"/>
      <c r="AS170" s="10"/>
      <c r="AU170" s="10"/>
      <c r="AW170" s="10"/>
    </row>
    <row r="171" spans="1:49" ht="14.25" customHeight="1" x14ac:dyDescent="0.2">
      <c r="A171" s="9"/>
      <c r="B171" s="9"/>
      <c r="C171" s="9"/>
      <c r="E171" s="10"/>
      <c r="G171" s="10"/>
      <c r="I171" s="10"/>
      <c r="K171" s="10"/>
      <c r="M171" s="10"/>
      <c r="O171" s="10"/>
      <c r="Q171" s="10"/>
      <c r="S171" s="10"/>
      <c r="U171" s="10"/>
      <c r="W171" s="10"/>
      <c r="Y171" s="10"/>
      <c r="AA171" s="10"/>
      <c r="AC171" s="10"/>
      <c r="AE171" s="10"/>
      <c r="AG171" s="10"/>
      <c r="AI171" s="10"/>
      <c r="AK171" s="10"/>
      <c r="AM171" s="10"/>
      <c r="AO171" s="10"/>
      <c r="AQ171" s="10"/>
      <c r="AS171" s="10"/>
      <c r="AU171" s="10"/>
      <c r="AW171" s="10"/>
    </row>
    <row r="172" spans="1:49" ht="14.25" customHeight="1" x14ac:dyDescent="0.2">
      <c r="A172" s="9"/>
      <c r="B172" s="9"/>
      <c r="C172" s="9"/>
      <c r="E172" s="10"/>
      <c r="G172" s="10"/>
      <c r="I172" s="10"/>
      <c r="K172" s="10"/>
      <c r="M172" s="10"/>
      <c r="O172" s="10"/>
      <c r="Q172" s="10"/>
      <c r="S172" s="10"/>
      <c r="U172" s="10"/>
      <c r="W172" s="10"/>
      <c r="Y172" s="10"/>
      <c r="AA172" s="10"/>
      <c r="AC172" s="10"/>
      <c r="AE172" s="10"/>
      <c r="AG172" s="10"/>
      <c r="AI172" s="10"/>
      <c r="AK172" s="10"/>
      <c r="AM172" s="10"/>
      <c r="AO172" s="10"/>
      <c r="AQ172" s="10"/>
      <c r="AS172" s="10"/>
      <c r="AU172" s="10"/>
      <c r="AW172" s="10"/>
    </row>
    <row r="173" spans="1:49" ht="14.25" customHeight="1" x14ac:dyDescent="0.2">
      <c r="A173" s="9"/>
      <c r="B173" s="9"/>
      <c r="C173" s="9"/>
      <c r="E173" s="10"/>
      <c r="G173" s="10"/>
      <c r="I173" s="10"/>
      <c r="K173" s="10"/>
      <c r="M173" s="10"/>
      <c r="O173" s="10"/>
      <c r="Q173" s="10"/>
      <c r="S173" s="10"/>
      <c r="U173" s="10"/>
      <c r="W173" s="10"/>
      <c r="Y173" s="10"/>
      <c r="AA173" s="10"/>
      <c r="AC173" s="10"/>
      <c r="AE173" s="10"/>
      <c r="AG173" s="10"/>
      <c r="AI173" s="10"/>
      <c r="AK173" s="10"/>
      <c r="AM173" s="10"/>
      <c r="AO173" s="10"/>
      <c r="AQ173" s="10"/>
      <c r="AS173" s="10"/>
      <c r="AU173" s="10"/>
      <c r="AW173" s="10"/>
    </row>
    <row r="174" spans="1:49" ht="14.25" customHeight="1" x14ac:dyDescent="0.2">
      <c r="A174" s="9"/>
      <c r="B174" s="9"/>
      <c r="C174" s="9"/>
      <c r="E174" s="10"/>
      <c r="G174" s="10"/>
      <c r="I174" s="10"/>
      <c r="K174" s="10"/>
      <c r="M174" s="10"/>
      <c r="O174" s="10"/>
      <c r="Q174" s="10"/>
      <c r="S174" s="10"/>
      <c r="U174" s="10"/>
      <c r="W174" s="10"/>
      <c r="Y174" s="10"/>
      <c r="AA174" s="10"/>
      <c r="AC174" s="10"/>
      <c r="AE174" s="10"/>
      <c r="AG174" s="10"/>
      <c r="AI174" s="10"/>
      <c r="AK174" s="10"/>
      <c r="AM174" s="10"/>
      <c r="AO174" s="10"/>
      <c r="AQ174" s="10"/>
      <c r="AS174" s="10"/>
      <c r="AU174" s="10"/>
      <c r="AW174" s="10"/>
    </row>
    <row r="175" spans="1:49" ht="14.25" customHeight="1" x14ac:dyDescent="0.2">
      <c r="A175" s="9"/>
      <c r="B175" s="9"/>
      <c r="C175" s="9"/>
      <c r="E175" s="10"/>
      <c r="G175" s="10"/>
      <c r="I175" s="10"/>
      <c r="K175" s="10"/>
      <c r="M175" s="10"/>
      <c r="O175" s="10"/>
      <c r="Q175" s="10"/>
      <c r="S175" s="10"/>
      <c r="U175" s="10"/>
      <c r="W175" s="10"/>
      <c r="Y175" s="10"/>
      <c r="AA175" s="10"/>
      <c r="AC175" s="10"/>
      <c r="AE175" s="10"/>
      <c r="AG175" s="10"/>
      <c r="AI175" s="10"/>
      <c r="AK175" s="10"/>
      <c r="AM175" s="10"/>
      <c r="AO175" s="10"/>
      <c r="AQ175" s="10"/>
      <c r="AS175" s="10"/>
      <c r="AU175" s="10"/>
      <c r="AW175" s="10"/>
    </row>
    <row r="176" spans="1:49" ht="14.25" customHeight="1" x14ac:dyDescent="0.2">
      <c r="A176" s="9"/>
      <c r="B176" s="9"/>
      <c r="C176" s="9"/>
      <c r="E176" s="10"/>
      <c r="G176" s="10"/>
      <c r="I176" s="10"/>
      <c r="K176" s="10"/>
      <c r="M176" s="10"/>
      <c r="O176" s="10"/>
      <c r="Q176" s="10"/>
      <c r="S176" s="10"/>
      <c r="U176" s="10"/>
      <c r="W176" s="10"/>
      <c r="Y176" s="10"/>
      <c r="AA176" s="10"/>
      <c r="AC176" s="10"/>
      <c r="AE176" s="10"/>
      <c r="AG176" s="10"/>
      <c r="AI176" s="10"/>
      <c r="AK176" s="10"/>
      <c r="AM176" s="10"/>
      <c r="AO176" s="10"/>
      <c r="AQ176" s="10"/>
      <c r="AS176" s="10"/>
      <c r="AU176" s="10"/>
      <c r="AW176" s="10"/>
    </row>
    <row r="177" spans="1:49" ht="14.25" customHeight="1" x14ac:dyDescent="0.2">
      <c r="A177" s="9"/>
      <c r="B177" s="9"/>
      <c r="C177" s="9"/>
      <c r="E177" s="10"/>
      <c r="G177" s="10"/>
      <c r="I177" s="10"/>
      <c r="K177" s="10"/>
      <c r="M177" s="10"/>
      <c r="O177" s="10"/>
      <c r="Q177" s="10"/>
      <c r="S177" s="10"/>
      <c r="U177" s="10"/>
      <c r="W177" s="10"/>
      <c r="Y177" s="10"/>
      <c r="AA177" s="10"/>
      <c r="AC177" s="10"/>
      <c r="AE177" s="10"/>
      <c r="AG177" s="10"/>
      <c r="AI177" s="10"/>
      <c r="AK177" s="10"/>
      <c r="AM177" s="10"/>
      <c r="AO177" s="10"/>
      <c r="AQ177" s="10"/>
      <c r="AS177" s="10"/>
      <c r="AU177" s="10"/>
      <c r="AW177" s="10"/>
    </row>
    <row r="178" spans="1:49" ht="14.25" customHeight="1" x14ac:dyDescent="0.2">
      <c r="A178" s="9"/>
      <c r="B178" s="9"/>
      <c r="C178" s="9"/>
      <c r="E178" s="10"/>
      <c r="G178" s="10"/>
      <c r="I178" s="10"/>
      <c r="K178" s="10"/>
      <c r="M178" s="10"/>
      <c r="O178" s="10"/>
      <c r="Q178" s="10"/>
      <c r="S178" s="10"/>
      <c r="U178" s="10"/>
      <c r="W178" s="10"/>
      <c r="Y178" s="10"/>
      <c r="AA178" s="10"/>
      <c r="AC178" s="10"/>
      <c r="AE178" s="10"/>
      <c r="AG178" s="10"/>
      <c r="AI178" s="10"/>
      <c r="AK178" s="10"/>
      <c r="AM178" s="10"/>
      <c r="AO178" s="10"/>
      <c r="AQ178" s="10"/>
      <c r="AS178" s="10"/>
      <c r="AU178" s="10"/>
      <c r="AW178" s="10"/>
    </row>
    <row r="179" spans="1:49" ht="14.25" customHeight="1" x14ac:dyDescent="0.2">
      <c r="A179" s="9"/>
      <c r="B179" s="9"/>
      <c r="C179" s="9"/>
      <c r="E179" s="10"/>
      <c r="G179" s="10"/>
      <c r="I179" s="10"/>
      <c r="K179" s="10"/>
      <c r="M179" s="10"/>
      <c r="O179" s="10"/>
      <c r="Q179" s="10"/>
      <c r="S179" s="10"/>
      <c r="U179" s="10"/>
      <c r="W179" s="10"/>
      <c r="Y179" s="10"/>
      <c r="AA179" s="10"/>
      <c r="AC179" s="10"/>
      <c r="AE179" s="10"/>
      <c r="AG179" s="10"/>
      <c r="AI179" s="10"/>
      <c r="AK179" s="10"/>
      <c r="AM179" s="10"/>
      <c r="AO179" s="10"/>
      <c r="AQ179" s="10"/>
      <c r="AS179" s="10"/>
      <c r="AU179" s="10"/>
      <c r="AW179" s="10"/>
    </row>
    <row r="180" spans="1:49" ht="14.25" customHeight="1" x14ac:dyDescent="0.2">
      <c r="A180" s="9"/>
      <c r="B180" s="9"/>
      <c r="C180" s="9"/>
      <c r="E180" s="10"/>
      <c r="G180" s="10"/>
      <c r="I180" s="10"/>
      <c r="K180" s="10"/>
      <c r="M180" s="10"/>
      <c r="O180" s="10"/>
      <c r="Q180" s="10"/>
      <c r="S180" s="10"/>
      <c r="U180" s="10"/>
      <c r="W180" s="10"/>
      <c r="Y180" s="10"/>
      <c r="AA180" s="10"/>
      <c r="AC180" s="10"/>
      <c r="AE180" s="10"/>
      <c r="AG180" s="10"/>
      <c r="AI180" s="10"/>
      <c r="AK180" s="10"/>
      <c r="AM180" s="10"/>
      <c r="AO180" s="10"/>
      <c r="AQ180" s="10"/>
      <c r="AS180" s="10"/>
      <c r="AU180" s="10"/>
      <c r="AW180" s="10"/>
    </row>
    <row r="181" spans="1:49" ht="14.25" customHeight="1" x14ac:dyDescent="0.2">
      <c r="A181" s="9"/>
      <c r="B181" s="9"/>
      <c r="C181" s="9"/>
      <c r="E181" s="10"/>
      <c r="G181" s="10"/>
      <c r="I181" s="10"/>
      <c r="K181" s="10"/>
      <c r="M181" s="10"/>
      <c r="O181" s="10"/>
      <c r="Q181" s="10"/>
      <c r="S181" s="10"/>
      <c r="U181" s="10"/>
      <c r="W181" s="10"/>
      <c r="Y181" s="10"/>
      <c r="AA181" s="10"/>
      <c r="AC181" s="10"/>
      <c r="AE181" s="10"/>
      <c r="AG181" s="10"/>
      <c r="AI181" s="10"/>
      <c r="AK181" s="10"/>
      <c r="AM181" s="10"/>
      <c r="AO181" s="10"/>
      <c r="AQ181" s="10"/>
      <c r="AS181" s="10"/>
      <c r="AU181" s="10"/>
      <c r="AW181" s="10"/>
    </row>
    <row r="182" spans="1:49" ht="14.25" customHeight="1" x14ac:dyDescent="0.2">
      <c r="A182" s="9"/>
      <c r="B182" s="9"/>
      <c r="C182" s="9"/>
      <c r="E182" s="10"/>
      <c r="G182" s="10"/>
      <c r="I182" s="10"/>
      <c r="K182" s="10"/>
      <c r="M182" s="10"/>
      <c r="O182" s="10"/>
      <c r="Q182" s="10"/>
      <c r="S182" s="10"/>
      <c r="U182" s="10"/>
      <c r="W182" s="10"/>
      <c r="Y182" s="10"/>
      <c r="AA182" s="10"/>
      <c r="AC182" s="10"/>
      <c r="AE182" s="10"/>
      <c r="AG182" s="10"/>
      <c r="AI182" s="10"/>
      <c r="AK182" s="10"/>
      <c r="AM182" s="10"/>
      <c r="AO182" s="10"/>
      <c r="AQ182" s="10"/>
      <c r="AS182" s="10"/>
      <c r="AU182" s="10"/>
      <c r="AW182" s="10"/>
    </row>
    <row r="183" spans="1:49" ht="14.25" customHeight="1" x14ac:dyDescent="0.2">
      <c r="A183" s="9"/>
      <c r="B183" s="9"/>
      <c r="C183" s="9"/>
      <c r="E183" s="10"/>
      <c r="G183" s="10"/>
      <c r="I183" s="10"/>
      <c r="K183" s="10"/>
      <c r="M183" s="10"/>
      <c r="O183" s="10"/>
      <c r="Q183" s="10"/>
      <c r="S183" s="10"/>
      <c r="U183" s="10"/>
      <c r="W183" s="10"/>
      <c r="Y183" s="10"/>
      <c r="AA183" s="10"/>
      <c r="AC183" s="10"/>
      <c r="AE183" s="10"/>
      <c r="AG183" s="10"/>
      <c r="AI183" s="10"/>
      <c r="AK183" s="10"/>
      <c r="AM183" s="10"/>
      <c r="AO183" s="10"/>
      <c r="AQ183" s="10"/>
      <c r="AS183" s="10"/>
      <c r="AU183" s="10"/>
      <c r="AW183" s="10"/>
    </row>
    <row r="184" spans="1:49" ht="14.25" customHeight="1" x14ac:dyDescent="0.2">
      <c r="A184" s="9"/>
      <c r="B184" s="9"/>
      <c r="C184" s="9"/>
      <c r="E184" s="10"/>
      <c r="G184" s="10"/>
      <c r="I184" s="10"/>
      <c r="K184" s="10"/>
      <c r="M184" s="10"/>
      <c r="O184" s="10"/>
      <c r="Q184" s="10"/>
      <c r="S184" s="10"/>
      <c r="U184" s="10"/>
      <c r="W184" s="10"/>
      <c r="Y184" s="10"/>
      <c r="AA184" s="10"/>
      <c r="AC184" s="10"/>
      <c r="AE184" s="10"/>
      <c r="AG184" s="10"/>
      <c r="AI184" s="10"/>
      <c r="AK184" s="10"/>
      <c r="AM184" s="10"/>
      <c r="AO184" s="10"/>
      <c r="AQ184" s="10"/>
      <c r="AS184" s="10"/>
      <c r="AU184" s="10"/>
      <c r="AW184" s="10"/>
    </row>
    <row r="185" spans="1:49" ht="14.25" customHeight="1" x14ac:dyDescent="0.2">
      <c r="A185" s="9"/>
      <c r="B185" s="9"/>
      <c r="C185" s="9"/>
      <c r="E185" s="10"/>
      <c r="G185" s="10"/>
      <c r="I185" s="10"/>
      <c r="K185" s="10"/>
      <c r="M185" s="10"/>
      <c r="O185" s="10"/>
      <c r="Q185" s="10"/>
      <c r="S185" s="10"/>
      <c r="U185" s="10"/>
      <c r="W185" s="10"/>
      <c r="Y185" s="10"/>
      <c r="AA185" s="10"/>
      <c r="AC185" s="10"/>
      <c r="AE185" s="10"/>
      <c r="AG185" s="10"/>
      <c r="AI185" s="10"/>
      <c r="AK185" s="10"/>
      <c r="AM185" s="10"/>
      <c r="AO185" s="10"/>
      <c r="AQ185" s="10"/>
      <c r="AS185" s="10"/>
      <c r="AU185" s="10"/>
      <c r="AW185" s="10"/>
    </row>
    <row r="186" spans="1:49" ht="14.25" customHeight="1" x14ac:dyDescent="0.2">
      <c r="A186" s="9"/>
      <c r="B186" s="9"/>
      <c r="C186" s="9"/>
      <c r="E186" s="10"/>
      <c r="G186" s="10"/>
      <c r="I186" s="10"/>
      <c r="K186" s="10"/>
      <c r="M186" s="10"/>
      <c r="O186" s="10"/>
      <c r="Q186" s="10"/>
      <c r="S186" s="10"/>
      <c r="U186" s="10"/>
      <c r="W186" s="10"/>
      <c r="Y186" s="10"/>
      <c r="AA186" s="10"/>
      <c r="AC186" s="10"/>
      <c r="AE186" s="10"/>
      <c r="AG186" s="10"/>
      <c r="AI186" s="10"/>
      <c r="AK186" s="10"/>
      <c r="AM186" s="10"/>
      <c r="AO186" s="10"/>
      <c r="AQ186" s="10"/>
      <c r="AS186" s="10"/>
      <c r="AU186" s="10"/>
      <c r="AW186" s="10"/>
    </row>
    <row r="187" spans="1:49" ht="14.25" customHeight="1" x14ac:dyDescent="0.2">
      <c r="A187" s="9"/>
      <c r="B187" s="9"/>
      <c r="C187" s="9"/>
      <c r="E187" s="10"/>
      <c r="G187" s="10"/>
      <c r="I187" s="10"/>
      <c r="K187" s="10"/>
      <c r="M187" s="10"/>
      <c r="O187" s="10"/>
      <c r="Q187" s="10"/>
      <c r="S187" s="10"/>
      <c r="U187" s="10"/>
      <c r="W187" s="10"/>
      <c r="Y187" s="10"/>
      <c r="AA187" s="10"/>
      <c r="AC187" s="10"/>
      <c r="AE187" s="10"/>
      <c r="AG187" s="10"/>
      <c r="AI187" s="10"/>
      <c r="AK187" s="10"/>
      <c r="AM187" s="10"/>
      <c r="AO187" s="10"/>
      <c r="AQ187" s="10"/>
      <c r="AS187" s="10"/>
      <c r="AU187" s="10"/>
      <c r="AW187" s="10"/>
    </row>
    <row r="188" spans="1:49" ht="14.25" customHeight="1" x14ac:dyDescent="0.2">
      <c r="A188" s="9"/>
      <c r="B188" s="9"/>
      <c r="C188" s="9"/>
      <c r="E188" s="10"/>
      <c r="G188" s="10"/>
      <c r="I188" s="10"/>
      <c r="K188" s="10"/>
      <c r="M188" s="10"/>
      <c r="O188" s="10"/>
      <c r="Q188" s="10"/>
      <c r="S188" s="10"/>
      <c r="U188" s="10"/>
      <c r="W188" s="10"/>
      <c r="Y188" s="10"/>
      <c r="AA188" s="10"/>
      <c r="AC188" s="10"/>
      <c r="AE188" s="10"/>
      <c r="AG188" s="10"/>
      <c r="AI188" s="10"/>
      <c r="AK188" s="10"/>
      <c r="AM188" s="10"/>
      <c r="AO188" s="10"/>
      <c r="AQ188" s="10"/>
      <c r="AS188" s="10"/>
      <c r="AU188" s="10"/>
      <c r="AW188" s="10"/>
    </row>
    <row r="189" spans="1:49" ht="14.25" customHeight="1" x14ac:dyDescent="0.2">
      <c r="A189" s="9"/>
      <c r="B189" s="9"/>
      <c r="C189" s="9"/>
      <c r="E189" s="10"/>
      <c r="G189" s="10"/>
      <c r="I189" s="10"/>
      <c r="K189" s="10"/>
      <c r="M189" s="10"/>
      <c r="O189" s="10"/>
      <c r="Q189" s="10"/>
      <c r="S189" s="10"/>
      <c r="U189" s="10"/>
      <c r="W189" s="10"/>
      <c r="Y189" s="10"/>
      <c r="AA189" s="10"/>
      <c r="AC189" s="10"/>
      <c r="AE189" s="10"/>
      <c r="AG189" s="10"/>
      <c r="AI189" s="10"/>
      <c r="AK189" s="10"/>
      <c r="AM189" s="10"/>
      <c r="AO189" s="10"/>
      <c r="AQ189" s="10"/>
      <c r="AS189" s="10"/>
      <c r="AU189" s="10"/>
      <c r="AW189" s="10"/>
    </row>
    <row r="190" spans="1:49" ht="14.25" customHeight="1" x14ac:dyDescent="0.2">
      <c r="A190" s="9"/>
      <c r="B190" s="9"/>
      <c r="C190" s="9"/>
      <c r="E190" s="10"/>
      <c r="G190" s="10"/>
      <c r="I190" s="10"/>
      <c r="K190" s="10"/>
      <c r="M190" s="10"/>
      <c r="O190" s="10"/>
      <c r="Q190" s="10"/>
      <c r="S190" s="10"/>
      <c r="U190" s="10"/>
      <c r="W190" s="10"/>
      <c r="Y190" s="10"/>
      <c r="AA190" s="10"/>
      <c r="AC190" s="10"/>
      <c r="AE190" s="10"/>
      <c r="AG190" s="10"/>
      <c r="AI190" s="10"/>
      <c r="AK190" s="10"/>
      <c r="AM190" s="10"/>
      <c r="AO190" s="10"/>
      <c r="AQ190" s="10"/>
      <c r="AS190" s="10"/>
      <c r="AU190" s="10"/>
      <c r="AW190" s="10"/>
    </row>
    <row r="191" spans="1:49" ht="14.25" customHeight="1" x14ac:dyDescent="0.2">
      <c r="A191" s="9"/>
      <c r="B191" s="9"/>
      <c r="C191" s="9"/>
      <c r="E191" s="10"/>
      <c r="G191" s="10"/>
      <c r="I191" s="10"/>
      <c r="K191" s="10"/>
      <c r="M191" s="10"/>
      <c r="O191" s="10"/>
      <c r="Q191" s="10"/>
      <c r="S191" s="10"/>
      <c r="U191" s="10"/>
      <c r="W191" s="10"/>
      <c r="Y191" s="10"/>
      <c r="AA191" s="10"/>
      <c r="AC191" s="10"/>
      <c r="AE191" s="10"/>
      <c r="AG191" s="10"/>
      <c r="AI191" s="10"/>
      <c r="AK191" s="10"/>
      <c r="AM191" s="10"/>
      <c r="AO191" s="10"/>
      <c r="AQ191" s="10"/>
      <c r="AS191" s="10"/>
      <c r="AU191" s="10"/>
      <c r="AW191" s="10"/>
    </row>
    <row r="192" spans="1:49" ht="14.25" customHeight="1" x14ac:dyDescent="0.2">
      <c r="A192" s="9"/>
      <c r="B192" s="9"/>
      <c r="C192" s="9"/>
      <c r="E192" s="10"/>
      <c r="G192" s="10"/>
      <c r="I192" s="10"/>
      <c r="K192" s="10"/>
      <c r="M192" s="10"/>
      <c r="O192" s="10"/>
      <c r="Q192" s="10"/>
      <c r="S192" s="10"/>
      <c r="U192" s="10"/>
      <c r="W192" s="10"/>
      <c r="Y192" s="10"/>
      <c r="AA192" s="10"/>
      <c r="AC192" s="10"/>
      <c r="AE192" s="10"/>
      <c r="AG192" s="10"/>
      <c r="AI192" s="10"/>
      <c r="AK192" s="10"/>
      <c r="AM192" s="10"/>
      <c r="AO192" s="10"/>
      <c r="AQ192" s="10"/>
      <c r="AS192" s="10"/>
      <c r="AU192" s="10"/>
      <c r="AW192" s="10"/>
    </row>
    <row r="193" spans="1:49" ht="14.25" customHeight="1" x14ac:dyDescent="0.2">
      <c r="A193" s="9"/>
      <c r="B193" s="9"/>
      <c r="C193" s="9"/>
      <c r="E193" s="10"/>
      <c r="G193" s="10"/>
      <c r="I193" s="10"/>
      <c r="K193" s="10"/>
      <c r="M193" s="10"/>
      <c r="O193" s="10"/>
      <c r="Q193" s="10"/>
      <c r="S193" s="10"/>
      <c r="U193" s="10"/>
      <c r="W193" s="10"/>
      <c r="Y193" s="10"/>
      <c r="AA193" s="10"/>
      <c r="AC193" s="10"/>
      <c r="AE193" s="10"/>
      <c r="AG193" s="10"/>
      <c r="AI193" s="10"/>
      <c r="AK193" s="10"/>
      <c r="AM193" s="10"/>
      <c r="AO193" s="10"/>
      <c r="AQ193" s="10"/>
      <c r="AS193" s="10"/>
      <c r="AU193" s="10"/>
      <c r="AW193" s="10"/>
    </row>
    <row r="194" spans="1:49" ht="14.25" customHeight="1" x14ac:dyDescent="0.2">
      <c r="A194" s="9"/>
      <c r="B194" s="9"/>
      <c r="C194" s="9"/>
      <c r="E194" s="10"/>
      <c r="G194" s="10"/>
      <c r="I194" s="10"/>
      <c r="K194" s="10"/>
      <c r="M194" s="10"/>
      <c r="O194" s="10"/>
      <c r="Q194" s="10"/>
      <c r="S194" s="10"/>
      <c r="U194" s="10"/>
      <c r="W194" s="10"/>
      <c r="Y194" s="10"/>
      <c r="AA194" s="10"/>
      <c r="AC194" s="10"/>
      <c r="AE194" s="10"/>
      <c r="AG194" s="10"/>
      <c r="AI194" s="10"/>
      <c r="AK194" s="10"/>
      <c r="AM194" s="10"/>
      <c r="AO194" s="10"/>
      <c r="AQ194" s="10"/>
      <c r="AS194" s="10"/>
      <c r="AU194" s="10"/>
      <c r="AW194" s="10"/>
    </row>
    <row r="195" spans="1:49" ht="14.25" customHeight="1" x14ac:dyDescent="0.2">
      <c r="A195" s="9"/>
      <c r="B195" s="9"/>
      <c r="C195" s="9"/>
      <c r="E195" s="10"/>
      <c r="G195" s="10"/>
      <c r="I195" s="10"/>
      <c r="K195" s="10"/>
      <c r="M195" s="10"/>
      <c r="O195" s="10"/>
      <c r="Q195" s="10"/>
      <c r="S195" s="10"/>
      <c r="U195" s="10"/>
      <c r="W195" s="10"/>
      <c r="Y195" s="10"/>
      <c r="AA195" s="10"/>
      <c r="AC195" s="10"/>
      <c r="AE195" s="10"/>
      <c r="AG195" s="10"/>
      <c r="AI195" s="10"/>
      <c r="AK195" s="10"/>
      <c r="AM195" s="10"/>
      <c r="AO195" s="10"/>
      <c r="AQ195" s="10"/>
      <c r="AS195" s="10"/>
      <c r="AU195" s="10"/>
      <c r="AW195" s="10"/>
    </row>
    <row r="196" spans="1:49" ht="14.25" customHeight="1" x14ac:dyDescent="0.2">
      <c r="A196" s="9"/>
      <c r="B196" s="9"/>
      <c r="C196" s="9"/>
      <c r="E196" s="10"/>
      <c r="G196" s="10"/>
      <c r="I196" s="10"/>
      <c r="K196" s="10"/>
      <c r="M196" s="10"/>
      <c r="O196" s="10"/>
      <c r="Q196" s="10"/>
      <c r="S196" s="10"/>
      <c r="U196" s="10"/>
      <c r="W196" s="10"/>
      <c r="Y196" s="10"/>
      <c r="AA196" s="10"/>
      <c r="AC196" s="10"/>
      <c r="AE196" s="10"/>
      <c r="AG196" s="10"/>
      <c r="AI196" s="10"/>
      <c r="AK196" s="10"/>
      <c r="AM196" s="10"/>
      <c r="AO196" s="10"/>
      <c r="AQ196" s="10"/>
      <c r="AS196" s="10"/>
      <c r="AU196" s="10"/>
      <c r="AW196" s="10"/>
    </row>
    <row r="197" spans="1:49" ht="14.25" customHeight="1" x14ac:dyDescent="0.2">
      <c r="A197" s="9"/>
      <c r="B197" s="9"/>
      <c r="C197" s="9"/>
      <c r="E197" s="10"/>
      <c r="G197" s="10"/>
      <c r="I197" s="10"/>
      <c r="K197" s="10"/>
      <c r="M197" s="10"/>
      <c r="O197" s="10"/>
      <c r="Q197" s="10"/>
      <c r="S197" s="10"/>
      <c r="U197" s="10"/>
      <c r="W197" s="10"/>
      <c r="Y197" s="10"/>
      <c r="AA197" s="10"/>
      <c r="AC197" s="10"/>
      <c r="AE197" s="10"/>
      <c r="AG197" s="10"/>
      <c r="AI197" s="10"/>
      <c r="AK197" s="10"/>
      <c r="AM197" s="10"/>
      <c r="AO197" s="10"/>
      <c r="AQ197" s="10"/>
      <c r="AS197" s="10"/>
      <c r="AU197" s="10"/>
      <c r="AW197" s="10"/>
    </row>
    <row r="198" spans="1:49" ht="14.25" customHeight="1" x14ac:dyDescent="0.2">
      <c r="A198" s="9"/>
      <c r="B198" s="9"/>
      <c r="C198" s="9"/>
      <c r="E198" s="10"/>
      <c r="G198" s="10"/>
      <c r="I198" s="10"/>
      <c r="K198" s="10"/>
      <c r="M198" s="10"/>
      <c r="O198" s="10"/>
      <c r="Q198" s="10"/>
      <c r="S198" s="10"/>
      <c r="U198" s="10"/>
      <c r="W198" s="10"/>
      <c r="Y198" s="10"/>
      <c r="AA198" s="10"/>
      <c r="AC198" s="10"/>
      <c r="AE198" s="10"/>
      <c r="AG198" s="10"/>
      <c r="AI198" s="10"/>
      <c r="AK198" s="10"/>
      <c r="AM198" s="10"/>
      <c r="AO198" s="10"/>
      <c r="AQ198" s="10"/>
      <c r="AS198" s="10"/>
      <c r="AU198" s="10"/>
      <c r="AW198" s="10"/>
    </row>
    <row r="199" spans="1:49" ht="14.25" customHeight="1" x14ac:dyDescent="0.2">
      <c r="A199" s="9"/>
      <c r="B199" s="9"/>
      <c r="C199" s="9"/>
      <c r="E199" s="10"/>
      <c r="G199" s="10"/>
      <c r="I199" s="10"/>
      <c r="K199" s="10"/>
      <c r="M199" s="10"/>
      <c r="O199" s="10"/>
      <c r="Q199" s="10"/>
      <c r="S199" s="10"/>
      <c r="U199" s="10"/>
      <c r="W199" s="10"/>
      <c r="Y199" s="10"/>
      <c r="AA199" s="10"/>
      <c r="AC199" s="10"/>
      <c r="AE199" s="10"/>
      <c r="AG199" s="10"/>
      <c r="AI199" s="10"/>
      <c r="AK199" s="10"/>
      <c r="AM199" s="10"/>
      <c r="AO199" s="10"/>
      <c r="AQ199" s="10"/>
      <c r="AS199" s="10"/>
      <c r="AU199" s="10"/>
      <c r="AW199" s="10"/>
    </row>
    <row r="200" spans="1:49" ht="14.25" customHeight="1" x14ac:dyDescent="0.2">
      <c r="A200" s="9"/>
      <c r="B200" s="9"/>
      <c r="C200" s="9"/>
      <c r="E200" s="10"/>
      <c r="G200" s="10"/>
      <c r="I200" s="10"/>
      <c r="K200" s="10"/>
      <c r="M200" s="10"/>
      <c r="O200" s="10"/>
      <c r="Q200" s="10"/>
      <c r="S200" s="10"/>
      <c r="U200" s="10"/>
      <c r="W200" s="10"/>
      <c r="Y200" s="10"/>
      <c r="AA200" s="10"/>
      <c r="AC200" s="10"/>
      <c r="AE200" s="10"/>
      <c r="AG200" s="10"/>
      <c r="AI200" s="10"/>
      <c r="AK200" s="10"/>
      <c r="AM200" s="10"/>
      <c r="AO200" s="10"/>
      <c r="AQ200" s="10"/>
      <c r="AS200" s="10"/>
      <c r="AU200" s="10"/>
      <c r="AW200" s="10"/>
    </row>
    <row r="201" spans="1:49" ht="14.25" customHeight="1" x14ac:dyDescent="0.2">
      <c r="A201" s="9"/>
      <c r="B201" s="9"/>
      <c r="C201" s="9"/>
      <c r="E201" s="10"/>
      <c r="G201" s="10"/>
      <c r="I201" s="10"/>
      <c r="K201" s="10"/>
      <c r="M201" s="10"/>
      <c r="O201" s="10"/>
      <c r="Q201" s="10"/>
      <c r="S201" s="10"/>
      <c r="U201" s="10"/>
      <c r="W201" s="10"/>
      <c r="Y201" s="10"/>
      <c r="AA201" s="10"/>
      <c r="AC201" s="10"/>
      <c r="AE201" s="10"/>
      <c r="AG201" s="10"/>
      <c r="AI201" s="10"/>
      <c r="AK201" s="10"/>
      <c r="AM201" s="10"/>
      <c r="AO201" s="10"/>
      <c r="AQ201" s="10"/>
      <c r="AS201" s="10"/>
      <c r="AU201" s="10"/>
      <c r="AW201" s="10"/>
    </row>
    <row r="202" spans="1:49" ht="14.25" customHeight="1" x14ac:dyDescent="0.2">
      <c r="A202" s="9"/>
      <c r="B202" s="9"/>
      <c r="C202" s="9"/>
      <c r="E202" s="10"/>
      <c r="G202" s="10"/>
      <c r="I202" s="10"/>
      <c r="K202" s="10"/>
      <c r="M202" s="10"/>
      <c r="O202" s="10"/>
      <c r="Q202" s="10"/>
      <c r="S202" s="10"/>
      <c r="U202" s="10"/>
      <c r="W202" s="10"/>
      <c r="Y202" s="10"/>
      <c r="AA202" s="10"/>
      <c r="AC202" s="10"/>
      <c r="AE202" s="10"/>
      <c r="AG202" s="10"/>
      <c r="AI202" s="10"/>
      <c r="AK202" s="10"/>
      <c r="AM202" s="10"/>
      <c r="AO202" s="10"/>
      <c r="AQ202" s="10"/>
      <c r="AS202" s="10"/>
      <c r="AU202" s="10"/>
      <c r="AW202" s="10"/>
    </row>
    <row r="203" spans="1:49" ht="14.25" customHeight="1" x14ac:dyDescent="0.2">
      <c r="A203" s="9"/>
      <c r="B203" s="9"/>
      <c r="C203" s="9"/>
      <c r="E203" s="10"/>
      <c r="G203" s="10"/>
      <c r="I203" s="10"/>
      <c r="K203" s="10"/>
      <c r="M203" s="10"/>
      <c r="O203" s="10"/>
      <c r="Q203" s="10"/>
      <c r="S203" s="10"/>
      <c r="U203" s="10"/>
      <c r="W203" s="10"/>
      <c r="Y203" s="10"/>
      <c r="AA203" s="10"/>
      <c r="AC203" s="10"/>
      <c r="AE203" s="10"/>
      <c r="AG203" s="10"/>
      <c r="AI203" s="10"/>
      <c r="AK203" s="10"/>
      <c r="AM203" s="10"/>
      <c r="AO203" s="10"/>
      <c r="AQ203" s="10"/>
      <c r="AS203" s="10"/>
      <c r="AU203" s="10"/>
      <c r="AW203" s="10"/>
    </row>
    <row r="204" spans="1:49" ht="14.25" customHeight="1" x14ac:dyDescent="0.2">
      <c r="A204" s="9"/>
      <c r="B204" s="9"/>
      <c r="C204" s="9"/>
      <c r="E204" s="10"/>
      <c r="G204" s="10"/>
      <c r="I204" s="10"/>
      <c r="K204" s="10"/>
      <c r="M204" s="10"/>
      <c r="O204" s="10"/>
      <c r="Q204" s="10"/>
      <c r="S204" s="10"/>
      <c r="U204" s="10"/>
      <c r="W204" s="10"/>
      <c r="Y204" s="10"/>
      <c r="AA204" s="10"/>
      <c r="AC204" s="10"/>
      <c r="AE204" s="10"/>
      <c r="AG204" s="10"/>
      <c r="AI204" s="10"/>
      <c r="AK204" s="10"/>
      <c r="AM204" s="10"/>
      <c r="AO204" s="10"/>
      <c r="AQ204" s="10"/>
      <c r="AS204" s="10"/>
      <c r="AU204" s="10"/>
      <c r="AW204" s="10"/>
    </row>
    <row r="205" spans="1:49" ht="14.25" customHeight="1" x14ac:dyDescent="0.2">
      <c r="A205" s="9"/>
      <c r="B205" s="9"/>
      <c r="C205" s="9"/>
      <c r="E205" s="10"/>
      <c r="G205" s="10"/>
      <c r="I205" s="10"/>
      <c r="K205" s="10"/>
      <c r="M205" s="10"/>
      <c r="O205" s="10"/>
      <c r="Q205" s="10"/>
      <c r="S205" s="10"/>
      <c r="U205" s="10"/>
      <c r="W205" s="10"/>
      <c r="Y205" s="10"/>
      <c r="AA205" s="10"/>
      <c r="AC205" s="10"/>
      <c r="AE205" s="10"/>
      <c r="AG205" s="10"/>
      <c r="AI205" s="10"/>
      <c r="AK205" s="10"/>
      <c r="AM205" s="10"/>
      <c r="AO205" s="10"/>
      <c r="AQ205" s="10"/>
      <c r="AS205" s="10"/>
      <c r="AU205" s="10"/>
      <c r="AW205" s="10"/>
    </row>
    <row r="206" spans="1:49" ht="14.25" customHeight="1" x14ac:dyDescent="0.2">
      <c r="A206" s="9"/>
      <c r="B206" s="9"/>
      <c r="C206" s="9"/>
      <c r="E206" s="10"/>
      <c r="G206" s="10"/>
      <c r="I206" s="10"/>
      <c r="K206" s="10"/>
      <c r="M206" s="10"/>
      <c r="O206" s="10"/>
      <c r="Q206" s="10"/>
      <c r="S206" s="10"/>
      <c r="U206" s="10"/>
      <c r="W206" s="10"/>
      <c r="Y206" s="10"/>
      <c r="AA206" s="10"/>
      <c r="AC206" s="10"/>
      <c r="AE206" s="10"/>
      <c r="AG206" s="10"/>
      <c r="AI206" s="10"/>
      <c r="AK206" s="10"/>
      <c r="AM206" s="10"/>
      <c r="AO206" s="10"/>
      <c r="AQ206" s="10"/>
      <c r="AS206" s="10"/>
      <c r="AU206" s="10"/>
      <c r="AW206" s="10"/>
    </row>
    <row r="207" spans="1:49" ht="14.25" customHeight="1" x14ac:dyDescent="0.2">
      <c r="A207" s="9"/>
      <c r="B207" s="9"/>
      <c r="C207" s="9"/>
      <c r="E207" s="10"/>
      <c r="G207" s="10"/>
      <c r="I207" s="10"/>
      <c r="K207" s="10"/>
      <c r="M207" s="10"/>
      <c r="O207" s="10"/>
      <c r="Q207" s="10"/>
      <c r="S207" s="10"/>
      <c r="U207" s="10"/>
      <c r="W207" s="10"/>
      <c r="Y207" s="10"/>
      <c r="AA207" s="10"/>
      <c r="AC207" s="10"/>
      <c r="AE207" s="10"/>
      <c r="AG207" s="10"/>
      <c r="AI207" s="10"/>
      <c r="AK207" s="10"/>
      <c r="AM207" s="10"/>
      <c r="AO207" s="10"/>
      <c r="AQ207" s="10"/>
      <c r="AS207" s="10"/>
      <c r="AU207" s="10"/>
      <c r="AW207" s="10"/>
    </row>
    <row r="208" spans="1:49" ht="14.25" customHeight="1" x14ac:dyDescent="0.2">
      <c r="A208" s="9"/>
      <c r="B208" s="9"/>
      <c r="C208" s="9"/>
      <c r="E208" s="10"/>
      <c r="G208" s="10"/>
      <c r="I208" s="10"/>
      <c r="K208" s="10"/>
      <c r="M208" s="10"/>
      <c r="O208" s="10"/>
      <c r="Q208" s="10"/>
      <c r="S208" s="10"/>
      <c r="U208" s="10"/>
      <c r="W208" s="10"/>
      <c r="Y208" s="10"/>
      <c r="AA208" s="10"/>
      <c r="AC208" s="10"/>
      <c r="AE208" s="10"/>
      <c r="AG208" s="10"/>
      <c r="AI208" s="10"/>
      <c r="AK208" s="10"/>
      <c r="AM208" s="10"/>
      <c r="AO208" s="10"/>
      <c r="AQ208" s="10"/>
      <c r="AS208" s="10"/>
      <c r="AU208" s="10"/>
      <c r="AW208" s="10"/>
    </row>
    <row r="209" spans="1:49" ht="14.25" customHeight="1" x14ac:dyDescent="0.2">
      <c r="A209" s="9"/>
      <c r="B209" s="9"/>
      <c r="C209" s="9"/>
      <c r="E209" s="10"/>
      <c r="G209" s="10"/>
      <c r="I209" s="10"/>
      <c r="K209" s="10"/>
      <c r="M209" s="10"/>
      <c r="O209" s="10"/>
      <c r="Q209" s="10"/>
      <c r="S209" s="10"/>
      <c r="U209" s="10"/>
      <c r="W209" s="10"/>
      <c r="Y209" s="10"/>
      <c r="AA209" s="10"/>
      <c r="AC209" s="10"/>
      <c r="AE209" s="10"/>
      <c r="AG209" s="10"/>
      <c r="AI209" s="10"/>
      <c r="AK209" s="10"/>
      <c r="AM209" s="10"/>
      <c r="AO209" s="10"/>
      <c r="AQ209" s="10"/>
      <c r="AS209" s="10"/>
      <c r="AU209" s="10"/>
      <c r="AW209" s="10"/>
    </row>
    <row r="210" spans="1:49" ht="14.25" customHeight="1" x14ac:dyDescent="0.2">
      <c r="A210" s="9"/>
      <c r="B210" s="9"/>
      <c r="C210" s="9"/>
      <c r="E210" s="10"/>
      <c r="G210" s="10"/>
      <c r="I210" s="10"/>
      <c r="K210" s="10"/>
      <c r="M210" s="10"/>
      <c r="O210" s="10"/>
      <c r="Q210" s="10"/>
      <c r="S210" s="10"/>
      <c r="U210" s="10"/>
      <c r="W210" s="10"/>
      <c r="Y210" s="10"/>
      <c r="AA210" s="10"/>
      <c r="AC210" s="10"/>
      <c r="AE210" s="10"/>
      <c r="AG210" s="10"/>
      <c r="AI210" s="10"/>
      <c r="AK210" s="10"/>
      <c r="AM210" s="10"/>
      <c r="AO210" s="10"/>
      <c r="AQ210" s="10"/>
      <c r="AS210" s="10"/>
      <c r="AU210" s="10"/>
      <c r="AW210" s="10"/>
    </row>
    <row r="211" spans="1:49" ht="14.25" customHeight="1" x14ac:dyDescent="0.2">
      <c r="A211" s="9"/>
      <c r="B211" s="9"/>
      <c r="C211" s="9"/>
      <c r="E211" s="10"/>
      <c r="G211" s="10"/>
      <c r="I211" s="10"/>
      <c r="K211" s="10"/>
      <c r="M211" s="10"/>
      <c r="O211" s="10"/>
      <c r="Q211" s="10"/>
      <c r="S211" s="10"/>
      <c r="U211" s="10"/>
      <c r="W211" s="10"/>
      <c r="Y211" s="10"/>
      <c r="AA211" s="10"/>
      <c r="AC211" s="10"/>
      <c r="AE211" s="10"/>
      <c r="AG211" s="10"/>
      <c r="AI211" s="10"/>
      <c r="AK211" s="10"/>
      <c r="AM211" s="10"/>
      <c r="AO211" s="10"/>
      <c r="AQ211" s="10"/>
      <c r="AS211" s="10"/>
      <c r="AU211" s="10"/>
      <c r="AW211" s="10"/>
    </row>
    <row r="212" spans="1:49" ht="14.25" customHeight="1" x14ac:dyDescent="0.2">
      <c r="A212" s="9"/>
      <c r="B212" s="9"/>
      <c r="C212" s="9"/>
      <c r="E212" s="10"/>
      <c r="G212" s="10"/>
      <c r="I212" s="10"/>
      <c r="K212" s="10"/>
      <c r="M212" s="10"/>
      <c r="O212" s="10"/>
      <c r="Q212" s="10"/>
      <c r="S212" s="10"/>
      <c r="U212" s="10"/>
      <c r="W212" s="10"/>
      <c r="Y212" s="10"/>
      <c r="AA212" s="10"/>
      <c r="AC212" s="10"/>
      <c r="AE212" s="10"/>
      <c r="AG212" s="10"/>
      <c r="AI212" s="10"/>
      <c r="AK212" s="10"/>
      <c r="AM212" s="10"/>
      <c r="AO212" s="10"/>
      <c r="AQ212" s="10"/>
      <c r="AS212" s="10"/>
      <c r="AU212" s="10"/>
      <c r="AW212" s="10"/>
    </row>
    <row r="213" spans="1:49" ht="14.25" customHeight="1" x14ac:dyDescent="0.2">
      <c r="A213" s="9"/>
      <c r="B213" s="9"/>
      <c r="C213" s="9"/>
      <c r="E213" s="10"/>
      <c r="G213" s="10"/>
      <c r="I213" s="10"/>
      <c r="K213" s="10"/>
      <c r="M213" s="10"/>
      <c r="O213" s="10"/>
      <c r="Q213" s="10"/>
      <c r="S213" s="10"/>
      <c r="U213" s="10"/>
      <c r="W213" s="10"/>
      <c r="Y213" s="10"/>
      <c r="AA213" s="10"/>
      <c r="AC213" s="10"/>
      <c r="AE213" s="10"/>
      <c r="AG213" s="10"/>
      <c r="AI213" s="10"/>
      <c r="AK213" s="10"/>
      <c r="AM213" s="10"/>
      <c r="AO213" s="10"/>
      <c r="AQ213" s="10"/>
      <c r="AS213" s="10"/>
      <c r="AU213" s="10"/>
      <c r="AW213" s="10"/>
    </row>
    <row r="214" spans="1:49" ht="14.25" customHeight="1" x14ac:dyDescent="0.2">
      <c r="A214" s="9"/>
      <c r="B214" s="9"/>
      <c r="C214" s="9"/>
      <c r="E214" s="10"/>
      <c r="G214" s="10"/>
      <c r="I214" s="10"/>
      <c r="K214" s="10"/>
      <c r="M214" s="10"/>
      <c r="O214" s="10"/>
      <c r="Q214" s="10"/>
      <c r="S214" s="10"/>
      <c r="U214" s="10"/>
      <c r="W214" s="10"/>
      <c r="Y214" s="10"/>
      <c r="AA214" s="10"/>
      <c r="AC214" s="10"/>
      <c r="AE214" s="10"/>
      <c r="AG214" s="10"/>
      <c r="AI214" s="10"/>
      <c r="AK214" s="10"/>
      <c r="AM214" s="10"/>
      <c r="AO214" s="10"/>
      <c r="AQ214" s="10"/>
      <c r="AS214" s="10"/>
      <c r="AU214" s="10"/>
      <c r="AW214" s="10"/>
    </row>
    <row r="215" spans="1:49" ht="14.25" customHeight="1" x14ac:dyDescent="0.2">
      <c r="A215" s="9"/>
      <c r="B215" s="9"/>
      <c r="C215" s="9"/>
      <c r="E215" s="10"/>
      <c r="G215" s="10"/>
      <c r="I215" s="10"/>
      <c r="K215" s="10"/>
      <c r="M215" s="10"/>
      <c r="O215" s="10"/>
      <c r="Q215" s="10"/>
      <c r="S215" s="10"/>
      <c r="U215" s="10"/>
      <c r="W215" s="10"/>
      <c r="Y215" s="10"/>
      <c r="AA215" s="10"/>
      <c r="AC215" s="10"/>
      <c r="AE215" s="10"/>
      <c r="AG215" s="10"/>
      <c r="AI215" s="10"/>
      <c r="AK215" s="10"/>
      <c r="AM215" s="10"/>
      <c r="AO215" s="10"/>
      <c r="AQ215" s="10"/>
      <c r="AS215" s="10"/>
      <c r="AU215" s="10"/>
      <c r="AW215" s="10"/>
    </row>
    <row r="216" spans="1:49" ht="14.25" customHeight="1" x14ac:dyDescent="0.2">
      <c r="A216" s="9"/>
      <c r="B216" s="9"/>
      <c r="C216" s="9"/>
      <c r="E216" s="10"/>
      <c r="G216" s="10"/>
      <c r="I216" s="10"/>
      <c r="K216" s="10"/>
      <c r="M216" s="10"/>
      <c r="O216" s="10"/>
      <c r="Q216" s="10"/>
      <c r="S216" s="10"/>
      <c r="U216" s="10"/>
      <c r="W216" s="10"/>
      <c r="Y216" s="10"/>
      <c r="AA216" s="10"/>
      <c r="AC216" s="10"/>
      <c r="AE216" s="10"/>
      <c r="AG216" s="10"/>
      <c r="AI216" s="10"/>
      <c r="AK216" s="10"/>
      <c r="AM216" s="10"/>
      <c r="AO216" s="10"/>
      <c r="AQ216" s="10"/>
      <c r="AS216" s="10"/>
      <c r="AU216" s="10"/>
      <c r="AW216" s="10"/>
    </row>
    <row r="217" spans="1:49" ht="14.25" customHeight="1" x14ac:dyDescent="0.2">
      <c r="A217" s="9"/>
      <c r="B217" s="9"/>
      <c r="C217" s="9"/>
      <c r="E217" s="10"/>
      <c r="G217" s="10"/>
      <c r="I217" s="10"/>
      <c r="K217" s="10"/>
      <c r="M217" s="10"/>
      <c r="O217" s="10"/>
      <c r="Q217" s="10"/>
      <c r="S217" s="10"/>
      <c r="U217" s="10"/>
      <c r="W217" s="10"/>
      <c r="Y217" s="10"/>
      <c r="AA217" s="10"/>
      <c r="AC217" s="10"/>
      <c r="AE217" s="10"/>
      <c r="AG217" s="10"/>
      <c r="AI217" s="10"/>
      <c r="AK217" s="10"/>
      <c r="AM217" s="10"/>
      <c r="AO217" s="10"/>
      <c r="AQ217" s="10"/>
      <c r="AS217" s="10"/>
      <c r="AU217" s="10"/>
      <c r="AW217" s="10"/>
    </row>
    <row r="218" spans="1:49" ht="14.25" customHeight="1" x14ac:dyDescent="0.2">
      <c r="A218" s="9"/>
      <c r="B218" s="9"/>
      <c r="C218" s="9"/>
      <c r="E218" s="10"/>
      <c r="G218" s="10"/>
      <c r="I218" s="10"/>
      <c r="K218" s="10"/>
      <c r="M218" s="10"/>
      <c r="O218" s="10"/>
      <c r="Q218" s="10"/>
      <c r="S218" s="10"/>
      <c r="U218" s="10"/>
      <c r="W218" s="10"/>
      <c r="Y218" s="10"/>
      <c r="AA218" s="10"/>
      <c r="AC218" s="10"/>
      <c r="AE218" s="10"/>
      <c r="AG218" s="10"/>
      <c r="AI218" s="10"/>
      <c r="AK218" s="10"/>
      <c r="AM218" s="10"/>
      <c r="AO218" s="10"/>
      <c r="AQ218" s="10"/>
      <c r="AS218" s="10"/>
      <c r="AU218" s="10"/>
      <c r="AW218" s="10"/>
    </row>
    <row r="219" spans="1:49" ht="14.25" customHeight="1" x14ac:dyDescent="0.2">
      <c r="A219" s="9"/>
      <c r="B219" s="9"/>
      <c r="C219" s="9"/>
      <c r="E219" s="10"/>
      <c r="G219" s="10"/>
      <c r="I219" s="10"/>
      <c r="K219" s="10"/>
      <c r="M219" s="10"/>
      <c r="O219" s="10"/>
      <c r="Q219" s="10"/>
      <c r="S219" s="10"/>
      <c r="U219" s="10"/>
      <c r="W219" s="10"/>
      <c r="Y219" s="10"/>
      <c r="AA219" s="10"/>
      <c r="AC219" s="10"/>
      <c r="AE219" s="10"/>
      <c r="AG219" s="10"/>
      <c r="AI219" s="10"/>
      <c r="AK219" s="10"/>
      <c r="AM219" s="10"/>
      <c r="AO219" s="10"/>
      <c r="AQ219" s="10"/>
      <c r="AS219" s="10"/>
      <c r="AU219" s="10"/>
      <c r="AW219" s="10"/>
    </row>
    <row r="220" spans="1:49" ht="14.25" customHeight="1" x14ac:dyDescent="0.2">
      <c r="A220" s="9"/>
      <c r="B220" s="9"/>
      <c r="C220" s="9"/>
      <c r="E220" s="10"/>
      <c r="G220" s="10"/>
      <c r="I220" s="10"/>
      <c r="K220" s="10"/>
      <c r="M220" s="10"/>
      <c r="O220" s="10"/>
      <c r="Q220" s="10"/>
      <c r="S220" s="10"/>
      <c r="U220" s="10"/>
      <c r="W220" s="10"/>
      <c r="Y220" s="10"/>
      <c r="AA220" s="10"/>
      <c r="AC220" s="10"/>
      <c r="AE220" s="10"/>
      <c r="AG220" s="10"/>
      <c r="AI220" s="10"/>
      <c r="AK220" s="10"/>
      <c r="AM220" s="10"/>
      <c r="AO220" s="10"/>
      <c r="AQ220" s="10"/>
      <c r="AS220" s="10"/>
      <c r="AU220" s="10"/>
      <c r="AW220" s="10"/>
    </row>
    <row r="221" spans="1:49" ht="14.25" customHeight="1" x14ac:dyDescent="0.2">
      <c r="A221" s="9"/>
      <c r="B221" s="9"/>
      <c r="C221" s="9"/>
      <c r="E221" s="10"/>
      <c r="G221" s="10"/>
      <c r="I221" s="10"/>
      <c r="K221" s="10"/>
      <c r="M221" s="10"/>
      <c r="O221" s="10"/>
      <c r="Q221" s="10"/>
      <c r="S221" s="10"/>
      <c r="U221" s="10"/>
      <c r="W221" s="10"/>
      <c r="Y221" s="10"/>
      <c r="AA221" s="10"/>
      <c r="AC221" s="10"/>
      <c r="AE221" s="10"/>
      <c r="AG221" s="10"/>
      <c r="AI221" s="10"/>
      <c r="AK221" s="10"/>
      <c r="AM221" s="10"/>
      <c r="AO221" s="10"/>
      <c r="AQ221" s="10"/>
      <c r="AS221" s="10"/>
      <c r="AU221" s="10"/>
      <c r="AW221" s="10"/>
    </row>
    <row r="222" spans="1:49" ht="14.25" customHeight="1" x14ac:dyDescent="0.2">
      <c r="A222" s="9"/>
      <c r="B222" s="9"/>
      <c r="C222" s="9"/>
      <c r="E222" s="10"/>
      <c r="G222" s="10"/>
      <c r="I222" s="10"/>
      <c r="K222" s="10"/>
      <c r="M222" s="10"/>
      <c r="O222" s="10"/>
      <c r="Q222" s="10"/>
      <c r="S222" s="10"/>
      <c r="U222" s="10"/>
      <c r="W222" s="10"/>
      <c r="Y222" s="10"/>
      <c r="AA222" s="10"/>
      <c r="AC222" s="10"/>
      <c r="AE222" s="10"/>
      <c r="AG222" s="10"/>
      <c r="AI222" s="10"/>
      <c r="AK222" s="10"/>
      <c r="AM222" s="10"/>
      <c r="AO222" s="10"/>
      <c r="AQ222" s="10"/>
      <c r="AS222" s="10"/>
      <c r="AU222" s="10"/>
      <c r="AW222" s="10"/>
    </row>
    <row r="223" spans="1:49" ht="14.25" customHeight="1" x14ac:dyDescent="0.2">
      <c r="A223" s="9"/>
      <c r="B223" s="9"/>
      <c r="C223" s="9"/>
      <c r="E223" s="10"/>
      <c r="G223" s="10"/>
      <c r="I223" s="10"/>
      <c r="K223" s="10"/>
      <c r="M223" s="10"/>
      <c r="O223" s="10"/>
      <c r="Q223" s="10"/>
      <c r="S223" s="10"/>
      <c r="U223" s="10"/>
      <c r="W223" s="10"/>
      <c r="Y223" s="10"/>
      <c r="AA223" s="10"/>
      <c r="AC223" s="10"/>
      <c r="AE223" s="10"/>
      <c r="AG223" s="10"/>
      <c r="AI223" s="10"/>
      <c r="AK223" s="10"/>
      <c r="AM223" s="10"/>
      <c r="AO223" s="10"/>
      <c r="AQ223" s="10"/>
      <c r="AS223" s="10"/>
      <c r="AU223" s="10"/>
      <c r="AW223" s="10"/>
    </row>
    <row r="224" spans="1:49" ht="14.25" customHeight="1" x14ac:dyDescent="0.2">
      <c r="A224" s="9"/>
      <c r="B224" s="9"/>
      <c r="C224" s="9"/>
      <c r="E224" s="10"/>
      <c r="G224" s="10"/>
      <c r="I224" s="10"/>
      <c r="K224" s="10"/>
      <c r="M224" s="10"/>
      <c r="O224" s="10"/>
      <c r="Q224" s="10"/>
      <c r="S224" s="10"/>
      <c r="U224" s="10"/>
      <c r="W224" s="10"/>
      <c r="Y224" s="10"/>
      <c r="AA224" s="10"/>
      <c r="AC224" s="10"/>
      <c r="AE224" s="10"/>
      <c r="AG224" s="10"/>
      <c r="AI224" s="10"/>
      <c r="AK224" s="10"/>
      <c r="AM224" s="10"/>
      <c r="AO224" s="10"/>
      <c r="AQ224" s="10"/>
      <c r="AS224" s="10"/>
      <c r="AU224" s="10"/>
      <c r="AW224" s="10"/>
    </row>
    <row r="225" spans="1:49" ht="14.25" customHeight="1" x14ac:dyDescent="0.2">
      <c r="A225" s="9"/>
      <c r="B225" s="9"/>
      <c r="C225" s="9"/>
      <c r="E225" s="10"/>
      <c r="G225" s="10"/>
      <c r="I225" s="10"/>
      <c r="K225" s="10"/>
      <c r="M225" s="10"/>
      <c r="O225" s="10"/>
      <c r="Q225" s="10"/>
      <c r="S225" s="10"/>
      <c r="U225" s="10"/>
      <c r="W225" s="10"/>
      <c r="Y225" s="10"/>
      <c r="AA225" s="10"/>
      <c r="AC225" s="10"/>
      <c r="AE225" s="10"/>
      <c r="AG225" s="10"/>
      <c r="AI225" s="10"/>
      <c r="AK225" s="10"/>
      <c r="AM225" s="10"/>
      <c r="AO225" s="10"/>
      <c r="AQ225" s="10"/>
      <c r="AS225" s="10"/>
      <c r="AU225" s="10"/>
      <c r="AW225" s="10"/>
    </row>
    <row r="226" spans="1:49" ht="14.25" customHeight="1" x14ac:dyDescent="0.2">
      <c r="A226" s="9"/>
      <c r="B226" s="9"/>
      <c r="C226" s="9"/>
      <c r="E226" s="10"/>
      <c r="G226" s="10"/>
      <c r="I226" s="10"/>
      <c r="K226" s="10"/>
      <c r="M226" s="10"/>
      <c r="O226" s="10"/>
      <c r="Q226" s="10"/>
      <c r="S226" s="10"/>
      <c r="U226" s="10"/>
      <c r="W226" s="10"/>
      <c r="Y226" s="10"/>
      <c r="AA226" s="10"/>
      <c r="AC226" s="10"/>
      <c r="AE226" s="10"/>
      <c r="AG226" s="10"/>
      <c r="AI226" s="10"/>
      <c r="AK226" s="10"/>
      <c r="AM226" s="10"/>
      <c r="AO226" s="10"/>
      <c r="AQ226" s="10"/>
      <c r="AS226" s="10"/>
      <c r="AU226" s="10"/>
      <c r="AW226" s="10"/>
    </row>
    <row r="227" spans="1:49" ht="14.25" customHeight="1" x14ac:dyDescent="0.2">
      <c r="A227" s="9"/>
      <c r="B227" s="9"/>
      <c r="C227" s="9"/>
      <c r="E227" s="10"/>
      <c r="G227" s="10"/>
      <c r="I227" s="10"/>
      <c r="K227" s="10"/>
      <c r="M227" s="10"/>
      <c r="O227" s="10"/>
      <c r="Q227" s="10"/>
      <c r="S227" s="10"/>
      <c r="U227" s="10"/>
      <c r="W227" s="10"/>
      <c r="Y227" s="10"/>
      <c r="AA227" s="10"/>
      <c r="AC227" s="10"/>
      <c r="AE227" s="10"/>
      <c r="AG227" s="10"/>
      <c r="AI227" s="10"/>
      <c r="AK227" s="10"/>
      <c r="AM227" s="10"/>
      <c r="AO227" s="10"/>
      <c r="AQ227" s="10"/>
      <c r="AS227" s="10"/>
      <c r="AU227" s="10"/>
      <c r="AW227" s="10"/>
    </row>
    <row r="228" spans="1:49" ht="14.25" customHeight="1" x14ac:dyDescent="0.2">
      <c r="A228" s="9"/>
      <c r="B228" s="9"/>
      <c r="C228" s="9"/>
      <c r="E228" s="10"/>
      <c r="G228" s="10"/>
      <c r="I228" s="10"/>
      <c r="K228" s="10"/>
      <c r="M228" s="10"/>
      <c r="O228" s="10"/>
      <c r="Q228" s="10"/>
      <c r="S228" s="10"/>
      <c r="U228" s="10"/>
      <c r="W228" s="10"/>
      <c r="Y228" s="10"/>
      <c r="AA228" s="10"/>
      <c r="AC228" s="10"/>
      <c r="AE228" s="10"/>
      <c r="AG228" s="10"/>
      <c r="AI228" s="10"/>
      <c r="AK228" s="10"/>
      <c r="AM228" s="10"/>
      <c r="AO228" s="10"/>
      <c r="AQ228" s="10"/>
      <c r="AS228" s="10"/>
      <c r="AU228" s="10"/>
      <c r="AW228" s="10"/>
    </row>
    <row r="229" spans="1:49" ht="14.25" customHeight="1" x14ac:dyDescent="0.2">
      <c r="A229" s="9"/>
      <c r="B229" s="9"/>
      <c r="C229" s="9"/>
      <c r="E229" s="10"/>
      <c r="G229" s="10"/>
      <c r="I229" s="10"/>
      <c r="K229" s="10"/>
      <c r="M229" s="10"/>
      <c r="O229" s="10"/>
      <c r="Q229" s="10"/>
      <c r="S229" s="10"/>
      <c r="U229" s="10"/>
      <c r="W229" s="10"/>
      <c r="Y229" s="10"/>
      <c r="AA229" s="10"/>
      <c r="AC229" s="10"/>
      <c r="AE229" s="10"/>
      <c r="AG229" s="10"/>
      <c r="AI229" s="10"/>
      <c r="AK229" s="10"/>
      <c r="AM229" s="10"/>
      <c r="AO229" s="10"/>
      <c r="AQ229" s="10"/>
      <c r="AS229" s="10"/>
      <c r="AU229" s="10"/>
      <c r="AW229" s="10"/>
    </row>
    <row r="230" spans="1:49" ht="14.25" customHeight="1" x14ac:dyDescent="0.2">
      <c r="A230" s="9"/>
      <c r="B230" s="9"/>
      <c r="C230" s="9"/>
      <c r="E230" s="10"/>
      <c r="G230" s="10"/>
      <c r="I230" s="10"/>
      <c r="K230" s="10"/>
      <c r="M230" s="10"/>
      <c r="O230" s="10"/>
      <c r="Q230" s="10"/>
      <c r="S230" s="10"/>
      <c r="U230" s="10"/>
      <c r="W230" s="10"/>
      <c r="Y230" s="10"/>
      <c r="AA230" s="10"/>
      <c r="AC230" s="10"/>
      <c r="AE230" s="10"/>
      <c r="AG230" s="10"/>
      <c r="AI230" s="10"/>
      <c r="AK230" s="10"/>
      <c r="AM230" s="10"/>
      <c r="AO230" s="10"/>
      <c r="AQ230" s="10"/>
      <c r="AS230" s="10"/>
      <c r="AU230" s="10"/>
      <c r="AW230" s="10"/>
    </row>
    <row r="231" spans="1:49" ht="14.25" customHeight="1" x14ac:dyDescent="0.2">
      <c r="A231" s="9"/>
      <c r="B231" s="9"/>
      <c r="C231" s="9"/>
      <c r="E231" s="10"/>
      <c r="G231" s="10"/>
      <c r="I231" s="10"/>
      <c r="K231" s="10"/>
      <c r="M231" s="10"/>
      <c r="O231" s="10"/>
      <c r="Q231" s="10"/>
      <c r="S231" s="10"/>
      <c r="U231" s="10"/>
      <c r="W231" s="10"/>
      <c r="Y231" s="10"/>
      <c r="AA231" s="10"/>
      <c r="AC231" s="10"/>
      <c r="AE231" s="10"/>
      <c r="AG231" s="10"/>
      <c r="AI231" s="10"/>
      <c r="AK231" s="10"/>
      <c r="AM231" s="10"/>
      <c r="AO231" s="10"/>
      <c r="AQ231" s="10"/>
      <c r="AS231" s="10"/>
      <c r="AU231" s="10"/>
      <c r="AW231" s="10"/>
    </row>
    <row r="232" spans="1:49" ht="14.25" customHeight="1" x14ac:dyDescent="0.2">
      <c r="A232" s="9"/>
      <c r="B232" s="9"/>
      <c r="C232" s="9"/>
      <c r="E232" s="10"/>
      <c r="G232" s="10"/>
      <c r="I232" s="10"/>
      <c r="K232" s="10"/>
      <c r="M232" s="10"/>
      <c r="O232" s="10"/>
      <c r="Q232" s="10"/>
      <c r="S232" s="10"/>
      <c r="U232" s="10"/>
      <c r="W232" s="10"/>
      <c r="Y232" s="10"/>
      <c r="AA232" s="10"/>
      <c r="AC232" s="10"/>
      <c r="AE232" s="10"/>
      <c r="AG232" s="10"/>
      <c r="AI232" s="10"/>
      <c r="AK232" s="10"/>
      <c r="AM232" s="10"/>
      <c r="AO232" s="10"/>
      <c r="AQ232" s="10"/>
      <c r="AS232" s="10"/>
      <c r="AU232" s="10"/>
      <c r="AW232" s="10"/>
    </row>
    <row r="233" spans="1:49" ht="14.25" customHeight="1" x14ac:dyDescent="0.2">
      <c r="A233" s="9"/>
      <c r="B233" s="9"/>
      <c r="C233" s="9"/>
      <c r="E233" s="10"/>
      <c r="G233" s="10"/>
      <c r="I233" s="10"/>
      <c r="K233" s="10"/>
      <c r="M233" s="10"/>
      <c r="O233" s="10"/>
      <c r="Q233" s="10"/>
      <c r="S233" s="10"/>
      <c r="U233" s="10"/>
      <c r="W233" s="10"/>
      <c r="Y233" s="10"/>
      <c r="AA233" s="10"/>
      <c r="AC233" s="10"/>
      <c r="AE233" s="10"/>
      <c r="AG233" s="10"/>
      <c r="AI233" s="10"/>
      <c r="AK233" s="10"/>
      <c r="AM233" s="10"/>
      <c r="AO233" s="10"/>
      <c r="AQ233" s="10"/>
      <c r="AS233" s="10"/>
      <c r="AU233" s="10"/>
      <c r="AW233" s="10"/>
    </row>
    <row r="234" spans="1:49" ht="14.25" customHeight="1" x14ac:dyDescent="0.2">
      <c r="A234" s="9"/>
      <c r="B234" s="9"/>
      <c r="C234" s="9"/>
      <c r="E234" s="10"/>
      <c r="G234" s="10"/>
      <c r="I234" s="10"/>
      <c r="K234" s="10"/>
      <c r="M234" s="10"/>
      <c r="O234" s="10"/>
      <c r="Q234" s="10"/>
      <c r="S234" s="10"/>
      <c r="U234" s="10"/>
      <c r="W234" s="10"/>
      <c r="Y234" s="10"/>
      <c r="AA234" s="10"/>
      <c r="AC234" s="10"/>
      <c r="AE234" s="10"/>
      <c r="AG234" s="10"/>
      <c r="AI234" s="10"/>
      <c r="AK234" s="10"/>
      <c r="AM234" s="10"/>
      <c r="AO234" s="10"/>
      <c r="AQ234" s="10"/>
      <c r="AS234" s="10"/>
      <c r="AU234" s="10"/>
      <c r="AW234" s="10"/>
    </row>
    <row r="235" spans="1:49" ht="14.25" customHeight="1" x14ac:dyDescent="0.2">
      <c r="A235" s="9"/>
      <c r="B235" s="9"/>
      <c r="C235" s="9"/>
      <c r="E235" s="10"/>
      <c r="G235" s="10"/>
      <c r="I235" s="10"/>
      <c r="K235" s="10"/>
      <c r="M235" s="10"/>
      <c r="O235" s="10"/>
      <c r="Q235" s="10"/>
      <c r="S235" s="10"/>
      <c r="U235" s="10"/>
      <c r="W235" s="10"/>
      <c r="Y235" s="10"/>
      <c r="AA235" s="10"/>
      <c r="AC235" s="10"/>
      <c r="AE235" s="10"/>
      <c r="AG235" s="10"/>
      <c r="AI235" s="10"/>
      <c r="AK235" s="10"/>
      <c r="AM235" s="10"/>
      <c r="AO235" s="10"/>
      <c r="AQ235" s="10"/>
      <c r="AS235" s="10"/>
      <c r="AU235" s="10"/>
      <c r="AW235" s="10"/>
    </row>
    <row r="236" spans="1:49" ht="14.25" customHeight="1" x14ac:dyDescent="0.2">
      <c r="A236" s="9"/>
      <c r="B236" s="9"/>
      <c r="C236" s="9"/>
      <c r="E236" s="10"/>
      <c r="G236" s="10"/>
      <c r="I236" s="10"/>
      <c r="K236" s="10"/>
      <c r="M236" s="10"/>
      <c r="O236" s="10"/>
      <c r="Q236" s="10"/>
      <c r="S236" s="10"/>
      <c r="U236" s="10"/>
      <c r="W236" s="10"/>
      <c r="Y236" s="10"/>
      <c r="AA236" s="10"/>
      <c r="AC236" s="10"/>
      <c r="AE236" s="10"/>
      <c r="AG236" s="10"/>
      <c r="AI236" s="10"/>
      <c r="AK236" s="10"/>
      <c r="AM236" s="10"/>
      <c r="AO236" s="10"/>
      <c r="AQ236" s="10"/>
      <c r="AS236" s="10"/>
      <c r="AU236" s="10"/>
      <c r="AW236" s="10"/>
    </row>
    <row r="237" spans="1:49" ht="14.25" customHeight="1" x14ac:dyDescent="0.2">
      <c r="A237" s="9"/>
      <c r="B237" s="9"/>
      <c r="C237" s="9"/>
      <c r="E237" s="10"/>
      <c r="G237" s="10"/>
      <c r="I237" s="10"/>
      <c r="K237" s="10"/>
      <c r="M237" s="10"/>
      <c r="O237" s="10"/>
      <c r="Q237" s="10"/>
      <c r="S237" s="10"/>
      <c r="U237" s="10"/>
      <c r="W237" s="10"/>
      <c r="Y237" s="10"/>
      <c r="AA237" s="10"/>
      <c r="AC237" s="10"/>
      <c r="AE237" s="10"/>
      <c r="AG237" s="10"/>
      <c r="AI237" s="10"/>
      <c r="AK237" s="10"/>
      <c r="AM237" s="10"/>
      <c r="AO237" s="10"/>
      <c r="AQ237" s="10"/>
      <c r="AS237" s="10"/>
      <c r="AU237" s="10"/>
      <c r="AW237" s="10"/>
    </row>
    <row r="238" spans="1:49" ht="14.25" customHeight="1" x14ac:dyDescent="0.2">
      <c r="A238" s="9"/>
      <c r="B238" s="9"/>
      <c r="C238" s="9"/>
      <c r="E238" s="10"/>
      <c r="G238" s="10"/>
      <c r="I238" s="10"/>
      <c r="K238" s="10"/>
      <c r="M238" s="10"/>
      <c r="O238" s="10"/>
      <c r="Q238" s="10"/>
      <c r="S238" s="10"/>
      <c r="U238" s="10"/>
      <c r="W238" s="10"/>
      <c r="Y238" s="10"/>
      <c r="AA238" s="10"/>
      <c r="AC238" s="10"/>
      <c r="AE238" s="10"/>
      <c r="AG238" s="10"/>
      <c r="AI238" s="10"/>
      <c r="AK238" s="10"/>
      <c r="AM238" s="10"/>
      <c r="AO238" s="10"/>
      <c r="AQ238" s="10"/>
      <c r="AS238" s="10"/>
      <c r="AU238" s="10"/>
      <c r="AW238" s="10"/>
    </row>
    <row r="239" spans="1:49" ht="14.25" customHeight="1" x14ac:dyDescent="0.2">
      <c r="A239" s="9"/>
      <c r="B239" s="9"/>
      <c r="C239" s="9"/>
      <c r="E239" s="10"/>
      <c r="G239" s="10"/>
      <c r="I239" s="10"/>
      <c r="K239" s="10"/>
      <c r="M239" s="10"/>
      <c r="O239" s="10"/>
      <c r="Q239" s="10"/>
      <c r="S239" s="10"/>
      <c r="U239" s="10"/>
      <c r="W239" s="10"/>
      <c r="Y239" s="10"/>
      <c r="AA239" s="10"/>
      <c r="AC239" s="10"/>
      <c r="AE239" s="10"/>
      <c r="AG239" s="10"/>
      <c r="AI239" s="10"/>
      <c r="AK239" s="10"/>
      <c r="AM239" s="10"/>
      <c r="AO239" s="10"/>
      <c r="AQ239" s="10"/>
      <c r="AS239" s="10"/>
      <c r="AU239" s="10"/>
      <c r="AW239" s="10"/>
    </row>
    <row r="240" spans="1:49" ht="14.25" customHeight="1" x14ac:dyDescent="0.2">
      <c r="A240" s="9"/>
      <c r="B240" s="9"/>
      <c r="C240" s="9"/>
      <c r="E240" s="10"/>
      <c r="G240" s="10"/>
      <c r="I240" s="10"/>
      <c r="K240" s="10"/>
      <c r="M240" s="10"/>
      <c r="O240" s="10"/>
      <c r="Q240" s="10"/>
      <c r="S240" s="10"/>
      <c r="U240" s="10"/>
      <c r="W240" s="10"/>
      <c r="Y240" s="10"/>
      <c r="AA240" s="10"/>
      <c r="AC240" s="10"/>
      <c r="AE240" s="10"/>
      <c r="AG240" s="10"/>
      <c r="AI240" s="10"/>
      <c r="AK240" s="10"/>
      <c r="AM240" s="10"/>
      <c r="AO240" s="10"/>
      <c r="AQ240" s="10"/>
      <c r="AS240" s="10"/>
      <c r="AU240" s="10"/>
      <c r="AW240" s="10"/>
    </row>
    <row r="241" spans="1:49" ht="14.25" customHeight="1" x14ac:dyDescent="0.2">
      <c r="A241" s="9"/>
      <c r="B241" s="9"/>
      <c r="C241" s="9"/>
      <c r="E241" s="10"/>
      <c r="G241" s="10"/>
      <c r="I241" s="10"/>
      <c r="K241" s="10"/>
      <c r="M241" s="10"/>
      <c r="O241" s="10"/>
      <c r="Q241" s="10"/>
      <c r="S241" s="10"/>
      <c r="U241" s="10"/>
      <c r="W241" s="10"/>
      <c r="Y241" s="10"/>
      <c r="AA241" s="10"/>
      <c r="AC241" s="10"/>
      <c r="AE241" s="10"/>
      <c r="AG241" s="10"/>
      <c r="AI241" s="10"/>
      <c r="AK241" s="10"/>
      <c r="AM241" s="10"/>
      <c r="AO241" s="10"/>
      <c r="AQ241" s="10"/>
      <c r="AS241" s="10"/>
      <c r="AU241" s="10"/>
      <c r="AW241" s="10"/>
    </row>
    <row r="242" spans="1:49" ht="14.25" customHeight="1" x14ac:dyDescent="0.2">
      <c r="A242" s="9"/>
      <c r="B242" s="9"/>
      <c r="C242" s="9"/>
      <c r="E242" s="10"/>
      <c r="G242" s="10"/>
      <c r="I242" s="10"/>
      <c r="K242" s="10"/>
      <c r="M242" s="10"/>
      <c r="O242" s="10"/>
      <c r="Q242" s="10"/>
      <c r="S242" s="10"/>
      <c r="U242" s="10"/>
      <c r="W242" s="10"/>
      <c r="Y242" s="10"/>
      <c r="AA242" s="10"/>
      <c r="AC242" s="10"/>
      <c r="AE242" s="10"/>
      <c r="AG242" s="10"/>
      <c r="AI242" s="10"/>
      <c r="AK242" s="10"/>
      <c r="AM242" s="10"/>
      <c r="AO242" s="10"/>
      <c r="AQ242" s="10"/>
      <c r="AS242" s="10"/>
      <c r="AU242" s="10"/>
      <c r="AW242" s="10"/>
    </row>
    <row r="243" spans="1:49" ht="14.25" customHeight="1" x14ac:dyDescent="0.2">
      <c r="A243" s="9"/>
      <c r="B243" s="9"/>
      <c r="C243" s="9"/>
      <c r="E243" s="10"/>
      <c r="G243" s="10"/>
      <c r="I243" s="10"/>
      <c r="K243" s="10"/>
      <c r="M243" s="10"/>
      <c r="O243" s="10"/>
      <c r="Q243" s="10"/>
      <c r="S243" s="10"/>
      <c r="U243" s="10"/>
      <c r="W243" s="10"/>
      <c r="Y243" s="10"/>
      <c r="AA243" s="10"/>
      <c r="AC243" s="10"/>
      <c r="AE243" s="10"/>
      <c r="AG243" s="10"/>
      <c r="AI243" s="10"/>
      <c r="AK243" s="10"/>
      <c r="AM243" s="10"/>
      <c r="AO243" s="10"/>
      <c r="AQ243" s="10"/>
      <c r="AS243" s="10"/>
      <c r="AU243" s="10"/>
      <c r="AW243" s="10"/>
    </row>
    <row r="244" spans="1:49" ht="14.25" customHeight="1" x14ac:dyDescent="0.2">
      <c r="A244" s="9"/>
      <c r="B244" s="9"/>
      <c r="C244" s="9"/>
      <c r="E244" s="10"/>
      <c r="G244" s="10"/>
      <c r="I244" s="10"/>
      <c r="K244" s="10"/>
      <c r="M244" s="10"/>
      <c r="O244" s="10"/>
      <c r="Q244" s="10"/>
      <c r="S244" s="10"/>
      <c r="U244" s="10"/>
      <c r="W244" s="10"/>
      <c r="Y244" s="10"/>
      <c r="AA244" s="10"/>
      <c r="AC244" s="10"/>
      <c r="AE244" s="10"/>
      <c r="AG244" s="10"/>
      <c r="AI244" s="10"/>
      <c r="AK244" s="10"/>
      <c r="AM244" s="10"/>
      <c r="AO244" s="10"/>
      <c r="AQ244" s="10"/>
      <c r="AS244" s="10"/>
      <c r="AU244" s="10"/>
      <c r="AW244" s="10"/>
    </row>
    <row r="245" spans="1:49" ht="14.25" customHeight="1" x14ac:dyDescent="0.2">
      <c r="A245" s="9"/>
      <c r="B245" s="9"/>
      <c r="C245" s="9"/>
      <c r="E245" s="10"/>
      <c r="G245" s="10"/>
      <c r="I245" s="10"/>
      <c r="K245" s="10"/>
      <c r="M245" s="10"/>
      <c r="O245" s="10"/>
      <c r="Q245" s="10"/>
      <c r="S245" s="10"/>
      <c r="U245" s="10"/>
      <c r="W245" s="10"/>
      <c r="Y245" s="10"/>
      <c r="AA245" s="10"/>
      <c r="AC245" s="10"/>
      <c r="AE245" s="10"/>
      <c r="AG245" s="10"/>
      <c r="AI245" s="10"/>
      <c r="AK245" s="10"/>
      <c r="AM245" s="10"/>
      <c r="AO245" s="10"/>
      <c r="AQ245" s="10"/>
      <c r="AS245" s="10"/>
      <c r="AU245" s="10"/>
      <c r="AW245" s="10"/>
    </row>
    <row r="246" spans="1:49" ht="14.25" customHeight="1" x14ac:dyDescent="0.2">
      <c r="A246" s="9"/>
      <c r="B246" s="9"/>
      <c r="C246" s="9"/>
      <c r="E246" s="10"/>
      <c r="G246" s="10"/>
      <c r="I246" s="10"/>
      <c r="K246" s="10"/>
      <c r="M246" s="10"/>
      <c r="O246" s="10"/>
      <c r="Q246" s="10"/>
      <c r="S246" s="10"/>
      <c r="U246" s="10"/>
      <c r="W246" s="10"/>
      <c r="Y246" s="10"/>
      <c r="AA246" s="10"/>
      <c r="AC246" s="10"/>
      <c r="AE246" s="10"/>
      <c r="AG246" s="10"/>
      <c r="AI246" s="10"/>
      <c r="AK246" s="10"/>
      <c r="AM246" s="10"/>
      <c r="AO246" s="10"/>
      <c r="AQ246" s="10"/>
      <c r="AS246" s="10"/>
      <c r="AU246" s="10"/>
      <c r="AW246" s="10"/>
    </row>
    <row r="247" spans="1:49" ht="14.25" customHeight="1" x14ac:dyDescent="0.2">
      <c r="A247" s="9"/>
      <c r="B247" s="9"/>
      <c r="C247" s="9"/>
      <c r="E247" s="10"/>
      <c r="G247" s="10"/>
      <c r="I247" s="10"/>
      <c r="K247" s="10"/>
      <c r="M247" s="10"/>
      <c r="O247" s="10"/>
      <c r="Q247" s="10"/>
      <c r="S247" s="10"/>
      <c r="U247" s="10"/>
      <c r="W247" s="10"/>
      <c r="Y247" s="10"/>
      <c r="AA247" s="10"/>
      <c r="AC247" s="10"/>
      <c r="AE247" s="10"/>
      <c r="AG247" s="10"/>
      <c r="AI247" s="10"/>
      <c r="AK247" s="10"/>
      <c r="AM247" s="10"/>
      <c r="AO247" s="10"/>
      <c r="AQ247" s="10"/>
      <c r="AS247" s="10"/>
      <c r="AU247" s="10"/>
      <c r="AW247" s="10"/>
    </row>
    <row r="248" spans="1:49" ht="14.25" customHeight="1" x14ac:dyDescent="0.2">
      <c r="A248" s="9"/>
      <c r="B248" s="9"/>
      <c r="C248" s="9"/>
      <c r="E248" s="10"/>
      <c r="G248" s="10"/>
      <c r="I248" s="10"/>
      <c r="K248" s="10"/>
      <c r="M248" s="10"/>
      <c r="O248" s="10"/>
      <c r="Q248" s="10"/>
      <c r="S248" s="10"/>
      <c r="U248" s="10"/>
      <c r="W248" s="10"/>
      <c r="Y248" s="10"/>
      <c r="AA248" s="10"/>
      <c r="AC248" s="10"/>
      <c r="AE248" s="10"/>
      <c r="AG248" s="10"/>
      <c r="AI248" s="10"/>
      <c r="AK248" s="10"/>
      <c r="AM248" s="10"/>
      <c r="AO248" s="10"/>
      <c r="AQ248" s="10"/>
      <c r="AS248" s="10"/>
      <c r="AU248" s="10"/>
      <c r="AW248" s="10"/>
    </row>
    <row r="249" spans="1:49" ht="14.25" customHeight="1" x14ac:dyDescent="0.2">
      <c r="A249" s="9"/>
      <c r="B249" s="9"/>
      <c r="C249" s="9"/>
      <c r="E249" s="10"/>
      <c r="G249" s="10"/>
      <c r="I249" s="10"/>
      <c r="K249" s="10"/>
      <c r="M249" s="10"/>
      <c r="O249" s="10"/>
      <c r="Q249" s="10"/>
      <c r="S249" s="10"/>
      <c r="U249" s="10"/>
      <c r="W249" s="10"/>
      <c r="Y249" s="10"/>
      <c r="AA249" s="10"/>
      <c r="AC249" s="10"/>
      <c r="AE249" s="10"/>
      <c r="AG249" s="10"/>
      <c r="AI249" s="10"/>
      <c r="AK249" s="10"/>
      <c r="AM249" s="10"/>
      <c r="AO249" s="10"/>
      <c r="AQ249" s="10"/>
      <c r="AS249" s="10"/>
      <c r="AU249" s="10"/>
      <c r="AW249" s="10"/>
    </row>
    <row r="250" spans="1:49" ht="14.25" customHeight="1" x14ac:dyDescent="0.2">
      <c r="A250" s="9"/>
      <c r="B250" s="9"/>
      <c r="C250" s="9"/>
      <c r="E250" s="10"/>
      <c r="G250" s="10"/>
      <c r="I250" s="10"/>
      <c r="K250" s="10"/>
      <c r="M250" s="10"/>
      <c r="O250" s="10"/>
      <c r="Q250" s="10"/>
      <c r="S250" s="10"/>
      <c r="U250" s="10"/>
      <c r="W250" s="10"/>
      <c r="Y250" s="10"/>
      <c r="AA250" s="10"/>
      <c r="AC250" s="10"/>
      <c r="AE250" s="10"/>
      <c r="AG250" s="10"/>
      <c r="AI250" s="10"/>
      <c r="AK250" s="10"/>
      <c r="AM250" s="10"/>
      <c r="AO250" s="10"/>
      <c r="AQ250" s="10"/>
      <c r="AS250" s="10"/>
      <c r="AU250" s="10"/>
      <c r="AW250" s="10"/>
    </row>
    <row r="251" spans="1:49" ht="14.25" customHeight="1" x14ac:dyDescent="0.2">
      <c r="A251" s="9"/>
      <c r="B251" s="9"/>
      <c r="C251" s="9"/>
      <c r="E251" s="10"/>
      <c r="G251" s="10"/>
      <c r="I251" s="10"/>
      <c r="K251" s="10"/>
      <c r="M251" s="10"/>
      <c r="O251" s="10"/>
      <c r="Q251" s="10"/>
      <c r="S251" s="10"/>
      <c r="U251" s="10"/>
      <c r="W251" s="10"/>
      <c r="Y251" s="10"/>
      <c r="AA251" s="10"/>
      <c r="AC251" s="10"/>
      <c r="AE251" s="10"/>
      <c r="AG251" s="10"/>
      <c r="AI251" s="10"/>
      <c r="AK251" s="10"/>
      <c r="AM251" s="10"/>
      <c r="AO251" s="10"/>
      <c r="AQ251" s="10"/>
      <c r="AS251" s="10"/>
      <c r="AU251" s="10"/>
      <c r="AW251" s="10"/>
    </row>
    <row r="252" spans="1:49" ht="14.25" customHeight="1" x14ac:dyDescent="0.2">
      <c r="A252" s="9"/>
      <c r="B252" s="9"/>
      <c r="C252" s="9"/>
      <c r="E252" s="10"/>
      <c r="G252" s="10"/>
      <c r="I252" s="10"/>
      <c r="K252" s="10"/>
      <c r="M252" s="10"/>
      <c r="O252" s="10"/>
      <c r="Q252" s="10"/>
      <c r="S252" s="10"/>
      <c r="U252" s="10"/>
      <c r="W252" s="10"/>
      <c r="Y252" s="10"/>
      <c r="AA252" s="10"/>
      <c r="AC252" s="10"/>
      <c r="AE252" s="10"/>
      <c r="AG252" s="10"/>
      <c r="AI252" s="10"/>
      <c r="AK252" s="10"/>
      <c r="AM252" s="10"/>
      <c r="AO252" s="10"/>
      <c r="AQ252" s="10"/>
      <c r="AS252" s="10"/>
      <c r="AU252" s="10"/>
      <c r="AW252" s="10"/>
    </row>
    <row r="253" spans="1:49" ht="14.25" customHeight="1" x14ac:dyDescent="0.2">
      <c r="A253" s="9"/>
      <c r="B253" s="9"/>
      <c r="C253" s="9"/>
      <c r="E253" s="10"/>
      <c r="G253" s="10"/>
      <c r="I253" s="10"/>
      <c r="K253" s="10"/>
      <c r="M253" s="10"/>
      <c r="O253" s="10"/>
      <c r="Q253" s="10"/>
      <c r="S253" s="10"/>
      <c r="U253" s="10"/>
      <c r="W253" s="10"/>
      <c r="Y253" s="10"/>
      <c r="AA253" s="10"/>
      <c r="AC253" s="10"/>
      <c r="AE253" s="10"/>
      <c r="AG253" s="10"/>
      <c r="AI253" s="10"/>
      <c r="AK253" s="10"/>
      <c r="AM253" s="10"/>
      <c r="AO253" s="10"/>
      <c r="AQ253" s="10"/>
      <c r="AS253" s="10"/>
      <c r="AU253" s="10"/>
      <c r="AW253" s="10"/>
    </row>
    <row r="254" spans="1:49" ht="14.25" customHeight="1" x14ac:dyDescent="0.2">
      <c r="A254" s="9"/>
      <c r="B254" s="9"/>
      <c r="C254" s="9"/>
      <c r="E254" s="10"/>
      <c r="G254" s="10"/>
      <c r="I254" s="10"/>
      <c r="K254" s="10"/>
      <c r="M254" s="10"/>
      <c r="O254" s="10"/>
      <c r="Q254" s="10"/>
      <c r="S254" s="10"/>
      <c r="U254" s="10"/>
      <c r="W254" s="10"/>
      <c r="Y254" s="10"/>
      <c r="AA254" s="10"/>
      <c r="AC254" s="10"/>
      <c r="AE254" s="10"/>
      <c r="AG254" s="10"/>
      <c r="AI254" s="10"/>
      <c r="AK254" s="10"/>
      <c r="AM254" s="10"/>
      <c r="AO254" s="10"/>
      <c r="AQ254" s="10"/>
      <c r="AS254" s="10"/>
      <c r="AU254" s="10"/>
      <c r="AW254" s="10"/>
    </row>
    <row r="255" spans="1:49" ht="14.25" customHeight="1" x14ac:dyDescent="0.2">
      <c r="A255" s="9"/>
      <c r="B255" s="9"/>
      <c r="C255" s="9"/>
      <c r="E255" s="10"/>
      <c r="G255" s="10"/>
      <c r="I255" s="10"/>
      <c r="K255" s="10"/>
      <c r="M255" s="10"/>
      <c r="O255" s="10"/>
      <c r="Q255" s="10"/>
      <c r="S255" s="10"/>
      <c r="U255" s="10"/>
      <c r="W255" s="10"/>
      <c r="Y255" s="10"/>
      <c r="AA255" s="10"/>
      <c r="AC255" s="10"/>
      <c r="AE255" s="10"/>
      <c r="AG255" s="10"/>
      <c r="AI255" s="10"/>
      <c r="AK255" s="10"/>
      <c r="AM255" s="10"/>
      <c r="AO255" s="10"/>
      <c r="AQ255" s="10"/>
      <c r="AS255" s="10"/>
      <c r="AU255" s="10"/>
      <c r="AW255" s="10"/>
    </row>
    <row r="256" spans="1:49" ht="14.25" customHeight="1" x14ac:dyDescent="0.2">
      <c r="A256" s="9"/>
      <c r="B256" s="9"/>
      <c r="C256" s="9"/>
      <c r="E256" s="10"/>
      <c r="G256" s="10"/>
      <c r="I256" s="10"/>
      <c r="K256" s="10"/>
      <c r="M256" s="10"/>
      <c r="O256" s="10"/>
      <c r="Q256" s="10"/>
      <c r="S256" s="10"/>
      <c r="U256" s="10"/>
      <c r="W256" s="10"/>
      <c r="Y256" s="10"/>
      <c r="AA256" s="10"/>
      <c r="AC256" s="10"/>
      <c r="AE256" s="10"/>
      <c r="AG256" s="10"/>
      <c r="AI256" s="10"/>
      <c r="AK256" s="10"/>
      <c r="AM256" s="10"/>
      <c r="AO256" s="10"/>
      <c r="AQ256" s="10"/>
      <c r="AS256" s="10"/>
      <c r="AU256" s="10"/>
      <c r="AW256" s="10"/>
    </row>
    <row r="257" spans="1:49" ht="14.25" customHeight="1" x14ac:dyDescent="0.2">
      <c r="A257" s="9"/>
      <c r="B257" s="9"/>
      <c r="C257" s="9"/>
      <c r="E257" s="10"/>
      <c r="G257" s="10"/>
      <c r="I257" s="10"/>
      <c r="K257" s="10"/>
      <c r="M257" s="10"/>
      <c r="O257" s="10"/>
      <c r="Q257" s="10"/>
      <c r="S257" s="10"/>
      <c r="U257" s="10"/>
      <c r="W257" s="10"/>
      <c r="Y257" s="10"/>
      <c r="AA257" s="10"/>
      <c r="AC257" s="10"/>
      <c r="AE257" s="10"/>
      <c r="AG257" s="10"/>
      <c r="AI257" s="10"/>
      <c r="AK257" s="10"/>
      <c r="AM257" s="10"/>
      <c r="AO257" s="10"/>
      <c r="AQ257" s="10"/>
      <c r="AS257" s="10"/>
      <c r="AU257" s="10"/>
      <c r="AW257" s="10"/>
    </row>
    <row r="258" spans="1:49" ht="14.25" customHeight="1" x14ac:dyDescent="0.2">
      <c r="A258" s="9"/>
      <c r="B258" s="9"/>
      <c r="C258" s="9"/>
      <c r="E258" s="10"/>
      <c r="G258" s="10"/>
      <c r="I258" s="10"/>
      <c r="K258" s="10"/>
      <c r="M258" s="10"/>
      <c r="O258" s="10"/>
      <c r="Q258" s="10"/>
      <c r="S258" s="10"/>
      <c r="U258" s="10"/>
      <c r="W258" s="10"/>
      <c r="Y258" s="10"/>
      <c r="AA258" s="10"/>
      <c r="AC258" s="10"/>
      <c r="AE258" s="10"/>
      <c r="AG258" s="10"/>
      <c r="AI258" s="10"/>
      <c r="AK258" s="10"/>
      <c r="AM258" s="10"/>
      <c r="AO258" s="10"/>
      <c r="AQ258" s="10"/>
      <c r="AS258" s="10"/>
      <c r="AU258" s="10"/>
      <c r="AW258" s="10"/>
    </row>
    <row r="259" spans="1:49" ht="14.25" customHeight="1" x14ac:dyDescent="0.2">
      <c r="A259" s="9"/>
      <c r="B259" s="9"/>
      <c r="C259" s="9"/>
      <c r="E259" s="10"/>
      <c r="G259" s="10"/>
      <c r="I259" s="10"/>
      <c r="K259" s="10"/>
      <c r="M259" s="10"/>
      <c r="O259" s="10"/>
      <c r="Q259" s="10"/>
      <c r="S259" s="10"/>
      <c r="U259" s="10"/>
      <c r="W259" s="10"/>
      <c r="Y259" s="10"/>
      <c r="AA259" s="10"/>
      <c r="AC259" s="10"/>
      <c r="AE259" s="10"/>
      <c r="AG259" s="10"/>
      <c r="AI259" s="10"/>
      <c r="AK259" s="10"/>
      <c r="AM259" s="10"/>
      <c r="AO259" s="10"/>
      <c r="AQ259" s="10"/>
      <c r="AS259" s="10"/>
      <c r="AU259" s="10"/>
      <c r="AW259" s="10"/>
    </row>
    <row r="260" spans="1:49" ht="14.25" customHeight="1" x14ac:dyDescent="0.2">
      <c r="A260" s="9"/>
      <c r="B260" s="9"/>
      <c r="C260" s="9"/>
      <c r="E260" s="10"/>
      <c r="G260" s="10"/>
      <c r="I260" s="10"/>
      <c r="K260" s="10"/>
      <c r="M260" s="10"/>
      <c r="O260" s="10"/>
      <c r="Q260" s="10"/>
      <c r="S260" s="10"/>
      <c r="U260" s="10"/>
      <c r="W260" s="10"/>
      <c r="Y260" s="10"/>
      <c r="AA260" s="10"/>
      <c r="AC260" s="10"/>
      <c r="AE260" s="10"/>
      <c r="AG260" s="10"/>
      <c r="AI260" s="10"/>
      <c r="AK260" s="10"/>
      <c r="AM260" s="10"/>
      <c r="AO260" s="10"/>
      <c r="AQ260" s="10"/>
      <c r="AS260" s="10"/>
      <c r="AU260" s="10"/>
      <c r="AW260" s="10"/>
    </row>
    <row r="261" spans="1:49" ht="14.25" customHeight="1" x14ac:dyDescent="0.2">
      <c r="A261" s="9"/>
      <c r="B261" s="9"/>
      <c r="C261" s="9"/>
      <c r="E261" s="10"/>
      <c r="G261" s="10"/>
      <c r="I261" s="10"/>
      <c r="K261" s="10"/>
      <c r="M261" s="10"/>
      <c r="O261" s="10"/>
      <c r="Q261" s="10"/>
      <c r="S261" s="10"/>
      <c r="U261" s="10"/>
      <c r="W261" s="10"/>
      <c r="Y261" s="10"/>
      <c r="AA261" s="10"/>
      <c r="AC261" s="10"/>
      <c r="AE261" s="10"/>
      <c r="AG261" s="10"/>
      <c r="AI261" s="10"/>
      <c r="AK261" s="10"/>
      <c r="AM261" s="10"/>
      <c r="AO261" s="10"/>
      <c r="AQ261" s="10"/>
      <c r="AS261" s="10"/>
      <c r="AU261" s="10"/>
      <c r="AW261" s="10"/>
    </row>
    <row r="262" spans="1:49" ht="14.25" customHeight="1" x14ac:dyDescent="0.2">
      <c r="A262" s="9"/>
      <c r="B262" s="9"/>
      <c r="C262" s="9"/>
      <c r="E262" s="10"/>
      <c r="G262" s="10"/>
      <c r="I262" s="10"/>
      <c r="K262" s="10"/>
      <c r="M262" s="10"/>
      <c r="O262" s="10"/>
      <c r="Q262" s="10"/>
      <c r="S262" s="10"/>
      <c r="U262" s="10"/>
      <c r="W262" s="10"/>
      <c r="Y262" s="10"/>
      <c r="AA262" s="10"/>
      <c r="AC262" s="10"/>
      <c r="AE262" s="10"/>
      <c r="AG262" s="10"/>
      <c r="AI262" s="10"/>
      <c r="AK262" s="10"/>
      <c r="AM262" s="10"/>
      <c r="AO262" s="10"/>
      <c r="AQ262" s="10"/>
      <c r="AS262" s="10"/>
      <c r="AU262" s="10"/>
      <c r="AW262" s="10"/>
    </row>
    <row r="263" spans="1:49" ht="14.25" customHeight="1" x14ac:dyDescent="0.2">
      <c r="A263" s="9"/>
      <c r="B263" s="9"/>
      <c r="C263" s="9"/>
      <c r="E263" s="10"/>
      <c r="G263" s="10"/>
      <c r="I263" s="10"/>
      <c r="K263" s="10"/>
      <c r="M263" s="10"/>
      <c r="O263" s="10"/>
      <c r="Q263" s="10"/>
      <c r="S263" s="10"/>
      <c r="U263" s="10"/>
      <c r="W263" s="10"/>
      <c r="Y263" s="10"/>
      <c r="AA263" s="10"/>
      <c r="AC263" s="10"/>
      <c r="AE263" s="10"/>
      <c r="AG263" s="10"/>
      <c r="AI263" s="10"/>
      <c r="AK263" s="10"/>
      <c r="AM263" s="10"/>
      <c r="AO263" s="10"/>
      <c r="AQ263" s="10"/>
      <c r="AS263" s="10"/>
      <c r="AU263" s="10"/>
      <c r="AW263" s="10"/>
    </row>
    <row r="264" spans="1:49" ht="14.25" customHeight="1" x14ac:dyDescent="0.2"/>
    <row r="265" spans="1:49" ht="14.25" customHeight="1" x14ac:dyDescent="0.2"/>
    <row r="266" spans="1:49" ht="14.25" customHeight="1" x14ac:dyDescent="0.2"/>
    <row r="267" spans="1:49" ht="14.25" customHeight="1" x14ac:dyDescent="0.2"/>
    <row r="268" spans="1:49" ht="14.25" customHeight="1" x14ac:dyDescent="0.2"/>
    <row r="269" spans="1:49" ht="14.25" customHeight="1" x14ac:dyDescent="0.2"/>
    <row r="270" spans="1:49" ht="14.25" customHeight="1" x14ac:dyDescent="0.2"/>
    <row r="271" spans="1:49" ht="14.25" customHeight="1" x14ac:dyDescent="0.2"/>
    <row r="272" spans="1:49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7">
    <mergeCell ref="B2:C2"/>
    <mergeCell ref="X2:Y2"/>
    <mergeCell ref="Z2:AA2"/>
    <mergeCell ref="AD2:AE2"/>
    <mergeCell ref="AL2:AM2"/>
    <mergeCell ref="AB2:AC2"/>
    <mergeCell ref="L2:M2"/>
    <mergeCell ref="N2:O2"/>
    <mergeCell ref="AH2:AI2"/>
    <mergeCell ref="AJ2:AK2"/>
    <mergeCell ref="AF2:AG2"/>
    <mergeCell ref="AV2:AW2"/>
    <mergeCell ref="D1:AO1"/>
    <mergeCell ref="AP1:AU1"/>
    <mergeCell ref="AV1:AW1"/>
    <mergeCell ref="T2:U2"/>
    <mergeCell ref="D2:E2"/>
    <mergeCell ref="F2:G2"/>
    <mergeCell ref="R2:S2"/>
    <mergeCell ref="V2:W2"/>
    <mergeCell ref="H2:I2"/>
    <mergeCell ref="J2:K2"/>
    <mergeCell ref="AN2:AO2"/>
    <mergeCell ref="P2:Q2"/>
    <mergeCell ref="AP2:AQ2"/>
    <mergeCell ref="AR2:AS2"/>
    <mergeCell ref="AT2:AU2"/>
  </mergeCells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G999"/>
  <sheetViews>
    <sheetView workbookViewId="0">
      <selection activeCell="B2" sqref="B2:J6"/>
    </sheetView>
  </sheetViews>
  <sheetFormatPr baseColWidth="10" defaultColWidth="14.5" defaultRowHeight="15" customHeight="1" x14ac:dyDescent="0.2"/>
  <cols>
    <col min="1" max="1" width="10.6640625" customWidth="1"/>
    <col min="2" max="2" width="18.6640625" customWidth="1"/>
    <col min="3" max="9" width="10.6640625" customWidth="1"/>
    <col min="10" max="10" width="8.83203125" customWidth="1"/>
    <col min="11" max="11" width="10.6640625" customWidth="1"/>
    <col min="12" max="13" width="18.5" customWidth="1"/>
    <col min="14" max="14" width="17.5" customWidth="1"/>
    <col min="15" max="15" width="16.1640625" customWidth="1"/>
    <col min="16" max="17" width="25.1640625" customWidth="1"/>
    <col min="18" max="19" width="10.6640625" customWidth="1"/>
    <col min="20" max="21" width="13.5" customWidth="1"/>
    <col min="22" max="22" width="25.5" customWidth="1"/>
    <col min="23" max="23" width="24.5" customWidth="1"/>
    <col min="24" max="24" width="22.5" customWidth="1"/>
    <col min="25" max="25" width="22.33203125" customWidth="1"/>
    <col min="26" max="26" width="10.6640625" customWidth="1"/>
    <col min="30" max="30" width="31.5" customWidth="1"/>
  </cols>
  <sheetData>
    <row r="1" spans="2:59" ht="14.25" customHeight="1" x14ac:dyDescent="0.2"/>
    <row r="2" spans="2:59" ht="14.25" customHeight="1" x14ac:dyDescent="0.2">
      <c r="B2" s="11"/>
      <c r="C2" s="148" t="s">
        <v>114</v>
      </c>
      <c r="D2" s="148" t="s">
        <v>68</v>
      </c>
      <c r="E2" s="148" t="s">
        <v>69</v>
      </c>
      <c r="F2" s="148" t="s">
        <v>22</v>
      </c>
      <c r="G2" s="148" t="s">
        <v>70</v>
      </c>
      <c r="H2" s="148" t="s">
        <v>71</v>
      </c>
      <c r="I2" s="148" t="s">
        <v>72</v>
      </c>
      <c r="J2" s="148" t="s">
        <v>73</v>
      </c>
      <c r="K2" s="148" t="s">
        <v>74</v>
      </c>
      <c r="L2" s="148" t="s">
        <v>75</v>
      </c>
      <c r="M2" s="148" t="s">
        <v>76</v>
      </c>
      <c r="N2" s="148" t="s">
        <v>77</v>
      </c>
      <c r="O2" s="148" t="s">
        <v>78</v>
      </c>
      <c r="P2" s="148" t="s">
        <v>42</v>
      </c>
      <c r="Q2" s="148" t="s">
        <v>79</v>
      </c>
      <c r="R2" s="148" t="s">
        <v>80</v>
      </c>
      <c r="S2" s="148" t="s">
        <v>81</v>
      </c>
      <c r="T2" s="148" t="s">
        <v>82</v>
      </c>
      <c r="U2" s="148" t="s">
        <v>83</v>
      </c>
      <c r="V2" s="148" t="s">
        <v>49</v>
      </c>
      <c r="W2" s="148" t="s">
        <v>84</v>
      </c>
      <c r="X2" s="148" t="s">
        <v>85</v>
      </c>
      <c r="Y2" s="148" t="s">
        <v>86</v>
      </c>
      <c r="Z2" s="149" t="s">
        <v>115</v>
      </c>
    </row>
    <row r="3" spans="2:59" ht="14.25" customHeight="1" x14ac:dyDescent="0.2">
      <c r="B3" s="12" t="s">
        <v>116</v>
      </c>
      <c r="C3" s="10">
        <f>AVERAGE(r_nvidia)</f>
        <v>5.4651411023625411E-2</v>
      </c>
      <c r="D3" s="10">
        <f>AVERAGE(r_ebay)</f>
        <v>1.1701115417311699E-2</v>
      </c>
      <c r="E3" s="10">
        <f>AVERAGE(r_apple)</f>
        <v>3.0139658041795594E-2</v>
      </c>
      <c r="F3" s="10">
        <f>AVERAGE(r_altria)</f>
        <v>6.0068368578455678E-3</v>
      </c>
      <c r="G3" s="10">
        <f>AVERAGE(r_coca)</f>
        <v>0.20715312359872337</v>
      </c>
      <c r="H3" s="10">
        <f>AVERAGE(r_golgate)</f>
        <v>6.9939478177436093E-3</v>
      </c>
      <c r="I3" s="10">
        <f>AVERAGE(r_ecolab)</f>
        <v>6.1135208484014904E-3</v>
      </c>
      <c r="J3" s="10">
        <f>AVERAGE(r_Gilead)</f>
        <v>1.0099667890654552E-2</v>
      </c>
      <c r="K3" s="10">
        <f>AVERAGE(r_IBM)</f>
        <v>1.1469859118378728E-2</v>
      </c>
      <c r="L3" s="10">
        <f>AVERAGE(r_microsoft)</f>
        <v>2.3851986453101482E-2</v>
      </c>
      <c r="M3" s="10">
        <f>AVERAGE(r_monster)</f>
        <v>1.5421140239284457E-2</v>
      </c>
      <c r="N3" s="10">
        <f>AVERAGE(r_pepsi)</f>
        <v>1.0510568280350715E-2</v>
      </c>
      <c r="O3" s="10">
        <f>AVERAGE(r_Tractor_Supply_Co)</f>
        <v>1.8253452946747795E-2</v>
      </c>
      <c r="P3" s="10">
        <f>AVERAGE(r_LVMH)</f>
        <v>2.0802754583316554E-2</v>
      </c>
      <c r="Q3" s="10">
        <f>AVERAGE(r_MCO)</f>
        <v>1.8174656725611502E-2</v>
      </c>
      <c r="R3" s="10">
        <f>AVERAGE(r_General)</f>
        <v>1.3219818000942038E-2</v>
      </c>
      <c r="S3" s="10">
        <f>AVERAGE(r_Airbus)</f>
        <v>1.5102696585381882E-2</v>
      </c>
      <c r="T3" s="10">
        <f>AVERAGE(r_Deere)</f>
        <v>2.071632080003601E-2</v>
      </c>
      <c r="U3" s="10">
        <f>AVERAGE(r_tractor)</f>
        <v>1.7155929728901641E-2</v>
      </c>
      <c r="V3" s="10">
        <f>AVERAGE(r_tesla)</f>
        <v>6.1057944464683531E-2</v>
      </c>
      <c r="W3" s="10">
        <f>AVERAGE(r_Gass)</f>
        <v>-8.2946520880362046E-3</v>
      </c>
      <c r="X3" s="10">
        <f>AVERAGE(r_AEEM)</f>
        <v>3.5570802020324843E-3</v>
      </c>
      <c r="Y3" s="10">
        <f>AVERAGE(r_MEH)</f>
        <v>1.2559317506976971E-2</v>
      </c>
      <c r="Z3" s="150">
        <f>AVERAGE(r_bons)</f>
        <v>2.9752631476069294E-3</v>
      </c>
      <c r="AD3" s="81"/>
      <c r="AE3" s="81"/>
      <c r="AF3" s="81"/>
      <c r="AG3" s="81"/>
      <c r="AH3" s="81"/>
    </row>
    <row r="4" spans="2:59" ht="14.25" customHeight="1" x14ac:dyDescent="0.2">
      <c r="B4" s="12" t="s">
        <v>117</v>
      </c>
      <c r="C4" s="13">
        <f>_xlfn.STDEV.S(r_nvidia)</f>
        <v>0.143210351868961</v>
      </c>
      <c r="D4" s="13">
        <f>_xlfn.STDEV.S(r_ebay)</f>
        <v>0.10106268944089439</v>
      </c>
      <c r="E4" s="13">
        <f>_xlfn.STDEV.S(r_apple)</f>
        <v>8.6512492394394694E-2</v>
      </c>
      <c r="F4" s="13">
        <f>_xlfn.STDEV.S(r_altria)</f>
        <v>7.4342507309830233E-2</v>
      </c>
      <c r="G4" s="13">
        <f>_xlfn.STDEV.S(r_coca)</f>
        <v>1.5295799115567175</v>
      </c>
      <c r="H4" s="13">
        <f>_xlfn.STDEV.S(r_golgate)</f>
        <v>4.6546954817812722E-2</v>
      </c>
      <c r="I4" s="13">
        <f>_xlfn.STDEV.S(r_ecolab)</f>
        <v>7.4211643433165497E-2</v>
      </c>
      <c r="J4" s="13">
        <f>_xlfn.STDEV.S(r_Gilead)</f>
        <v>6.9253262616256347E-2</v>
      </c>
      <c r="K4" s="13">
        <f>_xlfn.STDEV.S(r_IBM)</f>
        <v>7.0052606795554404E-2</v>
      </c>
      <c r="L4" s="13">
        <f>_xlfn.STDEV.S(r_microsoft)</f>
        <v>6.2618687545163643E-2</v>
      </c>
      <c r="M4" s="13">
        <f>_xlfn.STDEV.S(r_monster)</f>
        <v>7.0945615309863583E-2</v>
      </c>
      <c r="N4" s="13">
        <f>_xlfn.STDEV.S(r_pepsi)</f>
        <v>4.7132020063351446E-2</v>
      </c>
      <c r="O4" s="13">
        <f>_xlfn.STDEV.S(r_Tractor_Supply_Co)</f>
        <v>7.3205545746833856E-2</v>
      </c>
      <c r="P4" s="13">
        <f>_xlfn.STDEV.S(r_LVMH)</f>
        <v>6.9103476427422622E-2</v>
      </c>
      <c r="Q4" s="13">
        <f>_xlfn.STDEV.S(r_MCO)</f>
        <v>7.797842405466654E-2</v>
      </c>
      <c r="R4" s="13">
        <f>_xlfn.STDEV.S(r_General)</f>
        <v>5.2460033987463989E-2</v>
      </c>
      <c r="S4" s="13">
        <f>_xlfn.STDEV.S(r_Airbus)</f>
        <v>0.11064309708484885</v>
      </c>
      <c r="T4" s="13">
        <f>_xlfn.STDEV.S(r_Deere)</f>
        <v>8.8714647423528373E-2</v>
      </c>
      <c r="U4" s="13">
        <f>_xlfn.STDEV.S(r_tractor)</f>
        <v>8.9700223425848588E-2</v>
      </c>
      <c r="V4" s="13">
        <f>_xlfn.STDEV.S(r_tesla)</f>
        <v>0.22266637180405918</v>
      </c>
      <c r="W4" s="13">
        <f>_xlfn.STDEV.S(r_Gass)</f>
        <v>0.16341317076915299</v>
      </c>
      <c r="X4" s="13">
        <f>_xlfn.STDEV.S(r_AEEM)</f>
        <v>4.4872824569448293E-2</v>
      </c>
      <c r="Y4" s="13">
        <f>_xlfn.STDEV.S(r_MEH)</f>
        <v>6.1929067050563238E-2</v>
      </c>
      <c r="Z4" s="151">
        <f>_xlfn.STDEV.S(r_bons)</f>
        <v>0.16611223171087877</v>
      </c>
      <c r="AC4" s="81"/>
      <c r="AD4" s="156"/>
      <c r="AE4" s="84" t="s">
        <v>116</v>
      </c>
      <c r="AF4" s="84" t="s">
        <v>117</v>
      </c>
      <c r="AG4" s="84" t="s">
        <v>118</v>
      </c>
      <c r="AH4" s="86" t="s">
        <v>119</v>
      </c>
      <c r="AI4" s="81"/>
    </row>
    <row r="5" spans="2:59" ht="14.25" customHeight="1" x14ac:dyDescent="0.2">
      <c r="B5" s="12" t="s">
        <v>118</v>
      </c>
      <c r="C5" s="13">
        <f>_xlfn.VAR.S(r_nvidia)</f>
        <v>2.050920488243162E-2</v>
      </c>
      <c r="D5" s="13">
        <f>_xlfn.VAR.S(r_ebay)</f>
        <v>1.0213667197026665E-2</v>
      </c>
      <c r="E5" s="13">
        <f>_xlfn.VAR.S(r_apple)</f>
        <v>7.4844113402901986E-3</v>
      </c>
      <c r="F5" s="13">
        <f>_xlfn.VAR.S(r_altria)</f>
        <v>5.5268083931121611E-3</v>
      </c>
      <c r="G5" s="13">
        <f>_xlfn.VAR.S(r_coca)</f>
        <v>2.3396147058378558</v>
      </c>
      <c r="H5" s="13">
        <f>_xlfn.VAR.S(r_golgate)</f>
        <v>2.1666190028114991E-3</v>
      </c>
      <c r="I5" s="13">
        <f>_xlfn.VAR.S(r_ecolab)</f>
        <v>5.5073680210512965E-3</v>
      </c>
      <c r="J5" s="13">
        <f>_xlfn.VAR.S(r_Gilead)</f>
        <v>4.7960143829961681E-3</v>
      </c>
      <c r="K5" s="13">
        <f>_xlfn.VAR.S(r_IBM)</f>
        <v>4.907367718852554E-3</v>
      </c>
      <c r="L5" s="13">
        <f>_xlfn.VAR.S(r_microsoft)</f>
        <v>3.9211000298788323E-3</v>
      </c>
      <c r="M5" s="13">
        <f>_xlfn.VAR.S(r_monster)</f>
        <v>5.0332803316951507E-3</v>
      </c>
      <c r="N5" s="13">
        <f>_xlfn.VAR.S(r_pepsi)</f>
        <v>2.2214273152521631E-3</v>
      </c>
      <c r="O5" s="13">
        <f>_xlfn.VAR.S(r_Tractor_Supply_Co)</f>
        <v>5.3590519280917849E-3</v>
      </c>
      <c r="P5" s="13">
        <f>_xlfn.VAR.S(r_LVMH)</f>
        <v>4.7752904543553534E-3</v>
      </c>
      <c r="Q5" s="13">
        <f>_xlfn.VAR.S(r_MCO)</f>
        <v>6.0806346180493969E-3</v>
      </c>
      <c r="R5" s="13">
        <f>_xlfn.VAR.S(r_General)</f>
        <v>2.7520551659658767E-3</v>
      </c>
      <c r="S5" s="13">
        <f>_xlfn.VAR.S(r_Airbus)</f>
        <v>1.2241894932527288E-2</v>
      </c>
      <c r="T5" s="13">
        <f>_xlfn.VAR.S(r_Deere)</f>
        <v>7.8702886674809503E-3</v>
      </c>
      <c r="U5" s="13">
        <f>_xlfn.VAR.S(r_tractor)</f>
        <v>8.0461300826471568E-3</v>
      </c>
      <c r="V5" s="13">
        <f>_xlfn.VAR.S(r_tesla)</f>
        <v>4.9580313132383522E-2</v>
      </c>
      <c r="W5" s="13">
        <f>_xlfn.VAR.S(r_Gass)</f>
        <v>2.6703864380828356E-2</v>
      </c>
      <c r="X5" s="13">
        <f>_xlfn.VAR.S(r_AEEM)</f>
        <v>2.0135703848404821E-3</v>
      </c>
      <c r="Y5" s="13">
        <f>_xlfn.VAR.S(r_MEH)</f>
        <v>3.835209345753157E-3</v>
      </c>
      <c r="Z5" s="151">
        <f>_xlfn.VAR.S(r_bons)</f>
        <v>2.7593273523968679E-2</v>
      </c>
      <c r="AC5" s="81"/>
      <c r="AD5" s="93" t="s">
        <v>114</v>
      </c>
      <c r="AE5" s="82">
        <f>AVERAGE(r_nvidia)</f>
        <v>5.4651411023625411E-2</v>
      </c>
      <c r="AF5" s="155">
        <f>_xlfn.STDEV.S(r_nvidia)</f>
        <v>0.143210351868961</v>
      </c>
      <c r="AG5" s="155">
        <f>_xlfn.VAR.S(r_nvidia)</f>
        <v>2.050920488243162E-2</v>
      </c>
      <c r="AH5" s="157">
        <f>_xlfn.COVARIANCE.S(r_nvidia,r_sp)/(sd_sp^2)</f>
        <v>1.6683204371763587</v>
      </c>
      <c r="AI5" s="81"/>
    </row>
    <row r="6" spans="2:59" ht="14.25" customHeight="1" x14ac:dyDescent="0.2">
      <c r="B6" s="14" t="s">
        <v>119</v>
      </c>
      <c r="C6" s="152">
        <f>_xlfn.COVARIANCE.S(r_nvidia,r_sp)/(sd_sp^2)</f>
        <v>1.6683204371763587</v>
      </c>
      <c r="D6" s="152">
        <f>_xlfn.COVARIANCE.S(r_ebay,r_sp)/(sd_sp^2)</f>
        <v>1.3584650238048468</v>
      </c>
      <c r="E6" s="152">
        <f>_xlfn.COVARIANCE.S(r_apple,r_sp)/(sd_sp^2)</f>
        <v>1.3075649824076094</v>
      </c>
      <c r="F6" s="152">
        <f>_xlfn.COVARIANCE.S(r_altria,r_sp)/(sd_sp^2)</f>
        <v>0.73242062074137304</v>
      </c>
      <c r="G6" s="152">
        <f>_xlfn.COVARIANCE.S(r_coca,r_sp)/(sd_sp^2)</f>
        <v>3.0522532936620501</v>
      </c>
      <c r="H6" s="152">
        <f>_xlfn.COVARIANCE.S(r_golgate,r_sp)/(sd_sp^2)</f>
        <v>0.42388363257707118</v>
      </c>
      <c r="I6" s="152">
        <f>_xlfn.COVARIANCE.S(r_ecolab,r_sp)/(sd_sp^2)</f>
        <v>1.0657594018161258</v>
      </c>
      <c r="J6" s="152">
        <f>_xlfn.COVARIANCE.S(r_Gilead,r_sp)/(sd_sp^2)</f>
        <v>0.29373474120804299</v>
      </c>
      <c r="K6" s="152">
        <f>_xlfn.COVARIANCE.S(r_IBM,r_sp)/(sd_sp^2)</f>
        <v>0.73031823749865843</v>
      </c>
      <c r="L6" s="152">
        <f>_xlfn.COVARIANCE.S(r_microsoft,r_sp)/(sd_sp^2)</f>
        <v>0.87045069888801396</v>
      </c>
      <c r="M6" s="152">
        <f>_xlfn.COVARIANCE.S(r_monster,r_sp)/(sd_sp^2)</f>
        <v>0.75849877834815949</v>
      </c>
      <c r="N6" s="152">
        <f>_xlfn.COVARIANCE.S(r_pepsi,r_sp)/(sd_sp^2)</f>
        <v>0.56499585505070848</v>
      </c>
      <c r="O6" s="152">
        <f>_xlfn.COVARIANCE.S(r_Tractor_Supply_Co,r_sp)/(sd_sp^2)</f>
        <v>0.81177441969173103</v>
      </c>
      <c r="P6" s="152">
        <f>_xlfn.COVARIANCE.S(r_LVMH,r_sp)/(sd_sp^2)</f>
        <v>0.96493426046059716</v>
      </c>
      <c r="Q6" s="152">
        <f>_xlfn.COVARIANCE.S(r_MCO,r_sp)/(sd_sp^2)</f>
        <v>1.2765711825397565</v>
      </c>
      <c r="R6" s="152">
        <f>_xlfn.COVARIANCE.S(r_General,r_sp)/(sd_sp^2)</f>
        <v>0.21465820921050355</v>
      </c>
      <c r="S6" s="152">
        <f>_xlfn.COVARIANCE.S(r_Airbus,r_sp)/(sd_sp^2)</f>
        <v>1.4050488902214358</v>
      </c>
      <c r="T6" s="152">
        <f>_xlfn.COVARIANCE.S(r_Deere,r_sp)/(sd_sp^2)</f>
        <v>1.1176186777986055</v>
      </c>
      <c r="U6" s="152">
        <f>_xlfn.COVARIANCE.S(r_tractor,r_sp)/(sd_sp^2)</f>
        <v>0.13710360239385824</v>
      </c>
      <c r="V6" s="152">
        <f>_xlfn.COVARIANCE.S(r_tesla,r_sp)/(sd_sp^2)</f>
        <v>2.3567210457526642</v>
      </c>
      <c r="W6" s="152">
        <f>_xlfn.COVARIANCE.S(r_Gass,r_sp)/(sd_sp^2)</f>
        <v>0.12854493856259352</v>
      </c>
      <c r="X6" s="152">
        <f>_xlfn.COVARIANCE.S(r_AEEM,r_sp)/(sd_sp^2)</f>
        <v>0.57765965088811322</v>
      </c>
      <c r="Y6" s="152">
        <f>_xlfn.COVARIANCE.S(r_MEH,r_sp)/(sd_sp^2)</f>
        <v>9.1856975911007915E-2</v>
      </c>
      <c r="Z6" s="154">
        <f>_xlfn.COVARIANCE.S(r_bons,r_sp)/(sd_sp^2)</f>
        <v>-0.15564447929884162</v>
      </c>
      <c r="AC6" s="81"/>
      <c r="AD6" s="93" t="s">
        <v>68</v>
      </c>
      <c r="AE6" s="82">
        <f>AVERAGE(r_ebay)</f>
        <v>1.1701115417311699E-2</v>
      </c>
      <c r="AF6" s="155">
        <f>_xlfn.STDEV.S(r_ebay)</f>
        <v>0.10106268944089439</v>
      </c>
      <c r="AG6" s="155">
        <f>_xlfn.VAR.S(r_ebay)</f>
        <v>1.0213667197026665E-2</v>
      </c>
      <c r="AH6" s="157">
        <f>_xlfn.COVARIANCE.S(r_ebay,r_sp)/(sd_sp^2)</f>
        <v>1.3584650238048468</v>
      </c>
      <c r="AI6" s="81"/>
    </row>
    <row r="7" spans="2:59" ht="14.25" customHeight="1" x14ac:dyDescent="0.2">
      <c r="C7" s="10"/>
      <c r="D7" s="10"/>
      <c r="E7" s="10"/>
      <c r="AC7" s="81"/>
      <c r="AD7" s="93" t="s">
        <v>69</v>
      </c>
      <c r="AE7" s="82">
        <f>AVERAGE(r_apple)</f>
        <v>3.0139658041795594E-2</v>
      </c>
      <c r="AF7" s="155">
        <f>_xlfn.STDEV.S(r_apple)</f>
        <v>8.6512492394394694E-2</v>
      </c>
      <c r="AG7" s="155">
        <f>_xlfn.VAR.S(r_apple)</f>
        <v>7.4844113402901986E-3</v>
      </c>
      <c r="AH7" s="157">
        <f>_xlfn.COVARIANCE.S(r_apple,r_sp)/(sd_sp^2)</f>
        <v>1.3075649824076094</v>
      </c>
      <c r="AI7" s="81"/>
    </row>
    <row r="8" spans="2:59" ht="14.25" customHeight="1" x14ac:dyDescent="0.2">
      <c r="E8" s="10"/>
      <c r="AC8" s="81"/>
      <c r="AD8" s="93" t="s">
        <v>22</v>
      </c>
      <c r="AE8" s="82">
        <f>AVERAGE(r_altria)</f>
        <v>6.0068368578455678E-3</v>
      </c>
      <c r="AF8" s="155">
        <f>_xlfn.STDEV.S(r_altria)</f>
        <v>7.4342507309830233E-2</v>
      </c>
      <c r="AG8" s="155">
        <f>_xlfn.VAR.S(r_altria)</f>
        <v>5.5268083931121611E-3</v>
      </c>
      <c r="AH8" s="157">
        <f>_xlfn.COVARIANCE.S(r_altria,r_sp)/(sd_sp^2)</f>
        <v>0.73242062074137304</v>
      </c>
      <c r="AI8" s="81"/>
    </row>
    <row r="9" spans="2:59" ht="14.25" customHeight="1" x14ac:dyDescent="0.2">
      <c r="C9" s="83" t="s">
        <v>114</v>
      </c>
      <c r="D9" s="84" t="s">
        <v>68</v>
      </c>
      <c r="E9" s="84" t="s">
        <v>69</v>
      </c>
      <c r="F9" s="84" t="s">
        <v>22</v>
      </c>
      <c r="G9" s="84" t="s">
        <v>70</v>
      </c>
      <c r="H9" s="84" t="s">
        <v>71</v>
      </c>
      <c r="I9" s="84" t="s">
        <v>72</v>
      </c>
      <c r="J9" s="84" t="s">
        <v>73</v>
      </c>
      <c r="K9" s="84" t="s">
        <v>74</v>
      </c>
      <c r="L9" s="84" t="s">
        <v>75</v>
      </c>
      <c r="M9" s="84" t="s">
        <v>76</v>
      </c>
      <c r="N9" s="84" t="s">
        <v>77</v>
      </c>
      <c r="O9" s="84" t="s">
        <v>78</v>
      </c>
      <c r="P9" s="84" t="s">
        <v>42</v>
      </c>
      <c r="Q9" s="84" t="s">
        <v>79</v>
      </c>
      <c r="R9" s="84" t="s">
        <v>80</v>
      </c>
      <c r="S9" s="84" t="s">
        <v>81</v>
      </c>
      <c r="T9" s="84" t="s">
        <v>82</v>
      </c>
      <c r="U9" s="84" t="s">
        <v>83</v>
      </c>
      <c r="V9" s="84" t="s">
        <v>49</v>
      </c>
      <c r="W9" s="84" t="s">
        <v>84</v>
      </c>
      <c r="X9" s="84" t="s">
        <v>85</v>
      </c>
      <c r="Y9" s="84" t="s">
        <v>86</v>
      </c>
      <c r="Z9" s="86" t="s">
        <v>115</v>
      </c>
      <c r="AC9" s="92"/>
      <c r="AD9" s="93" t="s">
        <v>70</v>
      </c>
      <c r="AE9" s="82">
        <f>AVERAGE(r_coca)</f>
        <v>0.20715312359872337</v>
      </c>
      <c r="AF9" s="155">
        <f>_xlfn.STDEV.S(r_coca)</f>
        <v>1.5295799115567175</v>
      </c>
      <c r="AG9" s="155">
        <f>_xlfn.VAR.S(r_coca)</f>
        <v>2.3396147058378558</v>
      </c>
      <c r="AH9" s="157">
        <f>_xlfn.COVARIANCE.S(r_coca,r_sp)/(sd_sp^2)</f>
        <v>3.0522532936620501</v>
      </c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81"/>
      <c r="BC9" s="81"/>
      <c r="BD9" s="81"/>
      <c r="BE9" s="81"/>
      <c r="BF9" s="81"/>
      <c r="BG9" s="81"/>
    </row>
    <row r="10" spans="2:59" ht="14.25" customHeight="1" x14ac:dyDescent="0.2">
      <c r="C10" s="85">
        <v>1.5743308636231503E-2</v>
      </c>
      <c r="D10" s="82">
        <v>-9.964183190658106E-2</v>
      </c>
      <c r="E10" s="82">
        <v>8.6693488580708342E-2</v>
      </c>
      <c r="F10" s="82">
        <v>0.16294188691824912</v>
      </c>
      <c r="G10" s="82">
        <v>2.7920102966438827E-2</v>
      </c>
      <c r="H10" s="82">
        <v>9.1693725460763292E-2</v>
      </c>
      <c r="I10" s="82">
        <v>0.13189127917228771</v>
      </c>
      <c r="J10" s="82">
        <v>-7.7463914587257002E-2</v>
      </c>
      <c r="K10" s="82">
        <v>7.6637076108219709E-2</v>
      </c>
      <c r="L10" s="82">
        <v>7.6779047081931492E-2</v>
      </c>
      <c r="M10" s="82">
        <v>0.19878864317711276</v>
      </c>
      <c r="N10" s="82">
        <v>5.5153759989872292E-2</v>
      </c>
      <c r="O10" s="82">
        <v>2.3489757313293072E-2</v>
      </c>
      <c r="P10" s="82">
        <v>0.19366363705905384</v>
      </c>
      <c r="Q10" s="82">
        <v>0.1051414297441939</v>
      </c>
      <c r="R10" s="82">
        <v>0.12870668660134973</v>
      </c>
      <c r="S10" s="82">
        <v>0.18254603077685214</v>
      </c>
      <c r="T10" s="82">
        <v>2.8157991320665234E-2</v>
      </c>
      <c r="U10" s="82">
        <v>0.14124282304885935</v>
      </c>
      <c r="V10" s="81">
        <v>0.14931723962516735</v>
      </c>
      <c r="W10" s="82">
        <v>-6.1889250814332324E-2</v>
      </c>
      <c r="X10" s="82">
        <v>8.8000000000000023E-2</v>
      </c>
      <c r="Y10" s="82">
        <v>-1.9784665930872394E-3</v>
      </c>
      <c r="Z10" s="82">
        <v>7.6486013986014109E-2</v>
      </c>
      <c r="AC10" s="81"/>
      <c r="AD10" s="93" t="s">
        <v>71</v>
      </c>
      <c r="AE10" s="82">
        <f>AVERAGE(r_golgate)</f>
        <v>6.9939478177436093E-3</v>
      </c>
      <c r="AF10" s="155">
        <f>_xlfn.STDEV.S(r_golgate)</f>
        <v>4.6546954817812722E-2</v>
      </c>
      <c r="AG10" s="155">
        <f>_xlfn.VAR.S(r_golgate)</f>
        <v>2.1666190028114991E-3</v>
      </c>
      <c r="AH10" s="157">
        <f>_xlfn.COVARIANCE.S(r_golgate,r_sp)/(sd_sp^2)</f>
        <v>0.42388363257707118</v>
      </c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</row>
    <row r="11" spans="2:59" ht="14.25" customHeight="1" x14ac:dyDescent="0.2">
      <c r="C11" s="85">
        <v>6.200580813839679E-2</v>
      </c>
      <c r="D11" s="82">
        <v>-0.14071819733510232</v>
      </c>
      <c r="E11" s="82">
        <v>2.527376471245716E-2</v>
      </c>
      <c r="F11" s="82">
        <v>0.11512927620093381</v>
      </c>
      <c r="G11" s="82">
        <v>2.6360427330476353E-2</v>
      </c>
      <c r="H11" s="82">
        <v>7.9535395399175216E-2</v>
      </c>
      <c r="I11" s="82">
        <v>9.2170833020213241E-2</v>
      </c>
      <c r="J11" s="82">
        <v>4.1886505765096761E-2</v>
      </c>
      <c r="K11" s="82">
        <v>6.7901448288313015E-2</v>
      </c>
      <c r="L11" s="82">
        <v>7.3112899289600644E-2</v>
      </c>
      <c r="M11" s="82">
        <v>0.10401195925345205</v>
      </c>
      <c r="N11" s="82">
        <v>4.031488906932694E-2</v>
      </c>
      <c r="O11" s="82">
        <v>0.11651032461491234</v>
      </c>
      <c r="P11" s="82">
        <v>0.13350635888523285</v>
      </c>
      <c r="Q11" s="82">
        <v>2.4398512803294918E-4</v>
      </c>
      <c r="R11" s="82">
        <v>-7.1275681424187082E-2</v>
      </c>
      <c r="S11" s="82">
        <v>2.7599912469515615E-2</v>
      </c>
      <c r="T11" s="82">
        <v>7.2775901838699766E-2</v>
      </c>
      <c r="U11" s="82">
        <v>7.333087777456232E-2</v>
      </c>
      <c r="V11" s="81">
        <v>3.4244206156232551E-3</v>
      </c>
      <c r="W11" s="82">
        <v>-1.3888888888888805E-2</v>
      </c>
      <c r="X11" s="82">
        <v>-4.9019607843138382E-3</v>
      </c>
      <c r="Y11" s="82">
        <v>1.6091384739332939E-2</v>
      </c>
      <c r="Z11" s="82">
        <v>-7.0442549736094276E-2</v>
      </c>
      <c r="AC11" s="81"/>
      <c r="AD11" s="93" t="s">
        <v>72</v>
      </c>
      <c r="AE11" s="82">
        <f>AVERAGE(r_ecolab)</f>
        <v>6.1135208484014904E-3</v>
      </c>
      <c r="AF11" s="155">
        <f>_xlfn.STDEV.S(r_ecolab)</f>
        <v>7.4211643433165497E-2</v>
      </c>
      <c r="AG11" s="155">
        <f>_xlfn.VAR.S(r_ecolab)</f>
        <v>5.5073680210512965E-3</v>
      </c>
      <c r="AH11" s="157">
        <f>_xlfn.COVARIANCE.S(r_ecolab,r_sp)/(sd_sp^2)</f>
        <v>1.0657594018161258</v>
      </c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</row>
    <row r="12" spans="2:59" ht="14.25" customHeight="1" x14ac:dyDescent="0.2">
      <c r="C12" s="85">
        <v>9.5783486767761911E-2</v>
      </c>
      <c r="D12" s="82">
        <v>2.5953370111724855E-2</v>
      </c>
      <c r="E12" s="82">
        <v>4.0534718359086348E-2</v>
      </c>
      <c r="F12" s="82">
        <v>-0.14491617907202947</v>
      </c>
      <c r="G12" s="82">
        <v>6.8347761020002451E-2</v>
      </c>
      <c r="H12" s="82">
        <v>8.576155992301196E-2</v>
      </c>
      <c r="I12" s="82">
        <v>4.9111941553340255E-2</v>
      </c>
      <c r="J12" s="82">
        <v>-0.1251094179865796</v>
      </c>
      <c r="K12" s="82">
        <v>4.5172055633131578E-2</v>
      </c>
      <c r="L12" s="82">
        <v>0.16520868197455651</v>
      </c>
      <c r="M12" s="82">
        <v>3.4690173493270842E-3</v>
      </c>
      <c r="N12" s="82">
        <v>0.10173084852048601</v>
      </c>
      <c r="O12" s="82">
        <v>2.8562251261919459E-2</v>
      </c>
      <c r="P12" s="82">
        <v>3.7852074496035511E-2</v>
      </c>
      <c r="Q12" s="82">
        <v>-2.5603553355438031E-2</v>
      </c>
      <c r="R12" s="82">
        <v>-1.5360896867493642E-4</v>
      </c>
      <c r="S12" s="82">
        <v>3.3403296322689555E-2</v>
      </c>
      <c r="T12" s="82">
        <v>5.7249828373620734E-2</v>
      </c>
      <c r="U12" s="82">
        <v>9.8026627582052162E-2</v>
      </c>
      <c r="V12" s="81">
        <v>-4.6710301961979339E-2</v>
      </c>
      <c r="W12" s="82">
        <v>-2.8169014084507116E-2</v>
      </c>
      <c r="X12" s="82">
        <v>2.4630541871921315E-2</v>
      </c>
      <c r="Y12" s="82">
        <v>-4.3192989303244599E-3</v>
      </c>
      <c r="Z12" s="82">
        <v>-0.10329766324525003</v>
      </c>
      <c r="AC12" s="81"/>
      <c r="AD12" s="93" t="s">
        <v>73</v>
      </c>
      <c r="AE12" s="82">
        <f>AVERAGE(r_Gilead)</f>
        <v>1.0099667890654552E-2</v>
      </c>
      <c r="AF12" s="155">
        <f>_xlfn.STDEV.S(r_Gilead)</f>
        <v>6.9253262616256347E-2</v>
      </c>
      <c r="AG12" s="155">
        <f>_xlfn.VAR.S(r_Gilead)</f>
        <v>4.7960143829961681E-3</v>
      </c>
      <c r="AH12" s="157">
        <f>_xlfn.COVARIANCE.S(r_Gilead,r_sp)/(sd_sp^2)</f>
        <v>0.29373474120804299</v>
      </c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</row>
    <row r="13" spans="2:59" ht="14.25" customHeight="1" x14ac:dyDescent="0.2">
      <c r="C13" s="85">
        <v>-4.0495471672126908E-2</v>
      </c>
      <c r="D13" s="82">
        <v>-9.7387978923819084E-3</v>
      </c>
      <c r="E13" s="82">
        <v>6.2007157892967582E-2</v>
      </c>
      <c r="F13" s="82">
        <v>9.1975005790582404E-2</v>
      </c>
      <c r="G13" s="82">
        <v>4.4879705123845905E-2</v>
      </c>
      <c r="H13" s="82">
        <v>6.4501176512449479E-2</v>
      </c>
      <c r="I13" s="82">
        <v>8.5758347331786597E-2</v>
      </c>
      <c r="J13" s="82">
        <v>-0.14710923581628738</v>
      </c>
      <c r="K13" s="82">
        <v>4.5466221041808391E-2</v>
      </c>
      <c r="L13" s="82">
        <v>8.0193724561233269E-3</v>
      </c>
      <c r="M13" s="82">
        <v>4.3349653976244386E-2</v>
      </c>
      <c r="N13" s="82">
        <v>5.6435933348030945E-2</v>
      </c>
      <c r="O13" s="82">
        <v>5.8715123674594874E-2</v>
      </c>
      <c r="P13" s="82">
        <v>3.3757361362495242E-2</v>
      </c>
      <c r="Q13" s="82">
        <v>4.1223752675209974E-2</v>
      </c>
      <c r="R13" s="82">
        <v>1.0140234487396337E-2</v>
      </c>
      <c r="S13" s="82">
        <v>-5.8823194879134323E-3</v>
      </c>
      <c r="T13" s="82">
        <v>0.10734278373566847</v>
      </c>
      <c r="U13" s="82">
        <v>-5.4105768597872547E-3</v>
      </c>
      <c r="V13" s="81">
        <v>-0.16433680975520934</v>
      </c>
      <c r="W13" s="82">
        <v>-5.4347826086956444E-2</v>
      </c>
      <c r="X13" s="82">
        <v>2.4038461538461453E-2</v>
      </c>
      <c r="Y13" s="82">
        <v>1.2450039553114701E-2</v>
      </c>
      <c r="Z13" s="82">
        <v>-3.3852898197759329E-2</v>
      </c>
      <c r="AC13" s="81"/>
      <c r="AD13" s="93" t="s">
        <v>74</v>
      </c>
      <c r="AE13" s="82">
        <f>AVERAGE(r_IBM)</f>
        <v>1.1469859118378728E-2</v>
      </c>
      <c r="AF13" s="155">
        <f>_xlfn.STDEV.S(r_IBM)</f>
        <v>7.0052606795554404E-2</v>
      </c>
      <c r="AG13" s="155">
        <f>_xlfn.VAR.S(r_IBM)</f>
        <v>4.907367718852554E-3</v>
      </c>
      <c r="AH13" s="157">
        <f>_xlfn.COVARIANCE.S(r_IBM,r_sp)/(sd_sp^2)</f>
        <v>0.73031823749865843</v>
      </c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</row>
    <row r="14" spans="2:59" ht="14.25" customHeight="1" x14ac:dyDescent="0.2">
      <c r="C14" s="85">
        <v>-9.6999869291758425E-2</v>
      </c>
      <c r="D14" s="82">
        <v>-5.0851436663226772E-2</v>
      </c>
      <c r="E14" s="82">
        <v>-3.7555334217743729E-2</v>
      </c>
      <c r="F14" s="82">
        <v>3.7919497916761677E-2</v>
      </c>
      <c r="G14" s="82">
        <v>-3.9040344372634283E-4</v>
      </c>
      <c r="H14" s="82">
        <v>-1.875427102142296E-2</v>
      </c>
      <c r="I14" s="82">
        <v>-6.9880789323780224E-2</v>
      </c>
      <c r="J14" s="82">
        <v>-0.22426580032121587</v>
      </c>
      <c r="K14" s="82">
        <v>5.4290386758135809E-5</v>
      </c>
      <c r="L14" s="82">
        <v>-0.25160201383184555</v>
      </c>
      <c r="M14" s="82">
        <v>-7.2774364129697108E-2</v>
      </c>
      <c r="N14" s="82">
        <v>-0.12757282477724016</v>
      </c>
      <c r="O14" s="82">
        <v>-2.6280086829820755E-2</v>
      </c>
      <c r="P14" s="82">
        <v>-4.4301670854816302E-2</v>
      </c>
      <c r="Q14" s="82">
        <v>-0.15371622860592055</v>
      </c>
      <c r="R14" s="82">
        <v>-4.2896658328228421E-2</v>
      </c>
      <c r="S14" s="82">
        <v>-9.4674442497926545E-2</v>
      </c>
      <c r="T14" s="82">
        <v>-5.2986400182340021E-2</v>
      </c>
      <c r="U14" s="82">
        <v>-3.0179004672498448E-2</v>
      </c>
      <c r="V14" s="81">
        <v>-0.12070878413874284</v>
      </c>
      <c r="W14" s="82">
        <v>-4.9808429118774041E-2</v>
      </c>
      <c r="X14" s="82">
        <v>-7.0422535211267567E-2</v>
      </c>
      <c r="Y14" s="82">
        <v>-2.0919881172073385E-2</v>
      </c>
      <c r="Z14" s="82">
        <v>-3.176203680362992E-2</v>
      </c>
      <c r="AC14" s="81"/>
      <c r="AD14" s="93" t="s">
        <v>75</v>
      </c>
      <c r="AE14" s="82">
        <f>AVERAGE(r_microsoft)</f>
        <v>2.3851986453101482E-2</v>
      </c>
      <c r="AF14" s="155">
        <f>_xlfn.STDEV.S(r_microsoft)</f>
        <v>6.2618687545163643E-2</v>
      </c>
      <c r="AG14" s="155">
        <f>_xlfn.VAR.S(r_microsoft)</f>
        <v>3.9211000298788323E-3</v>
      </c>
      <c r="AH14" s="157">
        <f>_xlfn.COVARIANCE.S(r_microsoft,r_sp)/(sd_sp^2)</f>
        <v>0.87045069888801396</v>
      </c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</row>
    <row r="15" spans="2:59" ht="14.25" customHeight="1" x14ac:dyDescent="0.2">
      <c r="C15" s="85">
        <v>-3.4855212197008094E-2</v>
      </c>
      <c r="D15" s="82">
        <v>6.3178562835090107E-3</v>
      </c>
      <c r="E15" s="82">
        <v>2.944560493685406E-2</v>
      </c>
      <c r="F15" s="82">
        <v>3.1846136437116083E-2</v>
      </c>
      <c r="G15" s="82">
        <v>2.4453086824819018E-2</v>
      </c>
      <c r="H15" s="82">
        <v>0.10543406998954404</v>
      </c>
      <c r="I15" s="82">
        <v>7.0796576219338825E-2</v>
      </c>
      <c r="J15" s="82">
        <v>0.20684810434219056</v>
      </c>
      <c r="K15" s="82">
        <v>7.2519045344487498E-2</v>
      </c>
      <c r="L15" s="82">
        <v>0.21377120291014645</v>
      </c>
      <c r="M15" s="82">
        <v>0.10364006980309071</v>
      </c>
      <c r="N15" s="82">
        <v>0.13487296488046199</v>
      </c>
      <c r="O15" s="82">
        <v>8.329528355117484E-2</v>
      </c>
      <c r="P15" s="82">
        <v>8.5495436362617111E-2</v>
      </c>
      <c r="Q15" s="82">
        <v>0.18220737932376421</v>
      </c>
      <c r="R15" s="82">
        <v>8.5301176254584263E-2</v>
      </c>
      <c r="S15" s="82">
        <v>9.8811331779871947E-2</v>
      </c>
      <c r="T15" s="82">
        <v>8.7127033557736974E-2</v>
      </c>
      <c r="U15" s="82">
        <v>6.2297789761455197E-2</v>
      </c>
      <c r="V15" s="81">
        <v>3.7385652136465337E-2</v>
      </c>
      <c r="W15" s="82">
        <v>-8.8709677419354871E-2</v>
      </c>
      <c r="X15" s="82">
        <v>4.0404040404040442E-2</v>
      </c>
      <c r="Y15" s="82">
        <v>2.6049981744814245E-2</v>
      </c>
      <c r="Z15" s="82">
        <v>-5.0768029159073226E-2</v>
      </c>
      <c r="AC15" s="81"/>
      <c r="AD15" s="93" t="s">
        <v>76</v>
      </c>
      <c r="AE15" s="82">
        <f>AVERAGE(r_monster)</f>
        <v>1.5421140239284457E-2</v>
      </c>
      <c r="AF15" s="155">
        <f>_xlfn.STDEV.S(r_monster)</f>
        <v>7.0945615309863583E-2</v>
      </c>
      <c r="AG15" s="155">
        <f>_xlfn.VAR.S(r_monster)</f>
        <v>5.0332803316951507E-3</v>
      </c>
      <c r="AH15" s="157">
        <f>_xlfn.COVARIANCE.S(r_monster,r_sp)/(sd_sp^2)</f>
        <v>0.75849877834815949</v>
      </c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</row>
    <row r="16" spans="2:59" ht="14.25" customHeight="1" x14ac:dyDescent="0.2">
      <c r="C16" s="85">
        <v>9.744456130345901E-3</v>
      </c>
      <c r="D16" s="82">
        <v>4.3445537934402638E-2</v>
      </c>
      <c r="E16" s="82">
        <v>9.7647632590695463E-4</v>
      </c>
      <c r="F16" s="82">
        <v>1.0026632930388964E-2</v>
      </c>
      <c r="G16" s="82">
        <v>-1.8182096813749708E-2</v>
      </c>
      <c r="H16" s="82">
        <v>2.6716741149016058E-3</v>
      </c>
      <c r="I16" s="82">
        <v>9.743512540211445E-2</v>
      </c>
      <c r="J16" s="82">
        <v>8.1222524864014239E-2</v>
      </c>
      <c r="K16" s="82">
        <v>2.4096735486341621E-2</v>
      </c>
      <c r="L16" s="82">
        <v>2.7339690459957895E-2</v>
      </c>
      <c r="M16" s="82">
        <v>4.2785095127717977E-2</v>
      </c>
      <c r="N16" s="82">
        <v>7.639447203897258E-2</v>
      </c>
      <c r="O16" s="82">
        <v>9.1913618539939685E-5</v>
      </c>
      <c r="P16" s="82">
        <v>2.7109392930200718E-2</v>
      </c>
      <c r="Q16" s="82">
        <v>4.2321140839297732E-3</v>
      </c>
      <c r="R16" s="82">
        <v>-2.0959208512941668E-2</v>
      </c>
      <c r="S16" s="82">
        <v>7.4981882916230619E-2</v>
      </c>
      <c r="T16" s="82">
        <v>1.7244041916485649E-2</v>
      </c>
      <c r="U16" s="82">
        <v>1.1233747239619786E-2</v>
      </c>
      <c r="V16" s="81">
        <v>-2.6325846645367339E-2</v>
      </c>
      <c r="W16" s="82">
        <v>1.3274336283185915E-2</v>
      </c>
      <c r="X16" s="82">
        <v>4.8543689320387313E-3</v>
      </c>
      <c r="Y16" s="82">
        <v>1.295660084436953E-2</v>
      </c>
      <c r="Z16" s="82">
        <v>-5.8420186505759759E-2</v>
      </c>
      <c r="AC16" s="81"/>
      <c r="AD16" s="93" t="s">
        <v>77</v>
      </c>
      <c r="AE16" s="82">
        <f>AVERAGE(r_pepsi)</f>
        <v>1.0510568280350715E-2</v>
      </c>
      <c r="AF16" s="155">
        <f>_xlfn.STDEV.S(r_pepsi)</f>
        <v>4.7132020063351446E-2</v>
      </c>
      <c r="AG16" s="155">
        <f>_xlfn.VAR.S(r_pepsi)</f>
        <v>2.2214273152521631E-3</v>
      </c>
      <c r="AH16" s="157">
        <f>_xlfn.COVARIANCE.S(r_pepsi,r_sp)/(sd_sp^2)</f>
        <v>0.56499585505070848</v>
      </c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</row>
    <row r="17" spans="3:59" ht="14.25" customHeight="1" x14ac:dyDescent="0.2">
      <c r="C17" s="85">
        <v>-7.0745479527362362E-2</v>
      </c>
      <c r="D17" s="82">
        <v>1.5764248063795363E-2</v>
      </c>
      <c r="E17" s="82">
        <v>3.9593895375632772E-2</v>
      </c>
      <c r="F17" s="82">
        <v>-8.9964383745482046E-2</v>
      </c>
      <c r="G17" s="82">
        <v>6.9791034954842346E-2</v>
      </c>
      <c r="H17" s="82">
        <v>-3.437253275758332E-2</v>
      </c>
      <c r="I17" s="82">
        <v>5.7854430311329334E-3</v>
      </c>
      <c r="J17" s="82">
        <v>-6.6222326577734941E-2</v>
      </c>
      <c r="K17" s="82">
        <v>2.2703807854152123E-2</v>
      </c>
      <c r="L17" s="82">
        <v>-7.1719533764145723E-3</v>
      </c>
      <c r="M17" s="82">
        <v>-2.1850302668453479E-2</v>
      </c>
      <c r="N17" s="82">
        <v>-2.0183951102121789E-2</v>
      </c>
      <c r="O17" s="82">
        <v>-6.368889410650351E-2</v>
      </c>
      <c r="P17" s="82">
        <v>-2.1240099897541855E-2</v>
      </c>
      <c r="Q17" s="82">
        <v>-6.4835372851311385E-2</v>
      </c>
      <c r="R17" s="82">
        <v>-3.0219601679708961E-2</v>
      </c>
      <c r="S17" s="82">
        <v>-8.57393595750153E-2</v>
      </c>
      <c r="T17" s="82">
        <v>1.1668015952284236E-2</v>
      </c>
      <c r="U17" s="82">
        <v>2.2259426037512131E-2</v>
      </c>
      <c r="V17" s="81">
        <v>-4.8267559775969415E-2</v>
      </c>
      <c r="W17" s="82">
        <v>-4.3668122270742096E-3</v>
      </c>
      <c r="X17" s="82">
        <v>-3.8647342995169011E-2</v>
      </c>
      <c r="Y17" s="82">
        <v>-2.4572763230184265E-2</v>
      </c>
      <c r="Z17" s="82">
        <v>1.1651616661811838E-2</v>
      </c>
      <c r="AC17" s="81"/>
      <c r="AD17" s="93" t="s">
        <v>78</v>
      </c>
      <c r="AE17" s="82">
        <f>AVERAGE(r_Tractor_Supply_Co)</f>
        <v>1.8253452946747795E-2</v>
      </c>
      <c r="AF17" s="155">
        <f>_xlfn.STDEV.S(r_Tractor_Supply_Co)</f>
        <v>7.3205545746833856E-2</v>
      </c>
      <c r="AG17" s="155">
        <f>_xlfn.VAR.S(r_Tractor_Supply_Co)</f>
        <v>5.3590519280917849E-3</v>
      </c>
      <c r="AH17" s="157">
        <f>_xlfn.COVARIANCE.S(r_Tractor_Supply_Co,r_sp)/(sd_sp^2)</f>
        <v>0.81177441969173103</v>
      </c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</row>
    <row r="18" spans="3:59" ht="14.25" customHeight="1" x14ac:dyDescent="0.2">
      <c r="C18" s="85">
        <v>-6.4929387216028325E-2</v>
      </c>
      <c r="D18" s="82">
        <v>-2.2864603367858515E-2</v>
      </c>
      <c r="E18" s="82">
        <v>-8.6310690503292199E-3</v>
      </c>
      <c r="F18" s="82">
        <v>-1.0397068702814724E-2</v>
      </c>
      <c r="G18" s="82">
        <v>2.7061761172471905E-3</v>
      </c>
      <c r="H18" s="82">
        <v>6.2087951697663802E-3</v>
      </c>
      <c r="I18" s="82">
        <v>-4.7643483029567155E-2</v>
      </c>
      <c r="J18" s="82">
        <v>6.7638888621096516E-2</v>
      </c>
      <c r="K18" s="82">
        <v>-4.0085405761620285E-2</v>
      </c>
      <c r="L18" s="82">
        <v>4.0190828601565302E-2</v>
      </c>
      <c r="M18" s="82">
        <v>-2.9160825088149864E-2</v>
      </c>
      <c r="N18" s="82">
        <v>7.7038239150825152E-2</v>
      </c>
      <c r="O18" s="82">
        <v>-0.10921564059913742</v>
      </c>
      <c r="P18" s="82">
        <v>-4.8986758923512952E-2</v>
      </c>
      <c r="Q18" s="82">
        <v>8.8890050262052822E-2</v>
      </c>
      <c r="R18" s="82">
        <v>-2.5180978688197379E-3</v>
      </c>
      <c r="S18" s="82">
        <v>8.561506031860823E-2</v>
      </c>
      <c r="T18" s="82">
        <v>1.1845131871659132E-2</v>
      </c>
      <c r="U18" s="82">
        <v>2.4535292386170894E-2</v>
      </c>
      <c r="V18" s="81">
        <v>-4.3613151261361172E-2</v>
      </c>
      <c r="W18" s="82">
        <v>1.7543859649122702E-2</v>
      </c>
      <c r="X18" s="82">
        <v>3.2663316582914659E-2</v>
      </c>
      <c r="Y18" s="82">
        <v>7.4562240938776433E-2</v>
      </c>
      <c r="Z18" s="82">
        <v>0.13101065361359057</v>
      </c>
      <c r="AC18" s="81"/>
      <c r="AD18" s="93" t="s">
        <v>42</v>
      </c>
      <c r="AE18" s="82">
        <f>AVERAGE(r_LVMH)</f>
        <v>2.0802754583316554E-2</v>
      </c>
      <c r="AF18" s="155">
        <f>_xlfn.STDEV.S(r_LVMH)</f>
        <v>6.9103476427422622E-2</v>
      </c>
      <c r="AG18" s="155">
        <f>_xlfn.VAR.S(r_LVMH)</f>
        <v>4.7752904543553534E-3</v>
      </c>
      <c r="AH18" s="157">
        <f>_xlfn.COVARIANCE.S(r_LVMH,r_sp)/(sd_sp^2)</f>
        <v>0.96493426046059716</v>
      </c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</row>
    <row r="19" spans="3:59" ht="14.25" customHeight="1" x14ac:dyDescent="0.2">
      <c r="C19" s="85">
        <v>0.11619910681169336</v>
      </c>
      <c r="D19" s="82">
        <v>4.1949590333783274E-2</v>
      </c>
      <c r="E19" s="82">
        <v>-6.6793727476793852E-2</v>
      </c>
      <c r="F19" s="82">
        <v>-3.3241473191819727E-2</v>
      </c>
      <c r="G19" s="82">
        <v>7.4245742749881813E-3</v>
      </c>
      <c r="H19" s="82">
        <v>4.8950830702374701E-2</v>
      </c>
      <c r="I19" s="82">
        <v>7.7429822897314982E-2</v>
      </c>
      <c r="J19" s="82">
        <v>0.30742718225014426</v>
      </c>
      <c r="K19" s="82">
        <v>-2.7897092810357769E-2</v>
      </c>
      <c r="L19" s="82">
        <v>0.15482275815477417</v>
      </c>
      <c r="M19" s="82">
        <v>-9.5689940321526223E-2</v>
      </c>
      <c r="N19" s="82">
        <v>0.11068445449776822</v>
      </c>
      <c r="O19" s="82">
        <v>5.064099594887523E-2</v>
      </c>
      <c r="P19" s="82">
        <v>7.7349027194432221E-2</v>
      </c>
      <c r="Q19" s="82">
        <v>3.7105682087260249E-2</v>
      </c>
      <c r="R19" s="82">
        <v>1.4595355445619795E-2</v>
      </c>
      <c r="S19" s="82">
        <v>-8.0387742086511976E-2</v>
      </c>
      <c r="T19" s="82">
        <v>3.1215955362106633E-2</v>
      </c>
      <c r="U19" s="82">
        <v>-7.7285879292342582E-2</v>
      </c>
      <c r="V19" s="81">
        <v>0.10410960931743922</v>
      </c>
      <c r="W19" s="82">
        <v>0</v>
      </c>
      <c r="X19" s="82">
        <v>1.2165450121654457E-2</v>
      </c>
      <c r="Y19" s="82">
        <v>1.1791196330556546E-2</v>
      </c>
      <c r="Z19" s="82">
        <v>-0.10641547861507132</v>
      </c>
      <c r="AC19" s="81"/>
      <c r="AD19" s="93" t="s">
        <v>79</v>
      </c>
      <c r="AE19" s="82">
        <f>AVERAGE(r_MCO)</f>
        <v>1.8174656725611502E-2</v>
      </c>
      <c r="AF19" s="155">
        <f>_xlfn.STDEV.S(r_MCO)</f>
        <v>7.797842405466654E-2</v>
      </c>
      <c r="AG19" s="155">
        <f>_xlfn.VAR.S(r_MCO)</f>
        <v>6.0806346180493969E-3</v>
      </c>
      <c r="AH19" s="157">
        <f>_xlfn.COVARIANCE.S(r_MCO,r_sp)/(sd_sp^2)</f>
        <v>1.2765711825397565</v>
      </c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</row>
    <row r="20" spans="3:59" ht="14.25" customHeight="1" x14ac:dyDescent="0.2">
      <c r="C20" s="85">
        <v>0.10962262469832278</v>
      </c>
      <c r="D20" s="82">
        <v>3.013713844264863E-2</v>
      </c>
      <c r="E20" s="82">
        <v>-5.1063818248830804E-3</v>
      </c>
      <c r="F20" s="82">
        <v>6.5740207883833723E-2</v>
      </c>
      <c r="G20" s="82">
        <v>-9.7688660465947933E-3</v>
      </c>
      <c r="H20" s="82">
        <v>6.4836558816184151E-2</v>
      </c>
      <c r="I20" s="82">
        <v>2.7096978983560442E-2</v>
      </c>
      <c r="J20" s="82">
        <v>4.7694635975888494E-2</v>
      </c>
      <c r="K20" s="82">
        <v>-2.8114799618191823E-2</v>
      </c>
      <c r="L20" s="82">
        <v>7.8201222151020489E-2</v>
      </c>
      <c r="M20" s="82">
        <v>7.6596367635319434E-3</v>
      </c>
      <c r="N20" s="82">
        <v>7.4328675362912988E-2</v>
      </c>
      <c r="O20" s="82">
        <v>-6.1040362433796317E-3</v>
      </c>
      <c r="P20" s="82">
        <v>3.8779010839513989E-2</v>
      </c>
      <c r="Q20" s="82">
        <v>-3.4971751782076316E-2</v>
      </c>
      <c r="R20" s="82">
        <v>5.5407373902095727E-2</v>
      </c>
      <c r="S20" s="82">
        <v>5.383987538136235E-3</v>
      </c>
      <c r="T20" s="82">
        <v>5.5869757962593074E-2</v>
      </c>
      <c r="U20" s="82">
        <v>5.7941347241845971E-2</v>
      </c>
      <c r="V20" s="81">
        <v>0.2047799438578424</v>
      </c>
      <c r="W20" s="82">
        <v>-0.13793103448275854</v>
      </c>
      <c r="X20" s="82">
        <v>1.6826923076923146E-2</v>
      </c>
      <c r="Y20" s="82">
        <v>3.499866440354002E-2</v>
      </c>
      <c r="Z20" s="82">
        <v>0.1051282051282052</v>
      </c>
      <c r="AC20" s="81"/>
      <c r="AD20" s="93" t="s">
        <v>80</v>
      </c>
      <c r="AE20" s="82">
        <f>AVERAGE(r_General)</f>
        <v>1.3219818000942038E-2</v>
      </c>
      <c r="AF20" s="155">
        <f>_xlfn.STDEV.S(r_General)</f>
        <v>5.2460033987463989E-2</v>
      </c>
      <c r="AG20" s="155">
        <f>_xlfn.VAR.S(r_General)</f>
        <v>2.7520551659658767E-3</v>
      </c>
      <c r="AH20" s="157">
        <f>_xlfn.COVARIANCE.S(r_General,r_sp)/(sd_sp^2)</f>
        <v>0.21465820921050355</v>
      </c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</row>
    <row r="21" spans="3:59" ht="14.25" customHeight="1" x14ac:dyDescent="0.2">
      <c r="C21" s="85">
        <v>4.2252952145738574E-3</v>
      </c>
      <c r="D21" s="82">
        <v>-9.5786643629375542E-2</v>
      </c>
      <c r="E21" s="82">
        <v>1.503949035277981E-2</v>
      </c>
      <c r="F21" s="82">
        <v>6.2353727850217269E-2</v>
      </c>
      <c r="G21" s="82">
        <v>6.1838388778260719E-3</v>
      </c>
      <c r="H21" s="82">
        <v>1.6940902544279508E-2</v>
      </c>
      <c r="I21" s="82">
        <v>4.9726262685712348E-2</v>
      </c>
      <c r="J21" s="82">
        <v>0.26789716312056749</v>
      </c>
      <c r="K21" s="82">
        <v>3.3856547607578204E-2</v>
      </c>
      <c r="L21" s="82">
        <v>8.6433572298773312E-2</v>
      </c>
      <c r="M21" s="82">
        <v>2.0595875243209882E-2</v>
      </c>
      <c r="N21" s="82">
        <v>0.10208270389172223</v>
      </c>
      <c r="O21" s="82">
        <v>-6.9982115609158943E-3</v>
      </c>
      <c r="P21" s="82">
        <v>-2.188907231803848E-2</v>
      </c>
      <c r="Q21" s="82">
        <v>3.1002435594847035E-2</v>
      </c>
      <c r="R21" s="82">
        <v>-3.361077844857218E-2</v>
      </c>
      <c r="S21" s="82">
        <v>8.725520606962734E-3</v>
      </c>
      <c r="T21" s="82">
        <v>4.5293942677671173E-2</v>
      </c>
      <c r="U21" s="82">
        <v>4.5010957723791833E-3</v>
      </c>
      <c r="V21" s="81">
        <v>1.7561005420054173E-2</v>
      </c>
      <c r="W21" s="82">
        <v>-7.5000000000000067E-2</v>
      </c>
      <c r="X21" s="82">
        <v>5.6737588652482102E-2</v>
      </c>
      <c r="Y21" s="82">
        <v>-8.6473014786643595E-3</v>
      </c>
      <c r="Z21" s="82">
        <v>-6.9089971642175771E-2</v>
      </c>
      <c r="AC21" s="81"/>
      <c r="AD21" s="93" t="s">
        <v>81</v>
      </c>
      <c r="AE21" s="82">
        <f>AVERAGE(r_Airbus)</f>
        <v>1.5102696585381882E-2</v>
      </c>
      <c r="AF21" s="155">
        <f>_xlfn.STDEV.S(r_Airbus)</f>
        <v>0.11064309708484885</v>
      </c>
      <c r="AG21" s="155">
        <f>_xlfn.VAR.S(r_Airbus)</f>
        <v>1.2241894932527288E-2</v>
      </c>
      <c r="AH21" s="157">
        <f>_xlfn.COVARIANCE.S(r_Airbus,r_sp)/(sd_sp^2)</f>
        <v>1.4050488902214358</v>
      </c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</row>
    <row r="22" spans="3:59" ht="14.25" customHeight="1" x14ac:dyDescent="0.2">
      <c r="C22" s="85">
        <v>-3.1911144176166001E-2</v>
      </c>
      <c r="D22" s="82">
        <v>1.6739461662414312E-2</v>
      </c>
      <c r="E22" s="82">
        <v>7.1760972013382163E-2</v>
      </c>
      <c r="F22" s="82">
        <v>4.799367427222663E-2</v>
      </c>
      <c r="G22" s="82">
        <v>4.6424311704858695E-2</v>
      </c>
      <c r="H22" s="82">
        <v>-4.0301272309728381E-2</v>
      </c>
      <c r="I22" s="82">
        <v>8.1630813968171914E-2</v>
      </c>
      <c r="J22" s="82">
        <v>0.55515986315014121</v>
      </c>
      <c r="K22" s="82">
        <v>1.8747926332908151E-2</v>
      </c>
      <c r="L22" s="82">
        <v>4.8022578383014299E-3</v>
      </c>
      <c r="M22" s="82">
        <v>-7.0617745512504299E-2</v>
      </c>
      <c r="N22" s="82">
        <v>5.4010004715770082E-2</v>
      </c>
      <c r="O22" s="82">
        <v>-5.2440332192481547E-3</v>
      </c>
      <c r="P22" s="82">
        <v>2.1152739824653276E-2</v>
      </c>
      <c r="Q22" s="82">
        <v>-8.0754468094922413E-2</v>
      </c>
      <c r="R22" s="82">
        <v>-1.8268077428395202E-2</v>
      </c>
      <c r="S22" s="82">
        <v>7.2291869646063656E-2</v>
      </c>
      <c r="T22" s="82">
        <v>7.9454575014868523E-2</v>
      </c>
      <c r="U22" s="82">
        <v>-2.5018613314826355E-2</v>
      </c>
      <c r="V22" s="81">
        <v>-9.9978714978784841E-2</v>
      </c>
      <c r="W22" s="82">
        <v>-0.13513513513513509</v>
      </c>
      <c r="X22" s="82">
        <v>-5.3691275167785088E-2</v>
      </c>
      <c r="Y22" s="82">
        <v>2.8633192244553792E-2</v>
      </c>
      <c r="Z22" s="82">
        <v>0.1215729714760453</v>
      </c>
      <c r="AC22" s="81"/>
      <c r="AD22" s="93" t="s">
        <v>82</v>
      </c>
      <c r="AE22" s="82">
        <f>AVERAGE(r_Deere)</f>
        <v>2.071632080003601E-2</v>
      </c>
      <c r="AF22" s="155">
        <f>_xlfn.STDEV.S(r_Deere)</f>
        <v>8.8714647423528373E-2</v>
      </c>
      <c r="AG22" s="155">
        <f>_xlfn.VAR.S(r_Deere)</f>
        <v>7.8702886674809503E-3</v>
      </c>
      <c r="AH22" s="157">
        <f>_xlfn.COVARIANCE.S(r_Deere,r_sp)/(sd_sp^2)</f>
        <v>1.1176186777986055</v>
      </c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</row>
    <row r="23" spans="3:59" ht="14.25" customHeight="1" x14ac:dyDescent="0.2">
      <c r="C23" s="85">
        <v>-0.15064175678804573</v>
      </c>
      <c r="D23" s="82">
        <v>0.10418969759567785</v>
      </c>
      <c r="E23" s="82">
        <v>-7.8611883600999855E-2</v>
      </c>
      <c r="F23" s="82">
        <v>-6.2912884772158742E-2</v>
      </c>
      <c r="G23" s="82">
        <v>-7.0342383441290943E-2</v>
      </c>
      <c r="H23" s="82">
        <v>-6.1851627537399569E-2</v>
      </c>
      <c r="I23" s="82">
        <v>-6.5267240043411334E-2</v>
      </c>
      <c r="J23" s="82">
        <v>2.6776464841962302E-2</v>
      </c>
      <c r="K23" s="82">
        <v>-7.9853275900946971E-2</v>
      </c>
      <c r="L23" s="82">
        <v>0.14228340075251089</v>
      </c>
      <c r="M23" s="82">
        <v>3.2181279267920075E-2</v>
      </c>
      <c r="N23" s="82">
        <v>-0.11679753241248272</v>
      </c>
      <c r="O23" s="82">
        <v>-4.7767622856277225E-2</v>
      </c>
      <c r="P23" s="82">
        <v>-0.18868213049247851</v>
      </c>
      <c r="Q23" s="82">
        <v>-1.3242218122933943E-2</v>
      </c>
      <c r="R23" s="82">
        <v>9.7468250559774927E-2</v>
      </c>
      <c r="S23" s="82">
        <v>-9.4482516379850612E-2</v>
      </c>
      <c r="T23" s="82">
        <v>-4.8287603361856023E-2</v>
      </c>
      <c r="U23" s="82">
        <v>-5.2902865586737319E-2</v>
      </c>
      <c r="V23" s="81">
        <v>0.31552939684246079</v>
      </c>
      <c r="W23" s="82">
        <v>-0.10000000000000005</v>
      </c>
      <c r="X23" s="82">
        <v>-4.255319148936184E-2</v>
      </c>
      <c r="Y23" s="82">
        <v>-3.8100051476889218E-2</v>
      </c>
      <c r="Z23" s="82">
        <v>-5.4567901234567812E-2</v>
      </c>
      <c r="AC23" s="81"/>
      <c r="AD23" s="93" t="s">
        <v>83</v>
      </c>
      <c r="AE23" s="82">
        <f>AVERAGE(r_tractor)</f>
        <v>1.7155929728901641E-2</v>
      </c>
      <c r="AF23" s="155">
        <f>_xlfn.STDEV.S(r_tractor)</f>
        <v>8.9700223425848588E-2</v>
      </c>
      <c r="AG23" s="155">
        <f>_xlfn.VAR.S(r_tractor)</f>
        <v>8.0461300826471568E-3</v>
      </c>
      <c r="AH23" s="157">
        <f>_xlfn.COVARIANCE.S(r_tractor,r_sp)/(sd_sp^2)</f>
        <v>0.13710360239385824</v>
      </c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</row>
    <row r="24" spans="3:59" ht="14.25" customHeight="1" x14ac:dyDescent="0.2">
      <c r="C24" s="85">
        <v>-4.2110343432610775E-2</v>
      </c>
      <c r="D24" s="82">
        <v>-4.450853261431905E-3</v>
      </c>
      <c r="E24" s="82">
        <v>-1.7907216236057257E-2</v>
      </c>
      <c r="F24" s="82">
        <v>-9.8541932382630884E-2</v>
      </c>
      <c r="G24" s="82">
        <v>-9.0358302310704575E-2</v>
      </c>
      <c r="H24" s="82">
        <v>-8.7366803014719677E-2</v>
      </c>
      <c r="I24" s="82">
        <v>-0.1170412376173629</v>
      </c>
      <c r="J24" s="82">
        <v>-0.21555707478993227</v>
      </c>
      <c r="K24" s="82">
        <v>-0.13643663389103361</v>
      </c>
      <c r="L24" s="82">
        <v>-2.337299299352294E-2</v>
      </c>
      <c r="M24" s="82">
        <v>-0.12823653030817975</v>
      </c>
      <c r="N24" s="82">
        <v>-6.7553782783986063E-2</v>
      </c>
      <c r="O24" s="82">
        <v>-4.1351562886717694E-2</v>
      </c>
      <c r="P24" s="82">
        <v>-0.45106383212931372</v>
      </c>
      <c r="Q24" s="82">
        <v>-0.11707584071755946</v>
      </c>
      <c r="R24" s="82">
        <v>7.7854718235532791E-2</v>
      </c>
      <c r="S24" s="82">
        <v>-0.13877573303219914</v>
      </c>
      <c r="T24" s="82">
        <v>-2.3882628633233163E-2</v>
      </c>
      <c r="U24" s="82">
        <v>7.693908740790735E-2</v>
      </c>
      <c r="V24" s="81">
        <v>9.8342221273600275E-2</v>
      </c>
      <c r="W24" s="82">
        <v>-3.4722222222222252E-2</v>
      </c>
      <c r="X24" s="82">
        <v>-0.13580246913580243</v>
      </c>
      <c r="Y24" s="82">
        <v>1.6768005849628585E-2</v>
      </c>
      <c r="Z24" s="82">
        <v>-0.16531731522590754</v>
      </c>
      <c r="AC24" s="81"/>
      <c r="AD24" s="93" t="s">
        <v>49</v>
      </c>
      <c r="AE24" s="82">
        <f>AVERAGE(r_tesla)</f>
        <v>6.1057944464683531E-2</v>
      </c>
      <c r="AF24" s="155">
        <f>_xlfn.STDEV.S(r_tesla)</f>
        <v>0.22266637180405918</v>
      </c>
      <c r="AG24" s="155">
        <f>_xlfn.VAR.S(r_tesla)</f>
        <v>4.9580313132383522E-2</v>
      </c>
      <c r="AH24" s="157">
        <f>_xlfn.COVARIANCE.S(r_tesla,r_sp)/(sd_sp^2)</f>
        <v>2.3567210457526642</v>
      </c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</row>
    <row r="25" spans="3:59" ht="14.25" customHeight="1" x14ac:dyDescent="0.2">
      <c r="C25" s="85">
        <v>4.2915991527532948E-2</v>
      </c>
      <c r="D25" s="82">
        <v>9.8357136995036037E-3</v>
      </c>
      <c r="E25" s="82">
        <v>5.8920795058133482E-2</v>
      </c>
      <c r="F25" s="82">
        <v>9.8649203649100625E-2</v>
      </c>
      <c r="G25" s="82">
        <v>0.1089362326133539</v>
      </c>
      <c r="H25" s="82">
        <v>4.1365037897174134E-2</v>
      </c>
      <c r="I25" s="82">
        <v>0.15319140186503591</v>
      </c>
      <c r="J25" s="82">
        <v>0.49213733793631026</v>
      </c>
      <c r="K25" s="82">
        <v>0.24498733364776032</v>
      </c>
      <c r="L25" s="82">
        <v>0.10880079261316501</v>
      </c>
      <c r="M25" s="82">
        <v>0.32501699371950438</v>
      </c>
      <c r="N25" s="82">
        <v>0.15537361101577521</v>
      </c>
      <c r="O25" s="82">
        <v>0.19964511611888952</v>
      </c>
      <c r="P25" s="82">
        <v>-2.4603915830935779E-2</v>
      </c>
      <c r="Q25" s="82">
        <v>5.5881741090244727E-2</v>
      </c>
      <c r="R25" s="82">
        <v>0.13405906793787248</v>
      </c>
      <c r="S25" s="82">
        <v>0.13188499912309373</v>
      </c>
      <c r="T25" s="82">
        <v>0.13632627188921578</v>
      </c>
      <c r="U25" s="82">
        <v>0.13492500448114178</v>
      </c>
      <c r="V25" s="81">
        <v>7.6982930854929674E-2</v>
      </c>
      <c r="W25" s="82">
        <v>9.3525179856115165E-2</v>
      </c>
      <c r="X25" s="82">
        <v>7.9999999999999946E-2</v>
      </c>
      <c r="Y25" s="82">
        <v>1.3571765183889951E-2</v>
      </c>
      <c r="Z25" s="82">
        <v>-0.16833541927409268</v>
      </c>
      <c r="AC25" s="81"/>
      <c r="AD25" s="93" t="s">
        <v>84</v>
      </c>
      <c r="AE25" s="82">
        <f>AVERAGE(r_Gass)</f>
        <v>-8.2946520880362046E-3</v>
      </c>
      <c r="AF25" s="155">
        <f>_xlfn.STDEV.S(r_Gass)</f>
        <v>0.16341317076915299</v>
      </c>
      <c r="AG25" s="155">
        <f>_xlfn.VAR.S(r_Gass)</f>
        <v>2.6703864380828356E-2</v>
      </c>
      <c r="AH25" s="157">
        <f>_xlfn.COVARIANCE.S(r_Gass,r_sp)/(sd_sp^2)</f>
        <v>0.12854493856259352</v>
      </c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</row>
    <row r="26" spans="3:59" ht="14.25" customHeight="1" x14ac:dyDescent="0.2">
      <c r="C26" s="85">
        <v>-5.0954782882664433E-3</v>
      </c>
      <c r="D26" s="82">
        <v>5.2020143037272842E-3</v>
      </c>
      <c r="E26" s="82">
        <v>3.55711778544886E-2</v>
      </c>
      <c r="F26" s="82">
        <v>0.16340400700844507</v>
      </c>
      <c r="G26" s="82">
        <v>-5.5934978663530702E-3</v>
      </c>
      <c r="H26" s="82">
        <v>7.7734506742394585E-2</v>
      </c>
      <c r="I26" s="82">
        <v>9.6392293982045157E-2</v>
      </c>
      <c r="J26" s="82">
        <v>6.793886703685649E-2</v>
      </c>
      <c r="K26" s="82">
        <v>9.8604712849282114E-2</v>
      </c>
      <c r="L26" s="82">
        <v>0.21465741782547998</v>
      </c>
      <c r="M26" s="82">
        <v>0.14335934252089094</v>
      </c>
      <c r="N26" s="82">
        <v>8.2164954288507924E-2</v>
      </c>
      <c r="O26" s="82">
        <v>0.20299709669403268</v>
      </c>
      <c r="P26" s="82">
        <v>1.1672982118441068E-2</v>
      </c>
      <c r="Q26" s="82">
        <v>4.8669234635044821E-2</v>
      </c>
      <c r="R26" s="82">
        <v>-7.3452387729377053E-2</v>
      </c>
      <c r="S26" s="82">
        <v>-5.2566036435094396E-3</v>
      </c>
      <c r="T26" s="82">
        <v>2.2543279459333192E-2</v>
      </c>
      <c r="U26" s="82">
        <v>6.1814855553303648E-2</v>
      </c>
      <c r="V26" s="81">
        <v>0.16530385672297992</v>
      </c>
      <c r="W26" s="82">
        <v>-0.18421052631578949</v>
      </c>
      <c r="X26" s="82">
        <v>-1.3227513227513182E-2</v>
      </c>
      <c r="Y26" s="82">
        <v>6.4508064928728334E-2</v>
      </c>
      <c r="Z26" s="82">
        <v>0.19262603461249062</v>
      </c>
      <c r="AC26" s="81"/>
      <c r="AD26" s="93" t="s">
        <v>85</v>
      </c>
      <c r="AE26" s="82">
        <f>AVERAGE(r_AEEM)</f>
        <v>3.5570802020324843E-3</v>
      </c>
      <c r="AF26" s="155">
        <f>_xlfn.STDEV.S(r_AEEM)</f>
        <v>4.4872824569448293E-2</v>
      </c>
      <c r="AG26" s="155">
        <f>_xlfn.VAR.S(r_AEEM)</f>
        <v>2.0135703848404821E-3</v>
      </c>
      <c r="AH26" s="157">
        <f>_xlfn.COVARIANCE.S(r_AEEM,r_sp)/(sd_sp^2)</f>
        <v>0.57765965088811322</v>
      </c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</row>
    <row r="27" spans="3:59" ht="14.25" customHeight="1" x14ac:dyDescent="0.2">
      <c r="C27" s="85">
        <v>5.1215751633128291E-3</v>
      </c>
      <c r="D27" s="82">
        <v>6.0889661611660859E-2</v>
      </c>
      <c r="E27" s="82">
        <v>1.2857562832103443E-2</v>
      </c>
      <c r="F27" s="82">
        <v>-3.6017297398565122E-2</v>
      </c>
      <c r="G27" s="82">
        <v>5.3968781546520151E-3</v>
      </c>
      <c r="H27" s="82">
        <v>4.133337020740413E-2</v>
      </c>
      <c r="I27" s="82">
        <v>2.9592692328379834E-2</v>
      </c>
      <c r="J27" s="82">
        <v>0.29318562770812867</v>
      </c>
      <c r="K27" s="82">
        <v>-6.4116971715886401E-2</v>
      </c>
      <c r="L27" s="82">
        <v>7.010887419427092E-2</v>
      </c>
      <c r="M27" s="82">
        <v>0.15591586778812266</v>
      </c>
      <c r="N27" s="82">
        <v>0.15049217554707642</v>
      </c>
      <c r="O27" s="82">
        <v>8.3549848079859185E-2</v>
      </c>
      <c r="P27" s="82">
        <v>0.12028228064603246</v>
      </c>
      <c r="Q27" s="82">
        <v>3.3066015809397269E-2</v>
      </c>
      <c r="R27" s="82">
        <v>-1.1435149343183579E-2</v>
      </c>
      <c r="S27" s="82">
        <v>-2.0098730455162299E-2</v>
      </c>
      <c r="T27" s="82">
        <v>0.113652411598687</v>
      </c>
      <c r="U27" s="82">
        <v>-2.204950559125176E-2</v>
      </c>
      <c r="V27" s="81">
        <v>1.7689048865681335E-2</v>
      </c>
      <c r="W27" s="82">
        <v>-8.8709677419354871E-2</v>
      </c>
      <c r="X27" s="82">
        <v>7.2386058981233251E-2</v>
      </c>
      <c r="Y27" s="82">
        <v>7.4840775186344839E-3</v>
      </c>
      <c r="Z27" s="82">
        <v>-0.10126182965299677</v>
      </c>
      <c r="AC27" s="81"/>
      <c r="AD27" s="93" t="s">
        <v>86</v>
      </c>
      <c r="AE27" s="82">
        <f>AVERAGE(r_MEH)</f>
        <v>1.2559317506976971E-2</v>
      </c>
      <c r="AF27" s="155">
        <f>_xlfn.STDEV.S(r_MEH)</f>
        <v>6.1929067050563238E-2</v>
      </c>
      <c r="AG27" s="155">
        <f>_xlfn.VAR.S(r_MEH)</f>
        <v>3.835209345753157E-3</v>
      </c>
      <c r="AH27" s="157">
        <f>_xlfn.COVARIANCE.S(r_MEH,r_sp)/(sd_sp^2)</f>
        <v>9.1856975911007915E-2</v>
      </c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</row>
    <row r="28" spans="3:59" ht="14.25" customHeight="1" x14ac:dyDescent="0.2">
      <c r="C28" s="85">
        <v>7.131184020792905E-2</v>
      </c>
      <c r="D28" s="82">
        <v>-8.9258024497863627E-3</v>
      </c>
      <c r="E28" s="82">
        <v>5.3781178973966046E-2</v>
      </c>
      <c r="F28" s="82">
        <v>0.13214085401038664</v>
      </c>
      <c r="G28" s="82">
        <v>4.8907805463996722E-2</v>
      </c>
      <c r="H28" s="82">
        <v>-6.0819395713622805E-2</v>
      </c>
      <c r="I28" s="82">
        <v>2.3914153111081866E-2</v>
      </c>
      <c r="J28" s="82">
        <v>0.32501089254102827</v>
      </c>
      <c r="K28" s="82">
        <v>-5.7492541956776021E-2</v>
      </c>
      <c r="L28" s="82">
        <v>0.1181168232723068</v>
      </c>
      <c r="M28" s="82">
        <v>5.3956224743401601E-2</v>
      </c>
      <c r="N28" s="82">
        <v>0.1651315607525391</v>
      </c>
      <c r="O28" s="82">
        <v>8.3086873803110819E-2</v>
      </c>
      <c r="P28" s="82">
        <v>-2.3772116938072598E-2</v>
      </c>
      <c r="Q28" s="82">
        <v>0.12767215228145262</v>
      </c>
      <c r="R28" s="82">
        <v>-8.8264435637864305E-2</v>
      </c>
      <c r="S28" s="82">
        <v>1.7968106218060973E-2</v>
      </c>
      <c r="T28" s="82">
        <v>7.3705604952501447E-3</v>
      </c>
      <c r="U28" s="82">
        <v>2.6277322666073206E-2</v>
      </c>
      <c r="V28" s="81">
        <v>1.3501134732578799E-2</v>
      </c>
      <c r="W28" s="82">
        <v>-2.6548672566371678E-2</v>
      </c>
      <c r="X28" s="82">
        <v>2.750000000000008E-2</v>
      </c>
      <c r="Y28" s="82">
        <v>3.5379824443192362E-2</v>
      </c>
      <c r="Z28" s="82">
        <v>3.1239031239031226E-2</v>
      </c>
      <c r="AC28" s="81"/>
      <c r="AD28" s="94" t="s">
        <v>115</v>
      </c>
      <c r="AE28" s="158">
        <f>AVERAGE(r_bons)</f>
        <v>2.9752631476069294E-3</v>
      </c>
      <c r="AF28" s="159">
        <f>_xlfn.STDEV.S(r_bons)</f>
        <v>0.16611223171087877</v>
      </c>
      <c r="AG28" s="159">
        <f>_xlfn.VAR.S(r_bons)</f>
        <v>2.7593273523968679E-2</v>
      </c>
      <c r="AH28" s="160">
        <f>_xlfn.COVARIANCE.S(r_bons,r_sp)/(sd_sp^2)</f>
        <v>-0.15564447929884162</v>
      </c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</row>
    <row r="29" spans="3:59" ht="14.25" customHeight="1" x14ac:dyDescent="0.2">
      <c r="C29" s="85">
        <v>6.2940519014343582E-2</v>
      </c>
      <c r="D29" s="82">
        <v>-4.2412728351229036E-2</v>
      </c>
      <c r="E29" s="82">
        <v>3.2744208105956005E-2</v>
      </c>
      <c r="F29" s="82">
        <v>6.8552442989172194E-2</v>
      </c>
      <c r="G29" s="82">
        <v>1.7434157346703113E-2</v>
      </c>
      <c r="H29" s="82">
        <v>7.7966516879127867E-2</v>
      </c>
      <c r="I29" s="82">
        <v>4.742292765273378E-2</v>
      </c>
      <c r="J29" s="82">
        <v>0.74145211750024775</v>
      </c>
      <c r="K29" s="82">
        <v>5.3452978455694737E-2</v>
      </c>
      <c r="L29" s="82">
        <v>0.25999180521847148</v>
      </c>
      <c r="M29" s="82">
        <v>-9.0449221866879155E-3</v>
      </c>
      <c r="N29" s="82">
        <v>0.21437982453517679</v>
      </c>
      <c r="O29" s="82">
        <v>4.2664929631791006E-2</v>
      </c>
      <c r="P29" s="82">
        <v>0.11014345651070633</v>
      </c>
      <c r="Q29" s="82">
        <v>0.19142420793465315</v>
      </c>
      <c r="R29" s="82">
        <v>-3.9982806655060259E-2</v>
      </c>
      <c r="S29" s="82">
        <v>3.0095901526669138E-3</v>
      </c>
      <c r="T29" s="82">
        <v>0.10009295860169658</v>
      </c>
      <c r="U29" s="82">
        <v>1.8678328339331165E-2</v>
      </c>
      <c r="V29" s="81">
        <v>-1.9206755368159818E-2</v>
      </c>
      <c r="W29" s="82">
        <v>0.25454545454545457</v>
      </c>
      <c r="X29" s="82">
        <v>1.4598540145985306E-2</v>
      </c>
      <c r="Y29" s="82">
        <v>4.8166220585446388E-2</v>
      </c>
      <c r="Z29" s="82">
        <v>-0.20183798502382572</v>
      </c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</row>
    <row r="30" spans="3:59" ht="14.25" customHeight="1" x14ac:dyDescent="0.2">
      <c r="C30" s="85">
        <v>-0.11659808761292068</v>
      </c>
      <c r="D30" s="82">
        <v>6.5725909717940484E-2</v>
      </c>
      <c r="E30" s="82">
        <v>-2.6620902214421989E-2</v>
      </c>
      <c r="F30" s="82">
        <v>-4.3644216551395193E-2</v>
      </c>
      <c r="G30" s="82">
        <v>-1.0424068189304646E-2</v>
      </c>
      <c r="H30" s="82">
        <v>1.6802477355729935E-2</v>
      </c>
      <c r="I30" s="82">
        <v>-1.4323805811139222E-2</v>
      </c>
      <c r="J30" s="82">
        <v>-0.13908741559655821</v>
      </c>
      <c r="K30" s="82">
        <v>1.4004509249758088E-2</v>
      </c>
      <c r="L30" s="82">
        <v>1.1664035821323122E-2</v>
      </c>
      <c r="M30" s="82">
        <v>-4.6110551193285644E-2</v>
      </c>
      <c r="N30" s="82">
        <v>-0.10090814607010655</v>
      </c>
      <c r="O30" s="82">
        <v>-3.4352043018910317E-2</v>
      </c>
      <c r="P30" s="82">
        <v>-9.8343909838654528E-2</v>
      </c>
      <c r="Q30" s="82">
        <v>5.5079521672232304E-2</v>
      </c>
      <c r="R30" s="82">
        <v>-5.3333300347191165E-2</v>
      </c>
      <c r="S30" s="82">
        <v>-3.8046039977827662E-4</v>
      </c>
      <c r="T30" s="82">
        <v>-6.5142600501104764E-2</v>
      </c>
      <c r="U30" s="82">
        <v>-3.5496493917861978E-2</v>
      </c>
      <c r="V30" s="81">
        <v>-9.7027026727516244E-2</v>
      </c>
      <c r="W30" s="82">
        <v>-8.6956521739130418E-2</v>
      </c>
      <c r="X30" s="82">
        <v>1.199040767386087E-2</v>
      </c>
      <c r="Y30" s="82">
        <v>-3.3993997999456897E-2</v>
      </c>
      <c r="Z30" s="82">
        <v>-0.22302771855010664</v>
      </c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</row>
    <row r="31" spans="3:59" ht="14.25" customHeight="1" x14ac:dyDescent="0.2">
      <c r="C31" s="85">
        <v>-4.745963854047875E-2</v>
      </c>
      <c r="D31" s="82">
        <v>-3.4068641878375543E-2</v>
      </c>
      <c r="E31" s="82">
        <v>2.2553397870046437E-2</v>
      </c>
      <c r="F31" s="82">
        <v>-4.5261797768668288E-2</v>
      </c>
      <c r="G31" s="82">
        <v>-3.1396575224850329E-2</v>
      </c>
      <c r="H31" s="82">
        <v>7.2609245255328631E-3</v>
      </c>
      <c r="I31" s="82">
        <v>-9.2979028225837854E-2</v>
      </c>
      <c r="J31" s="82">
        <v>-9.5498911682655438E-2</v>
      </c>
      <c r="K31" s="82">
        <v>-7.9189423899577144E-2</v>
      </c>
      <c r="L31" s="82">
        <v>-7.3371355446111661E-2</v>
      </c>
      <c r="M31" s="82">
        <v>-8.5796604825477754E-2</v>
      </c>
      <c r="N31" s="82">
        <v>-6.0012024383912531E-2</v>
      </c>
      <c r="O31" s="82">
        <v>-7.0671141612418414E-2</v>
      </c>
      <c r="P31" s="82">
        <v>8.3776516861636553E-3</v>
      </c>
      <c r="Q31" s="82">
        <v>2.2814493601409871E-2</v>
      </c>
      <c r="R31" s="82">
        <v>-7.0117563397825891E-2</v>
      </c>
      <c r="S31" s="82">
        <v>-8.2271736868202355E-2</v>
      </c>
      <c r="T31" s="82">
        <v>-3.7369886026397472E-2</v>
      </c>
      <c r="U31" s="82">
        <v>-4.1504695777324831E-2</v>
      </c>
      <c r="V31" s="81">
        <v>-2.8975722890607201E-2</v>
      </c>
      <c r="W31" s="82">
        <v>0.1031746031746031</v>
      </c>
      <c r="X31" s="82">
        <v>1.8957345971564E-2</v>
      </c>
      <c r="Y31" s="82">
        <v>-0.10241085538160954</v>
      </c>
      <c r="Z31" s="82">
        <v>-2.0856201975850731E-2</v>
      </c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</row>
    <row r="32" spans="3:59" ht="14.25" customHeight="1" x14ac:dyDescent="0.2">
      <c r="C32" s="85">
        <v>0.10393576565944987</v>
      </c>
      <c r="D32" s="82">
        <v>0.11037926931588676</v>
      </c>
      <c r="E32" s="82">
        <v>9.1550680113508684E-2</v>
      </c>
      <c r="F32" s="82">
        <v>0.10722212354708129</v>
      </c>
      <c r="G32" s="82">
        <v>8.2076730907784237E-2</v>
      </c>
      <c r="H32" s="82">
        <v>0.20034796736760535</v>
      </c>
      <c r="I32" s="82">
        <v>7.3944392659949773E-2</v>
      </c>
      <c r="J32" s="82">
        <v>0.46273580739585207</v>
      </c>
      <c r="K32" s="82">
        <v>0.21003307361778509</v>
      </c>
      <c r="L32" s="82">
        <v>6.9211737700694997E-2</v>
      </c>
      <c r="M32" s="82">
        <v>5.8786562032423002E-2</v>
      </c>
      <c r="N32" s="82">
        <v>9.3606284885984228E-2</v>
      </c>
      <c r="O32" s="82">
        <v>5.7052592367264024E-2</v>
      </c>
      <c r="P32" s="82">
        <v>0.40166162309727071</v>
      </c>
      <c r="Q32" s="82">
        <v>0.15807175674400292</v>
      </c>
      <c r="R32" s="82">
        <v>4.3336123693058261E-2</v>
      </c>
      <c r="S32" s="82">
        <v>0.10621523725412652</v>
      </c>
      <c r="T32" s="82">
        <v>5.7292542594298376E-2</v>
      </c>
      <c r="U32" s="82">
        <v>3.734494055377189E-2</v>
      </c>
      <c r="V32" s="81">
        <v>-5.0647525758508706E-2</v>
      </c>
      <c r="W32" s="82">
        <v>-0.16546762589928057</v>
      </c>
      <c r="X32" s="82">
        <v>6.7441860465116285E-2</v>
      </c>
      <c r="Y32" s="82">
        <v>1.6015176948279121E-2</v>
      </c>
      <c r="Z32" s="82">
        <v>-0.15246636771300448</v>
      </c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</row>
    <row r="33" spans="3:59" ht="14.25" customHeight="1" x14ac:dyDescent="0.2">
      <c r="C33" s="85">
        <v>2.9374728451465767E-2</v>
      </c>
      <c r="D33" s="82">
        <v>3.4634521346413275E-2</v>
      </c>
      <c r="E33" s="82">
        <v>-1.5179617399452695E-3</v>
      </c>
      <c r="F33" s="82">
        <v>9.0823380297791315E-2</v>
      </c>
      <c r="G33" s="82">
        <v>2.821892805018926E-2</v>
      </c>
      <c r="H33" s="82">
        <v>5.7983062747463204E-2</v>
      </c>
      <c r="I33" s="82">
        <v>3.0084755493054362E-2</v>
      </c>
      <c r="J33" s="82">
        <v>0.24325228186975084</v>
      </c>
      <c r="K33" s="82">
        <v>-2.6063261418507705E-2</v>
      </c>
      <c r="L33" s="82">
        <v>-2.5855250550276834E-2</v>
      </c>
      <c r="M33" s="82">
        <v>-4.5440316163378305E-4</v>
      </c>
      <c r="N33" s="82">
        <v>0.11649664834236234</v>
      </c>
      <c r="O33" s="82">
        <v>1.4183835660840428E-3</v>
      </c>
      <c r="P33" s="82">
        <v>2.3367114446270397E-2</v>
      </c>
      <c r="Q33" s="82">
        <v>2.8399935698351548E-2</v>
      </c>
      <c r="R33" s="82">
        <v>-3.97231991014537E-2</v>
      </c>
      <c r="S33" s="82">
        <v>3.3883793947534761E-2</v>
      </c>
      <c r="T33" s="82">
        <v>4.1726022016534997E-2</v>
      </c>
      <c r="U33" s="82">
        <v>-3.3212717347502703E-2</v>
      </c>
      <c r="V33" s="81">
        <v>-6.37948222970567E-2</v>
      </c>
      <c r="W33" s="82">
        <v>-0.17241379310344829</v>
      </c>
      <c r="X33" s="82">
        <v>5.2287581699346455E-2</v>
      </c>
      <c r="Y33" s="82">
        <v>-0.12585093643567466</v>
      </c>
      <c r="Z33" s="82">
        <v>-3.703703703703707E-2</v>
      </c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</row>
    <row r="34" spans="3:59" ht="14.25" customHeight="1" x14ac:dyDescent="0.2">
      <c r="C34" s="85">
        <v>2.2462738162187162E-2</v>
      </c>
      <c r="D34" s="82">
        <v>2.2563379033750823E-2</v>
      </c>
      <c r="E34" s="82">
        <v>-8.7826063197632837E-2</v>
      </c>
      <c r="F34" s="82">
        <v>-6.1094309641249595E-2</v>
      </c>
      <c r="G34" s="82">
        <v>-7.2535865876871289E-2</v>
      </c>
      <c r="H34" s="82">
        <v>-2.0606136244676141E-2</v>
      </c>
      <c r="I34" s="82">
        <v>-8.2621293733181819E-2</v>
      </c>
      <c r="J34" s="82">
        <v>0.12450585683406372</v>
      </c>
      <c r="K34" s="82">
        <v>-5.2714805305658252E-2</v>
      </c>
      <c r="L34" s="82">
        <v>-4.7041988621295159E-3</v>
      </c>
      <c r="M34" s="82">
        <v>0.12457718541833998</v>
      </c>
      <c r="N34" s="82">
        <v>-5.5013209889176037E-3</v>
      </c>
      <c r="O34" s="82">
        <v>8.2518063139928547E-3</v>
      </c>
      <c r="P34" s="82">
        <v>-7.3290306177451608E-2</v>
      </c>
      <c r="Q34" s="82">
        <v>7.6489836225264077E-2</v>
      </c>
      <c r="R34" s="82">
        <v>0.13873129082186675</v>
      </c>
      <c r="S34" s="82">
        <v>-5.3781284791389349E-2</v>
      </c>
      <c r="T34" s="82">
        <v>4.2892068994810732E-2</v>
      </c>
      <c r="U34" s="82">
        <v>-1.1904749246839694E-2</v>
      </c>
      <c r="V34" s="81">
        <v>4.2909506413948348E-2</v>
      </c>
      <c r="W34" s="82">
        <v>6.2500000000000167E-2</v>
      </c>
      <c r="X34" s="82">
        <v>4.1407867494824051E-2</v>
      </c>
      <c r="Y34" s="82">
        <v>0.11124724799242507</v>
      </c>
      <c r="Z34" s="82">
        <v>7.2115384615384609E-2</v>
      </c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</row>
    <row r="35" spans="3:59" ht="14.25" customHeight="1" x14ac:dyDescent="0.2">
      <c r="C35" s="85">
        <v>6.1343644956179916E-2</v>
      </c>
      <c r="D35" s="82">
        <v>1.5554350478184811E-2</v>
      </c>
      <c r="E35" s="82">
        <v>-3.0516892291826723E-2</v>
      </c>
      <c r="F35" s="82">
        <v>1.04802024535253E-2</v>
      </c>
      <c r="G35" s="82">
        <v>-5.4038185463437173E-2</v>
      </c>
      <c r="H35" s="82">
        <v>5.35822171212465E-2</v>
      </c>
      <c r="I35" s="82">
        <v>3.2412154236093067E-2</v>
      </c>
      <c r="J35" s="82">
        <v>-0.14874045031414884</v>
      </c>
      <c r="K35" s="82">
        <v>2.3715218200806909E-2</v>
      </c>
      <c r="L35" s="82">
        <v>5.5794027773071603E-2</v>
      </c>
      <c r="M35" s="82">
        <v>-1.5925957057065334E-3</v>
      </c>
      <c r="N35" s="82">
        <v>-8.1085285399479151E-2</v>
      </c>
      <c r="O35" s="82">
        <v>0.12149012921237429</v>
      </c>
      <c r="P35" s="82">
        <v>0.15276455895202665</v>
      </c>
      <c r="Q35" s="82">
        <v>0.20886446615366008</v>
      </c>
      <c r="R35" s="82">
        <v>-6.4024321452499242E-2</v>
      </c>
      <c r="S35" s="82">
        <v>-1.5114211717810518E-3</v>
      </c>
      <c r="T35" s="82">
        <v>1.8104771707069362E-3</v>
      </c>
      <c r="U35" s="82">
        <v>-4.4919900498094786E-2</v>
      </c>
      <c r="V35" s="81">
        <v>-0.10572798789876144</v>
      </c>
      <c r="W35" s="82">
        <v>4.9019607843137122E-2</v>
      </c>
      <c r="X35" s="82">
        <v>9.9403578528826676E-3</v>
      </c>
      <c r="Y35" s="82">
        <v>4.3421642066545293E-2</v>
      </c>
      <c r="Z35" s="82">
        <v>-4.4202434336963456E-2</v>
      </c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</row>
    <row r="36" spans="3:59" ht="14.25" customHeight="1" x14ac:dyDescent="0.2">
      <c r="C36" s="85">
        <v>0.17339449567362911</v>
      </c>
      <c r="D36" s="82">
        <v>0.10892415927491669</v>
      </c>
      <c r="E36" s="82">
        <v>4.8271713914061661E-2</v>
      </c>
      <c r="F36" s="82">
        <v>3.8180967362228563E-2</v>
      </c>
      <c r="G36" s="82">
        <v>9.4898790182792694E-2</v>
      </c>
      <c r="H36" s="82">
        <v>8.209542474921909E-2</v>
      </c>
      <c r="I36" s="82">
        <v>8.873419149690423E-2</v>
      </c>
      <c r="J36" s="82">
        <v>-1.120656968274596E-2</v>
      </c>
      <c r="K36" s="82">
        <v>2.2497282650204904E-2</v>
      </c>
      <c r="L36" s="82">
        <v>-2.6705216708874633E-2</v>
      </c>
      <c r="M36" s="82">
        <v>8.8870354164679116E-2</v>
      </c>
      <c r="N36" s="82">
        <v>8.8448172407362621E-3</v>
      </c>
      <c r="O36" s="82">
        <v>0.11737101639414403</v>
      </c>
      <c r="P36" s="82">
        <v>6.5686235452761454E-3</v>
      </c>
      <c r="Q36" s="82">
        <v>7.1665807864374181E-2</v>
      </c>
      <c r="R36" s="82">
        <v>5.2605711593498729E-2</v>
      </c>
      <c r="S36" s="82">
        <v>0.13546403150079786</v>
      </c>
      <c r="T36" s="82">
        <v>1.6924905857352558E-2</v>
      </c>
      <c r="U36" s="82">
        <v>0.1147062755886325</v>
      </c>
      <c r="V36" s="81">
        <v>5.0092122532248429E-2</v>
      </c>
      <c r="W36" s="82">
        <v>-2.8037383177570086E-2</v>
      </c>
      <c r="X36" s="82">
        <v>1.5748031496063006E-2</v>
      </c>
      <c r="Y36" s="82">
        <v>-3.5866191625383209E-2</v>
      </c>
      <c r="Z36" s="82">
        <v>-0.12399463806970513</v>
      </c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</row>
    <row r="37" spans="3:59" ht="14.25" customHeight="1" x14ac:dyDescent="0.2">
      <c r="C37" s="85">
        <v>-5.0487082598698066E-2</v>
      </c>
      <c r="D37" s="82">
        <v>-3.9644023514955398E-2</v>
      </c>
      <c r="E37" s="82">
        <v>2.3721733624527501E-2</v>
      </c>
      <c r="F37" s="82">
        <v>6.5429885406955143E-2</v>
      </c>
      <c r="G37" s="82">
        <v>2.7296672634138923E-2</v>
      </c>
      <c r="H37" s="82">
        <v>0.10227075656124629</v>
      </c>
      <c r="I37" s="82">
        <v>9.4102792714829256E-2</v>
      </c>
      <c r="J37" s="82">
        <v>6.21472480158691E-2</v>
      </c>
      <c r="K37" s="82">
        <v>4.9292889045228078E-2</v>
      </c>
      <c r="L37" s="82">
        <v>0.12484263748546244</v>
      </c>
      <c r="M37" s="82">
        <v>-8.8994045041490541E-2</v>
      </c>
      <c r="N37" s="82">
        <v>7.6217765466704945E-2</v>
      </c>
      <c r="O37" s="82">
        <v>6.50557023213158E-2</v>
      </c>
      <c r="P37" s="82">
        <v>3.521856400026608E-2</v>
      </c>
      <c r="Q37" s="82">
        <v>-6.3633604966769645E-3</v>
      </c>
      <c r="R37" s="82">
        <v>-6.7705513330163719E-3</v>
      </c>
      <c r="S37" s="82">
        <v>6.4685563984329439E-2</v>
      </c>
      <c r="T37" s="82">
        <v>6.9601886438208138E-2</v>
      </c>
      <c r="U37" s="82">
        <v>-7.5016257518165548E-3</v>
      </c>
      <c r="V37" s="81">
        <v>1.7246423344683664E-2</v>
      </c>
      <c r="W37" s="82">
        <v>4.8076923076923121E-2</v>
      </c>
      <c r="X37" s="82">
        <v>-1.1627906976744281E-2</v>
      </c>
      <c r="Y37" s="82">
        <v>4.2099345676037042E-2</v>
      </c>
      <c r="Z37" s="82">
        <v>-6.1973986228003035E-2</v>
      </c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</row>
    <row r="38" spans="3:59" ht="14.25" customHeight="1" x14ac:dyDescent="0.2">
      <c r="C38" s="85">
        <v>3.0785347233410785E-2</v>
      </c>
      <c r="D38" s="82">
        <v>8.5931146081665074E-3</v>
      </c>
      <c r="E38" s="82">
        <v>4.4011340147560689E-2</v>
      </c>
      <c r="F38" s="82">
        <v>-2.8645109587012434E-2</v>
      </c>
      <c r="G38" s="82">
        <v>2.6220955872138803E-2</v>
      </c>
      <c r="H38" s="82">
        <v>4.7908490495002801E-2</v>
      </c>
      <c r="I38" s="82">
        <v>2.6445560550986538E-2</v>
      </c>
      <c r="J38" s="82">
        <v>-0.11871335620286456</v>
      </c>
      <c r="K38" s="82">
        <v>-4.0335502030472856E-2</v>
      </c>
      <c r="L38" s="82">
        <v>8.2281292866186961E-2</v>
      </c>
      <c r="M38" s="82">
        <v>9.1234970958792849E-2</v>
      </c>
      <c r="N38" s="82">
        <v>-5.2107040483602707E-2</v>
      </c>
      <c r="O38" s="82">
        <v>-3.6585661157982487E-2</v>
      </c>
      <c r="P38" s="82">
        <v>6.7240390540643583E-2</v>
      </c>
      <c r="Q38" s="82">
        <v>-2.6290897193537648E-2</v>
      </c>
      <c r="R38" s="82">
        <v>4.1594352939563983E-2</v>
      </c>
      <c r="S38" s="82">
        <v>1.3109532381322975E-2</v>
      </c>
      <c r="T38" s="82">
        <v>-9.9136092640097657E-3</v>
      </c>
      <c r="U38" s="82">
        <v>4.1514814592013671E-2</v>
      </c>
      <c r="V38" s="81">
        <v>4.3901943749892716E-2</v>
      </c>
      <c r="W38" s="82">
        <v>0</v>
      </c>
      <c r="X38" s="82">
        <v>9.8039215686275914E-3</v>
      </c>
      <c r="Y38" s="82">
        <v>-8.6858767199984213E-2</v>
      </c>
      <c r="Z38" s="82">
        <v>0.19738988580750408</v>
      </c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</row>
    <row r="39" spans="3:59" ht="14.25" customHeight="1" x14ac:dyDescent="0.2">
      <c r="C39" s="85">
        <v>-3.1288142344839252E-2</v>
      </c>
      <c r="D39" s="82">
        <v>4.4269939221526715E-2</v>
      </c>
      <c r="E39" s="82">
        <v>-2.9004581224280592E-2</v>
      </c>
      <c r="F39" s="82">
        <v>-3.0974839544917414E-2</v>
      </c>
      <c r="G39" s="82">
        <v>1.5544623721156885E-3</v>
      </c>
      <c r="H39" s="82">
        <v>1.4263692786790237E-2</v>
      </c>
      <c r="I39" s="82">
        <v>8.264523141630141E-2</v>
      </c>
      <c r="J39" s="82">
        <v>8.7137348805097145E-2</v>
      </c>
      <c r="K39" s="82">
        <v>-4.2356374614608595E-2</v>
      </c>
      <c r="L39" s="82">
        <v>0.23133982713454093</v>
      </c>
      <c r="M39" s="82">
        <v>0.15675104216169122</v>
      </c>
      <c r="N39" s="82">
        <v>0.10097633396312472</v>
      </c>
      <c r="O39" s="82">
        <v>2.6899451067179423E-2</v>
      </c>
      <c r="P39" s="82">
        <v>1.6688478598082913E-2</v>
      </c>
      <c r="Q39" s="82">
        <v>-2.323456630512967E-2</v>
      </c>
      <c r="R39" s="82">
        <v>4.159710779896774E-2</v>
      </c>
      <c r="S39" s="82">
        <v>3.1222373818874903E-2</v>
      </c>
      <c r="T39" s="82">
        <v>8.7494243966769053E-2</v>
      </c>
      <c r="U39" s="82">
        <v>-3.0703094150436094E-2</v>
      </c>
      <c r="V39" s="81">
        <v>0.11167722027295451</v>
      </c>
      <c r="W39" s="82">
        <v>0.22018348623853204</v>
      </c>
      <c r="X39" s="82">
        <v>3.1067961165048397E-2</v>
      </c>
      <c r="Y39" s="82">
        <v>6.983733368281464E-2</v>
      </c>
      <c r="Z39" s="82">
        <v>7.6975476839237056E-2</v>
      </c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</row>
    <row r="40" spans="3:59" ht="14.25" customHeight="1" x14ac:dyDescent="0.2">
      <c r="C40" s="85">
        <v>2.5270016324797615E-2</v>
      </c>
      <c r="D40" s="82">
        <v>-9.4384495615473015E-3</v>
      </c>
      <c r="E40" s="82">
        <v>-2.2740982851000499E-2</v>
      </c>
      <c r="F40" s="82">
        <v>3.2512337876569999E-2</v>
      </c>
      <c r="G40" s="82">
        <v>6.6995183711292552E-2</v>
      </c>
      <c r="H40" s="82">
        <v>1.905344112508742E-2</v>
      </c>
      <c r="I40" s="82">
        <v>3.7613613373376681E-2</v>
      </c>
      <c r="J40" s="82">
        <v>1.1034279861804561E-2</v>
      </c>
      <c r="K40" s="82">
        <v>7.4551053441728368E-2</v>
      </c>
      <c r="L40" s="82">
        <v>-2.4948366148948849E-2</v>
      </c>
      <c r="M40" s="82">
        <v>-2.8485984965761595E-2</v>
      </c>
      <c r="N40" s="82">
        <v>6.498223558911255E-2</v>
      </c>
      <c r="O40" s="82">
        <v>-2.7571758628869885E-2</v>
      </c>
      <c r="P40" s="82">
        <v>6.6949435699206805E-2</v>
      </c>
      <c r="Q40" s="82">
        <v>2.782039775461069E-2</v>
      </c>
      <c r="R40" s="82">
        <v>2.067822016228113E-3</v>
      </c>
      <c r="S40" s="82">
        <v>-3.8406401684706201E-2</v>
      </c>
      <c r="T40" s="82">
        <v>5.1716256543783284E-2</v>
      </c>
      <c r="U40" s="82">
        <v>-3.3973603806355022E-2</v>
      </c>
      <c r="V40" s="81">
        <v>2.8771453491194917E-2</v>
      </c>
      <c r="W40" s="82">
        <v>8.2706766917293256E-2</v>
      </c>
      <c r="X40" s="82">
        <v>-6.2146892655367082E-2</v>
      </c>
      <c r="Y40" s="82">
        <v>1.5231199983159794E-2</v>
      </c>
      <c r="Z40" s="82">
        <v>2.846299810246675E-2</v>
      </c>
    </row>
    <row r="41" spans="3:59" ht="14.25" customHeight="1" x14ac:dyDescent="0.2">
      <c r="C41" s="85">
        <v>4.5587260375315214E-2</v>
      </c>
      <c r="D41" s="82">
        <v>-6.2823028931629082E-2</v>
      </c>
      <c r="E41" s="82">
        <v>-1.4214166786096435E-2</v>
      </c>
      <c r="F41" s="82">
        <v>3.445716709075488E-2</v>
      </c>
      <c r="G41" s="82">
        <v>-3.5681635140612945E-3</v>
      </c>
      <c r="H41" s="82">
        <v>-6.9891839445711812E-2</v>
      </c>
      <c r="I41" s="82">
        <v>1.2686023069756637E-2</v>
      </c>
      <c r="J41" s="82">
        <v>7.0605380007582597E-2</v>
      </c>
      <c r="K41" s="82">
        <v>2.0513415045706945E-2</v>
      </c>
      <c r="L41" s="82">
        <v>0.14800742673556996</v>
      </c>
      <c r="M41" s="82">
        <v>0.12505517963361984</v>
      </c>
      <c r="N41" s="82">
        <v>4.092959036501239E-2</v>
      </c>
      <c r="O41" s="82">
        <v>7.3619563334266933E-2</v>
      </c>
      <c r="P41" s="82">
        <v>0</v>
      </c>
      <c r="Q41" s="82">
        <v>4.5465695536104508E-2</v>
      </c>
      <c r="R41" s="82">
        <v>6.5749382481220767E-2</v>
      </c>
      <c r="S41" s="82">
        <v>-4.3983382094660234E-3</v>
      </c>
      <c r="T41" s="82">
        <v>5.9562848320903562E-2</v>
      </c>
      <c r="U41" s="82">
        <v>-9.4738123544757975E-3</v>
      </c>
      <c r="V41" s="81">
        <v>0.17192537821980239</v>
      </c>
      <c r="W41" s="82">
        <v>0.11805555555555557</v>
      </c>
      <c r="X41" s="82">
        <v>2.0080321285140489E-2</v>
      </c>
      <c r="Y41" s="82">
        <v>-4.5827422482244987E-2</v>
      </c>
      <c r="Z41" s="82">
        <v>7.2570725707257144E-2</v>
      </c>
    </row>
    <row r="42" spans="3:59" ht="14.25" customHeight="1" x14ac:dyDescent="0.2">
      <c r="C42" s="85">
        <v>-9.3768724093731437E-2</v>
      </c>
      <c r="D42" s="82">
        <v>4.6183005661130073E-2</v>
      </c>
      <c r="E42" s="82">
        <v>-3.0404063922624805E-2</v>
      </c>
      <c r="F42" s="82">
        <v>-8.9576693655836842E-2</v>
      </c>
      <c r="G42" s="82">
        <v>-3.823770398103786E-2</v>
      </c>
      <c r="H42" s="82">
        <v>-1.0689025402519543E-2</v>
      </c>
      <c r="I42" s="82">
        <v>-6.5840749579515523E-2</v>
      </c>
      <c r="J42" s="82">
        <v>5.4042332938298673E-2</v>
      </c>
      <c r="K42" s="82">
        <v>-7.4281190757113452E-2</v>
      </c>
      <c r="L42" s="82">
        <v>-7.4395678377292787E-2</v>
      </c>
      <c r="M42" s="82">
        <v>-9.0017194550830404E-2</v>
      </c>
      <c r="N42" s="82">
        <v>-6.6640131045657053E-2</v>
      </c>
      <c r="O42" s="82">
        <v>4.5827125734822324E-2</v>
      </c>
      <c r="P42" s="82">
        <v>-5.1857955689360536E-3</v>
      </c>
      <c r="Q42" s="82">
        <v>-0.11364177202902355</v>
      </c>
      <c r="R42" s="82">
        <v>-4.0258384452610166E-2</v>
      </c>
      <c r="S42" s="82">
        <v>1.3499827628749776E-3</v>
      </c>
      <c r="T42" s="82">
        <v>-6.4331245959445019E-2</v>
      </c>
      <c r="U42" s="82">
        <v>3.4769172603017567E-2</v>
      </c>
      <c r="V42" s="81">
        <v>-0.10130684373126791</v>
      </c>
      <c r="W42" s="82">
        <v>0.29813664596273287</v>
      </c>
      <c r="X42" s="82">
        <v>-1.5748031496063006E-2</v>
      </c>
      <c r="Y42" s="82">
        <v>2.9901908549068726E-2</v>
      </c>
      <c r="Z42" s="82">
        <v>-0.19323394495412843</v>
      </c>
    </row>
    <row r="43" spans="3:59" ht="14.25" customHeight="1" x14ac:dyDescent="0.2">
      <c r="C43" s="85">
        <v>-1.3242241081071937E-2</v>
      </c>
      <c r="D43" s="82">
        <v>-1.0706586426068644E-2</v>
      </c>
      <c r="E43" s="82">
        <v>8.070985772074055E-3</v>
      </c>
      <c r="F43" s="82">
        <v>-4.311608593682114E-2</v>
      </c>
      <c r="G43" s="82">
        <v>8.1761271847940686E-2</v>
      </c>
      <c r="H43" s="82">
        <v>9.208198268804095E-2</v>
      </c>
      <c r="I43" s="82">
        <v>0.13809809869502418</v>
      </c>
      <c r="J43" s="82">
        <v>0.43652959857415585</v>
      </c>
      <c r="K43" s="82">
        <v>6.7459202537001689E-2</v>
      </c>
      <c r="L43" s="82">
        <v>0.23416674490513825</v>
      </c>
      <c r="M43" s="82">
        <v>0.1011913235461885</v>
      </c>
      <c r="N43" s="82">
        <v>5.8657151426220508E-2</v>
      </c>
      <c r="O43" s="82">
        <v>7.1862081308066192E-2</v>
      </c>
      <c r="P43" s="82">
        <v>-3.909643965064423E-2</v>
      </c>
      <c r="Q43" s="82">
        <v>2.4647126116891346E-2</v>
      </c>
      <c r="R43" s="82">
        <v>-6.1790246856441383E-2</v>
      </c>
      <c r="S43" s="82">
        <v>-9.9546339310349771E-2</v>
      </c>
      <c r="T43" s="82">
        <v>0.17629100937188888</v>
      </c>
      <c r="U43" s="82">
        <v>3.3099322185577311E-2</v>
      </c>
      <c r="V43" s="81">
        <v>5.7437472160452079E-2</v>
      </c>
      <c r="W43" s="82">
        <v>-3.8277511961722424E-2</v>
      </c>
      <c r="X43" s="82">
        <v>9.9999999999999638E-3</v>
      </c>
      <c r="Y43" s="82">
        <v>2.3977225249093015E-2</v>
      </c>
      <c r="Z43" s="82">
        <v>-0.23880597014925378</v>
      </c>
    </row>
    <row r="44" spans="3:59" ht="14.25" customHeight="1" x14ac:dyDescent="0.2">
      <c r="C44" s="85">
        <v>-3.3325749542573863E-2</v>
      </c>
      <c r="D44" s="82">
        <v>-9.6570619055467485E-3</v>
      </c>
      <c r="E44" s="82">
        <v>-9.3953102307297726E-3</v>
      </c>
      <c r="F44" s="82">
        <v>-1.4352964705882281E-2</v>
      </c>
      <c r="G44" s="82">
        <v>-1.1262864824117371E-2</v>
      </c>
      <c r="H44" s="82">
        <v>1.3880538218542751E-2</v>
      </c>
      <c r="I44" s="82">
        <v>-3.3428110942421291E-2</v>
      </c>
      <c r="J44" s="82">
        <v>2.7612187716705601E-2</v>
      </c>
      <c r="K44" s="82">
        <v>-3.3751210629111936E-3</v>
      </c>
      <c r="L44" s="82">
        <v>0.27805400902457689</v>
      </c>
      <c r="M44" s="82">
        <v>-0.12069869018814684</v>
      </c>
      <c r="N44" s="82">
        <v>0.10347126168827471</v>
      </c>
      <c r="O44" s="82">
        <v>3.7574273087820916E-2</v>
      </c>
      <c r="P44" s="82">
        <v>-0.10741410324749777</v>
      </c>
      <c r="Q44" s="82">
        <v>9.4360227767244734E-3</v>
      </c>
      <c r="R44" s="82">
        <v>6.2423116796014422E-2</v>
      </c>
      <c r="S44" s="82">
        <v>-2.0890595668210863E-2</v>
      </c>
      <c r="T44" s="82">
        <v>-3.1059226469304741E-3</v>
      </c>
      <c r="U44" s="82">
        <v>7.7869922790981738E-3</v>
      </c>
      <c r="V44" s="81">
        <v>-5.3285823504435909E-3</v>
      </c>
      <c r="W44" s="82">
        <v>-0.17910447761194026</v>
      </c>
      <c r="X44" s="82">
        <v>-1.9801980198019733E-2</v>
      </c>
      <c r="Y44" s="82">
        <v>3.0093172141042193E-2</v>
      </c>
      <c r="Z44" s="82">
        <v>-0.1447245564892623</v>
      </c>
    </row>
    <row r="45" spans="3:59" ht="14.25" customHeight="1" x14ac:dyDescent="0.2">
      <c r="C45" s="85">
        <v>0.11139770069052091</v>
      </c>
      <c r="D45" s="82">
        <v>-6.1701314814329493E-2</v>
      </c>
      <c r="E45" s="82">
        <v>0.13756346276764608</v>
      </c>
      <c r="F45" s="82">
        <v>0.14633566832980827</v>
      </c>
      <c r="G45" s="82">
        <v>8.7182701465106399E-2</v>
      </c>
      <c r="H45" s="82">
        <v>6.3416450704124397E-2</v>
      </c>
      <c r="I45" s="82">
        <v>1.4488915772812312E-3</v>
      </c>
      <c r="J45" s="82">
        <v>-7.6854519053299222E-2</v>
      </c>
      <c r="K45" s="82">
        <v>5.9240447650461873E-2</v>
      </c>
      <c r="L45" s="82">
        <v>-9.9920530798744744E-2</v>
      </c>
      <c r="M45" s="82">
        <v>-1.1709139081643708E-2</v>
      </c>
      <c r="N45" s="82">
        <v>7.5796573252770588E-2</v>
      </c>
      <c r="O45" s="82">
        <v>6.1298998678814165E-2</v>
      </c>
      <c r="P45" s="82">
        <v>0.13816857602263913</v>
      </c>
      <c r="Q45" s="82">
        <v>-7.6691333491355276E-3</v>
      </c>
      <c r="R45" s="82">
        <v>5.3387365591626899E-2</v>
      </c>
      <c r="S45" s="82">
        <v>0.15664889407953611</v>
      </c>
      <c r="T45" s="82">
        <v>1.9193874942203353E-2</v>
      </c>
      <c r="U45" s="82">
        <v>9.0820601932920561E-2</v>
      </c>
      <c r="V45" s="81">
        <v>-7.8708132715604659E-3</v>
      </c>
      <c r="W45" s="82">
        <v>-0.21212121212121218</v>
      </c>
      <c r="X45" s="82">
        <v>2.0202020202020131E-2</v>
      </c>
      <c r="Y45" s="82">
        <v>2.4935923009595604E-2</v>
      </c>
      <c r="Z45" s="82">
        <v>-8.0786026200873426E-2</v>
      </c>
    </row>
    <row r="46" spans="3:59" ht="14.25" customHeight="1" x14ac:dyDescent="0.2">
      <c r="C46" s="85">
        <v>9.4260357056850805E-2</v>
      </c>
      <c r="D46" s="82">
        <v>4.3002052921169596E-3</v>
      </c>
      <c r="E46" s="82">
        <v>-3.3864695802543816E-2</v>
      </c>
      <c r="F46" s="82">
        <v>-9.7042877967513666E-2</v>
      </c>
      <c r="G46" s="82">
        <v>5.6561791766362533E-3</v>
      </c>
      <c r="H46" s="82">
        <v>-6.0522514641258825E-3</v>
      </c>
      <c r="I46" s="82">
        <v>-0.12181883623717635</v>
      </c>
      <c r="J46" s="82">
        <v>-0.11360931943424415</v>
      </c>
      <c r="K46" s="82">
        <v>-0.19064165149289128</v>
      </c>
      <c r="L46" s="82">
        <v>-0.16735234673584301</v>
      </c>
      <c r="M46" s="82">
        <v>-9.6691761228718476E-2</v>
      </c>
      <c r="N46" s="82">
        <v>-1.5712280103131738E-2</v>
      </c>
      <c r="O46" s="82">
        <v>-8.5037684267435229E-2</v>
      </c>
      <c r="P46" s="82">
        <v>-2.1359680785190452E-3</v>
      </c>
      <c r="Q46" s="82">
        <v>0.10107219718708881</v>
      </c>
      <c r="R46" s="82">
        <v>-4.4517031214129324E-2</v>
      </c>
      <c r="S46" s="82">
        <v>-6.7323868837691281E-4</v>
      </c>
      <c r="T46" s="82">
        <v>-7.5344934108364348E-2</v>
      </c>
      <c r="U46" s="82">
        <v>1.929365667908672E-2</v>
      </c>
      <c r="V46" s="81">
        <v>-3.6309209959804724E-2</v>
      </c>
      <c r="W46" s="82">
        <v>0.38461538461538458</v>
      </c>
      <c r="X46" s="82">
        <v>0</v>
      </c>
      <c r="Y46" s="82">
        <v>-3.5397445097788284E-2</v>
      </c>
      <c r="Z46" s="82">
        <v>3.8004750593824264E-2</v>
      </c>
    </row>
    <row r="47" spans="3:59" ht="14.25" customHeight="1" x14ac:dyDescent="0.2">
      <c r="C47" s="85">
        <v>8.0582706415335392E-3</v>
      </c>
      <c r="D47" s="82">
        <v>1.980373291265955E-2</v>
      </c>
      <c r="E47" s="82">
        <v>-6.1637227804813642E-2</v>
      </c>
      <c r="F47" s="82">
        <v>-2.6752766910683342E-2</v>
      </c>
      <c r="G47" s="82">
        <v>-5.6362500323194342E-2</v>
      </c>
      <c r="H47" s="82">
        <v>-8.676989399667985E-2</v>
      </c>
      <c r="I47" s="82">
        <v>-6.113711886963203E-2</v>
      </c>
      <c r="J47" s="82">
        <v>-7.0768158172180184E-2</v>
      </c>
      <c r="K47" s="82">
        <v>-6.9622623651013141E-2</v>
      </c>
      <c r="L47" s="82">
        <v>-4.1249298322377009E-3</v>
      </c>
      <c r="M47" s="82">
        <v>-9.1226845606090887E-2</v>
      </c>
      <c r="N47" s="82">
        <v>-5.5269329846249583E-2</v>
      </c>
      <c r="O47" s="82">
        <v>-6.6511126031634352E-2</v>
      </c>
      <c r="P47" s="82">
        <v>2.4794826206310579E-2</v>
      </c>
      <c r="Q47" s="82">
        <v>-4.3517562299806953E-2</v>
      </c>
      <c r="R47" s="82">
        <v>-0.1205591400060116</v>
      </c>
      <c r="S47" s="82">
        <v>-8.2803124441787543E-2</v>
      </c>
      <c r="T47" s="82">
        <v>-3.9198575960970213E-2</v>
      </c>
      <c r="U47" s="82">
        <v>-1.083473457292748E-2</v>
      </c>
      <c r="V47" s="81">
        <v>1.6053430990580608E-2</v>
      </c>
      <c r="W47" s="82">
        <v>-6.6666666666666652E-2</v>
      </c>
      <c r="X47" s="82">
        <v>-4.5544554455445453E-2</v>
      </c>
      <c r="Y47" s="82">
        <v>-9.5551645081094663E-2</v>
      </c>
      <c r="Z47" s="82">
        <v>-0.21510297482837523</v>
      </c>
    </row>
    <row r="48" spans="3:59" ht="14.25" customHeight="1" x14ac:dyDescent="0.2">
      <c r="C48" s="85">
        <v>1.871709836733388E-2</v>
      </c>
      <c r="D48" s="82">
        <v>1.0321930499547332E-2</v>
      </c>
      <c r="E48" s="82">
        <v>-1.4554960658339198E-2</v>
      </c>
      <c r="F48" s="82">
        <v>-5.331753428157502E-2</v>
      </c>
      <c r="G48" s="82">
        <v>2.2230406049010967E-2</v>
      </c>
      <c r="H48" s="82">
        <v>-1.5911544797201266E-2</v>
      </c>
      <c r="I48" s="82">
        <v>5.0064699626703089E-2</v>
      </c>
      <c r="J48" s="82">
        <v>0.23800880889422166</v>
      </c>
      <c r="K48" s="82">
        <v>1.7021038602124665E-3</v>
      </c>
      <c r="L48" s="82">
        <v>0.11896634246253153</v>
      </c>
      <c r="M48" s="82">
        <v>4.8910028605515472E-2</v>
      </c>
      <c r="N48" s="82">
        <v>5.8820575457037963E-2</v>
      </c>
      <c r="O48" s="82">
        <v>0.15006954318852717</v>
      </c>
      <c r="P48" s="82">
        <v>-3.9512602553646428E-2</v>
      </c>
      <c r="Q48" s="82">
        <v>0.15399151006069001</v>
      </c>
      <c r="R48" s="82">
        <v>-1.5728604070708731E-2</v>
      </c>
      <c r="S48" s="82">
        <v>7.4085050518417364E-2</v>
      </c>
      <c r="T48" s="82">
        <v>3.3995512100242854E-2</v>
      </c>
      <c r="U48" s="82">
        <v>4.3009391149633714E-3</v>
      </c>
      <c r="V48" s="81">
        <v>0.12947150517833061</v>
      </c>
      <c r="W48" s="82">
        <v>0.30952380952380953</v>
      </c>
      <c r="X48" s="82">
        <v>-1.0373443983402637E-2</v>
      </c>
      <c r="Y48" s="82">
        <v>-0.22915250848927504</v>
      </c>
      <c r="Z48" s="82">
        <v>2.9154518950437181E-2</v>
      </c>
    </row>
    <row r="49" spans="3:26" ht="14.25" customHeight="1" x14ac:dyDescent="0.2">
      <c r="C49" s="85">
        <v>8.1835413059117193E-2</v>
      </c>
      <c r="D49" s="82">
        <v>-2.9437242363919914E-2</v>
      </c>
      <c r="E49" s="82">
        <v>1.6088698059801846E-2</v>
      </c>
      <c r="F49" s="82">
        <v>7.2340398689852425E-2</v>
      </c>
      <c r="G49" s="82">
        <v>3.2616626305759143E-2</v>
      </c>
      <c r="H49" s="82">
        <v>-4.6042521912892348E-2</v>
      </c>
      <c r="I49" s="82">
        <v>-6.2031463096173571E-2</v>
      </c>
      <c r="J49" s="82">
        <v>-0.19194511051408317</v>
      </c>
      <c r="K49" s="82">
        <v>-3.7803580056459736E-2</v>
      </c>
      <c r="L49" s="82">
        <v>-0.32015813901332035</v>
      </c>
      <c r="M49" s="82">
        <v>-8.9501499447095886E-2</v>
      </c>
      <c r="N49" s="82">
        <v>-9.7130820129453579E-2</v>
      </c>
      <c r="O49" s="82">
        <v>-0.13677830528429738</v>
      </c>
      <c r="P49" s="82">
        <v>-4.3675257358021045E-2</v>
      </c>
      <c r="Q49" s="82">
        <v>-8.8931480612310487E-2</v>
      </c>
      <c r="R49" s="82">
        <v>1.0872897923930936E-2</v>
      </c>
      <c r="S49" s="82">
        <v>1.6843735217266557E-2</v>
      </c>
      <c r="T49" s="82">
        <v>-9.9867177582122421E-2</v>
      </c>
      <c r="U49" s="82">
        <v>4.4447653799480832E-2</v>
      </c>
      <c r="V49" s="81">
        <v>-5.6284182808096932E-2</v>
      </c>
      <c r="W49" s="82">
        <v>0.27727272727272734</v>
      </c>
      <c r="X49" s="82">
        <v>-2.0964360587001651E-3</v>
      </c>
      <c r="Y49" s="82">
        <v>0.13438750698260579</v>
      </c>
      <c r="Z49" s="82">
        <v>-0.24504249291784694</v>
      </c>
    </row>
    <row r="50" spans="3:26" ht="14.25" customHeight="1" x14ac:dyDescent="0.2">
      <c r="C50" s="85">
        <v>-2.6633132541897721E-2</v>
      </c>
      <c r="D50" s="82">
        <v>-1.6057071435561517E-2</v>
      </c>
      <c r="E50" s="82">
        <v>2.8840869357814509E-2</v>
      </c>
      <c r="F50" s="82">
        <v>4.0149416433239875E-2</v>
      </c>
      <c r="G50" s="82">
        <v>-2.3062192084911257E-2</v>
      </c>
      <c r="H50" s="82">
        <v>-2.4908990631610568E-2</v>
      </c>
      <c r="I50" s="82">
        <v>-4.7111926710118469E-2</v>
      </c>
      <c r="J50" s="82">
        <v>-0.12919748592303823</v>
      </c>
      <c r="K50" s="82">
        <v>-3.206548299617798E-2</v>
      </c>
      <c r="L50" s="82">
        <v>6.739694435036663E-3</v>
      </c>
      <c r="M50" s="82">
        <v>-6.2596232665746432E-2</v>
      </c>
      <c r="N50" s="82">
        <v>-5.5883280614784522E-2</v>
      </c>
      <c r="O50" s="82">
        <v>-6.9943175819313488E-2</v>
      </c>
      <c r="P50" s="82">
        <v>4.5476984335392538E-2</v>
      </c>
      <c r="Q50" s="82">
        <v>-5.2363999436093649E-2</v>
      </c>
      <c r="R50" s="82">
        <v>9.2854717191874395E-2</v>
      </c>
      <c r="S50" s="82">
        <v>5.0147372902880211E-2</v>
      </c>
      <c r="T50" s="82">
        <v>-2.0358769912933207E-2</v>
      </c>
      <c r="U50" s="82">
        <v>-5.1656537811211756E-3</v>
      </c>
      <c r="V50" s="81">
        <v>8.541829327619703E-3</v>
      </c>
      <c r="W50" s="82">
        <v>0.17081850533807824</v>
      </c>
      <c r="X50" s="82">
        <v>-1.8907563025210055E-2</v>
      </c>
      <c r="Y50" s="82">
        <v>4.4041185754363533E-2</v>
      </c>
      <c r="Z50" s="82">
        <v>0.2345215759849906</v>
      </c>
    </row>
    <row r="51" spans="3:26" ht="14.25" customHeight="1" x14ac:dyDescent="0.2">
      <c r="C51" s="85">
        <v>-0.22776853733586028</v>
      </c>
      <c r="D51" s="82">
        <v>2.6232096901576692E-2</v>
      </c>
      <c r="E51" s="82">
        <v>1.687606908285234E-2</v>
      </c>
      <c r="F51" s="82">
        <v>4.0170488326515062E-2</v>
      </c>
      <c r="G51" s="82">
        <v>-6.4978374830437381E-3</v>
      </c>
      <c r="H51" s="82">
        <v>-2.5954414279713477E-2</v>
      </c>
      <c r="I51" s="82">
        <v>-9.5897526872284838E-2</v>
      </c>
      <c r="J51" s="82">
        <v>-0.11188773832396563</v>
      </c>
      <c r="K51" s="82">
        <v>-6.1924207014019433E-2</v>
      </c>
      <c r="L51" s="82">
        <v>-0.18814292884371547</v>
      </c>
      <c r="M51" s="82">
        <v>-0.13995003826817265</v>
      </c>
      <c r="N51" s="82">
        <v>-8.0079987958807788E-2</v>
      </c>
      <c r="O51" s="82">
        <v>4.0050266993033004E-2</v>
      </c>
      <c r="P51" s="82">
        <v>-0.1501195354247101</v>
      </c>
      <c r="Q51" s="82">
        <v>-0.16297727915892893</v>
      </c>
      <c r="R51" s="82">
        <v>-4.6877389118244274E-2</v>
      </c>
      <c r="S51" s="82">
        <v>2.9261784696292627E-2</v>
      </c>
      <c r="T51" s="82">
        <v>-5.3120433069765174E-2</v>
      </c>
      <c r="U51" s="82">
        <v>8.0171837909607815E-2</v>
      </c>
      <c r="V51" s="81">
        <v>-0.11073500332062172</v>
      </c>
      <c r="W51" s="82">
        <v>-0.28875379939209722</v>
      </c>
      <c r="X51" s="82">
        <v>-3.6402569593147735E-2</v>
      </c>
      <c r="Y51" s="82">
        <v>3.2506621789789213E-2</v>
      </c>
      <c r="Z51" s="82">
        <v>-7.5987841945288816E-3</v>
      </c>
    </row>
    <row r="52" spans="3:26" ht="14.25" customHeight="1" x14ac:dyDescent="0.2">
      <c r="C52" s="85">
        <v>7.0464748526214649E-2</v>
      </c>
      <c r="D52" s="82">
        <v>-1.2640189449868026E-2</v>
      </c>
      <c r="E52" s="82">
        <v>-1.7469423640757108E-2</v>
      </c>
      <c r="F52" s="82">
        <v>7.4649474634281551E-2</v>
      </c>
      <c r="G52" s="82">
        <v>5.7103882804489782E-2</v>
      </c>
      <c r="H52" s="82">
        <v>0.16039191514380854</v>
      </c>
      <c r="I52" s="82">
        <v>0.14075079183266898</v>
      </c>
      <c r="J52" s="82">
        <v>0.32376526265962424</v>
      </c>
      <c r="K52" s="82">
        <v>7.7981550535339089E-2</v>
      </c>
      <c r="L52" s="82">
        <v>0.19841960675705497</v>
      </c>
      <c r="M52" s="82">
        <v>0.16702669463457129</v>
      </c>
      <c r="N52" s="82">
        <v>0.1886335630742795</v>
      </c>
      <c r="O52" s="82">
        <v>-1.2226052660117392E-2</v>
      </c>
      <c r="P52" s="82">
        <v>0.13445107959969133</v>
      </c>
      <c r="Q52" s="82">
        <v>0.15016182238886711</v>
      </c>
      <c r="R52" s="82">
        <v>-2.1248754398717516E-2</v>
      </c>
      <c r="S52" s="82">
        <v>-7.3659753650748214E-2</v>
      </c>
      <c r="T52" s="82">
        <v>9.3096658466285787E-2</v>
      </c>
      <c r="U52" s="82">
        <v>-8.7476211528627404E-3</v>
      </c>
      <c r="V52" s="81">
        <v>-1.5969419451140759E-2</v>
      </c>
      <c r="W52" s="82">
        <v>0.42735042735042728</v>
      </c>
      <c r="X52" s="82">
        <v>2.6666666666666689E-2</v>
      </c>
      <c r="Y52" s="82">
        <v>4.6435813378313949E-2</v>
      </c>
      <c r="Z52" s="82">
        <v>-1.0719754977029105E-2</v>
      </c>
    </row>
    <row r="53" spans="3:26" ht="14.25" customHeight="1" x14ac:dyDescent="0.2">
      <c r="C53" s="85">
        <v>2.8727654330762981E-2</v>
      </c>
      <c r="D53" s="82">
        <v>-4.5077523035043983E-2</v>
      </c>
      <c r="E53" s="82">
        <v>-6.7303620247339418E-4</v>
      </c>
      <c r="F53" s="82">
        <v>-0.10831158184477858</v>
      </c>
      <c r="G53" s="82">
        <v>-1.5374948115899253E-2</v>
      </c>
      <c r="H53" s="82">
        <v>-4.0740772387207122E-2</v>
      </c>
      <c r="I53" s="82">
        <v>-8.2933196445837506E-2</v>
      </c>
      <c r="J53" s="82">
        <v>-7.2488673851361402E-2</v>
      </c>
      <c r="K53" s="82">
        <v>-8.112747071262175E-3</v>
      </c>
      <c r="L53" s="82">
        <v>-0.16896995510573337</v>
      </c>
      <c r="M53" s="82">
        <v>-9.2535524740723088E-2</v>
      </c>
      <c r="N53" s="82">
        <v>-3.2551669812802948E-2</v>
      </c>
      <c r="O53" s="82">
        <v>-3.3058251786216096E-2</v>
      </c>
      <c r="P53" s="82">
        <v>-6.6647568831865595E-2</v>
      </c>
      <c r="Q53" s="82">
        <v>6.4310462738191285E-2</v>
      </c>
      <c r="R53" s="82">
        <v>6.2259522881170398E-2</v>
      </c>
      <c r="S53" s="82">
        <v>-1.7891157242532651E-2</v>
      </c>
      <c r="T53" s="82">
        <v>-6.8640040494071505E-2</v>
      </c>
      <c r="U53" s="82">
        <v>3.4202528818966023E-2</v>
      </c>
      <c r="V53" s="81">
        <v>-1.0830579824889254E-3</v>
      </c>
      <c r="W53" s="82">
        <v>0.10778443113772453</v>
      </c>
      <c r="X53" s="82">
        <v>4.3290043290042362E-3</v>
      </c>
      <c r="Y53" s="82">
        <v>3.8758625126928813E-2</v>
      </c>
      <c r="Z53" s="82">
        <v>3.4055727554179599E-2</v>
      </c>
    </row>
    <row r="54" spans="3:26" ht="14.25" customHeight="1" x14ac:dyDescent="0.2">
      <c r="C54" s="85">
        <v>-0.10505312483859404</v>
      </c>
      <c r="D54" s="82">
        <v>1.6296039945533334E-2</v>
      </c>
      <c r="E54" s="82">
        <v>-0.10177705501730452</v>
      </c>
      <c r="F54" s="82">
        <v>-2.1051468624305555E-2</v>
      </c>
      <c r="G54" s="82">
        <v>-5.230172634120682E-2</v>
      </c>
      <c r="H54" s="82">
        <v>-5.7297195970633617E-2</v>
      </c>
      <c r="I54" s="82">
        <v>-0.14367918366871862</v>
      </c>
      <c r="J54" s="82">
        <v>-3.7589294887120997E-2</v>
      </c>
      <c r="K54" s="82">
        <v>-0.11847648406491609</v>
      </c>
      <c r="L54" s="82">
        <v>-0.19577306940684733</v>
      </c>
      <c r="M54" s="82">
        <v>-0.16172457553853065</v>
      </c>
      <c r="N54" s="82">
        <v>-0.11975618806564374</v>
      </c>
      <c r="O54" s="82">
        <v>8.4638488306312456E-3</v>
      </c>
      <c r="P54" s="82">
        <v>-9.1939917650336891E-2</v>
      </c>
      <c r="Q54" s="82">
        <v>-8.5859117142668223E-2</v>
      </c>
      <c r="R54" s="82">
        <v>-2.8044878128477217E-2</v>
      </c>
      <c r="S54" s="82">
        <v>-6.3394900951782948E-2</v>
      </c>
      <c r="T54" s="82">
        <v>-0.1073761671893509</v>
      </c>
      <c r="U54" s="82">
        <v>-2.4739654726849071E-3</v>
      </c>
      <c r="V54" s="81">
        <v>0.18554021507431334</v>
      </c>
      <c r="W54" s="82">
        <v>-0.21351351351351344</v>
      </c>
      <c r="X54" s="82">
        <v>-8.1896551724137914E-2</v>
      </c>
      <c r="Y54" s="82">
        <v>-5.0561085281500176E-2</v>
      </c>
      <c r="Z54" s="82">
        <v>0.74101796407185627</v>
      </c>
    </row>
    <row r="55" spans="3:26" ht="14.25" customHeight="1" x14ac:dyDescent="0.2">
      <c r="C55" s="85">
        <v>0.17149168443482707</v>
      </c>
      <c r="D55" s="82">
        <v>5.4306552273162764E-3</v>
      </c>
      <c r="E55" s="82">
        <v>5.1102962473982966E-2</v>
      </c>
      <c r="F55" s="82">
        <v>7.7736913523459072E-2</v>
      </c>
      <c r="G55" s="82">
        <v>0.11968827020015191</v>
      </c>
      <c r="H55" s="82">
        <v>4.6854424002032276E-2</v>
      </c>
      <c r="I55" s="82">
        <v>8.9506623371349334E-2</v>
      </c>
      <c r="J55" s="82">
        <v>-0.14216779264844481</v>
      </c>
      <c r="K55" s="82">
        <v>9.11216489897472E-2</v>
      </c>
      <c r="L55" s="82">
        <v>0.11220126557808434</v>
      </c>
      <c r="M55" s="82">
        <v>8.2314573578949016E-2</v>
      </c>
      <c r="N55" s="82">
        <v>0.10955143533756731</v>
      </c>
      <c r="O55" s="82">
        <v>0.18232206054943137</v>
      </c>
      <c r="P55" s="82">
        <v>0.23275956870428113</v>
      </c>
      <c r="Q55" s="82">
        <v>0.18936559754440513</v>
      </c>
      <c r="R55" s="82">
        <v>0.28626681093361628</v>
      </c>
      <c r="S55" s="82">
        <v>0.16395932113540462</v>
      </c>
      <c r="T55" s="82">
        <v>-3.3060823302628693E-3</v>
      </c>
      <c r="U55" s="82">
        <v>6.4873961300893804E-2</v>
      </c>
      <c r="V55" s="81">
        <v>8.6924971960783373E-2</v>
      </c>
      <c r="W55" s="82">
        <v>-0.14089347079037798</v>
      </c>
      <c r="X55" s="82">
        <v>-3.9906103286384963E-2</v>
      </c>
      <c r="Y55" s="82">
        <v>2.976048300646035E-2</v>
      </c>
      <c r="Z55" s="82">
        <v>0.29406706792777287</v>
      </c>
    </row>
    <row r="56" spans="3:26" ht="14.25" customHeight="1" x14ac:dyDescent="0.2">
      <c r="C56" s="85">
        <v>6.6996759296198112E-3</v>
      </c>
      <c r="D56" s="82">
        <v>11.749656653932886</v>
      </c>
      <c r="E56" s="82">
        <v>5.6214656955084409E-2</v>
      </c>
      <c r="F56" s="82">
        <v>9.7524517765161869E-2</v>
      </c>
      <c r="G56" s="82">
        <v>2.1643326277757904E-2</v>
      </c>
      <c r="H56" s="82">
        <v>0.15383408283267166</v>
      </c>
      <c r="I56" s="82">
        <v>0.12609969521715508</v>
      </c>
      <c r="J56" s="82">
        <v>-0.14432625916447142</v>
      </c>
      <c r="K56" s="82">
        <v>-4.6094022023635016E-2</v>
      </c>
      <c r="L56" s="82">
        <v>0.25383408219073123</v>
      </c>
      <c r="M56" s="82">
        <v>0.140562235393039</v>
      </c>
      <c r="N56" s="82">
        <v>-3.4628840580398501E-2</v>
      </c>
      <c r="O56" s="82">
        <v>2.9758344184919988E-2</v>
      </c>
      <c r="P56" s="82">
        <v>-3.4678392782297928E-3</v>
      </c>
      <c r="Q56" s="82">
        <v>0.11414282554013794</v>
      </c>
      <c r="R56" s="82">
        <v>0.11942389237604777</v>
      </c>
      <c r="S56" s="82">
        <v>7.6722695864256465E-2</v>
      </c>
      <c r="T56" s="82">
        <v>9.9125527507874955E-2</v>
      </c>
      <c r="U56" s="82">
        <v>5.2917926908734599E-2</v>
      </c>
      <c r="V56" s="81">
        <v>3.9399158597662976E-3</v>
      </c>
      <c r="W56" s="82">
        <v>3.1999999999999945E-2</v>
      </c>
      <c r="X56" s="82">
        <v>0.10024449877750614</v>
      </c>
      <c r="Y56" s="82">
        <v>0.18217171636967797</v>
      </c>
      <c r="Z56" s="82">
        <v>0.27508305647840542</v>
      </c>
    </row>
    <row r="57" spans="3:26" ht="14.25" customHeight="1" x14ac:dyDescent="0.2">
      <c r="C57" s="85">
        <v>-1.8677616990037539E-2</v>
      </c>
      <c r="D57" s="82">
        <v>3.3206708905019977E-2</v>
      </c>
      <c r="E57" s="82">
        <v>1.6907617647741142E-2</v>
      </c>
      <c r="F57" s="82">
        <v>-1.2930215827338064E-2</v>
      </c>
      <c r="G57" s="82">
        <v>-2.6144087277195926E-2</v>
      </c>
      <c r="H57" s="82">
        <v>-7.7851524857713031E-2</v>
      </c>
      <c r="I57" s="82">
        <v>-6.3634609512000617E-2</v>
      </c>
      <c r="J57" s="82">
        <v>-0.36733435080638438</v>
      </c>
      <c r="K57" s="82">
        <v>-2.8498975143699083E-2</v>
      </c>
      <c r="L57" s="82">
        <v>-0.13622056516842021</v>
      </c>
      <c r="M57" s="82">
        <v>-8.2757623030152008E-2</v>
      </c>
      <c r="N57" s="82">
        <v>-0.12081657977115917</v>
      </c>
      <c r="O57" s="82">
        <v>-1.6466315801445127E-3</v>
      </c>
      <c r="P57" s="82">
        <v>1.6666684623226697E-2</v>
      </c>
      <c r="Q57" s="82">
        <v>-2.775510446443066E-2</v>
      </c>
      <c r="R57" s="82">
        <v>-2.2543564890747117E-2</v>
      </c>
      <c r="S57" s="82">
        <v>-4.2513018097798748E-2</v>
      </c>
      <c r="T57" s="82">
        <v>-5.7396461786729254E-2</v>
      </c>
      <c r="U57" s="82">
        <v>-1.6998820927336959E-2</v>
      </c>
      <c r="V57" s="81">
        <v>-4.018893377375652E-2</v>
      </c>
      <c r="W57" s="82">
        <v>-0.36434108527131776</v>
      </c>
      <c r="X57" s="82">
        <v>-5.1111111111111204E-2</v>
      </c>
      <c r="Y57" s="82">
        <v>7.9398696960468779E-2</v>
      </c>
      <c r="Z57" s="82">
        <v>-7.5560187597707149E-2</v>
      </c>
    </row>
    <row r="58" spans="3:26" ht="14.25" customHeight="1" x14ac:dyDescent="0.2">
      <c r="C58" s="85">
        <v>5.6989430469410159E-3</v>
      </c>
      <c r="D58" s="82">
        <v>-2.3170334485615753E-2</v>
      </c>
      <c r="E58" s="82">
        <v>-5.4067874653186743E-2</v>
      </c>
      <c r="F58" s="82">
        <v>2.5115769233049597E-2</v>
      </c>
      <c r="G58" s="82">
        <v>-4.7455041404062641E-2</v>
      </c>
      <c r="H58" s="82">
        <v>0.18467740910762978</v>
      </c>
      <c r="I58" s="82">
        <v>0.15838772951975419</v>
      </c>
      <c r="J58" s="82">
        <v>0.40623478649131339</v>
      </c>
      <c r="K58" s="82">
        <v>6.7613212347879412E-2</v>
      </c>
      <c r="L58" s="82">
        <v>0.33686876791847714</v>
      </c>
      <c r="M58" s="82">
        <v>0.19363399083520885</v>
      </c>
      <c r="N58" s="82">
        <v>0.11052107264661343</v>
      </c>
      <c r="O58" s="82">
        <v>1.3423982725981498E-2</v>
      </c>
      <c r="P58" s="82">
        <v>3.440820853321308E-2</v>
      </c>
      <c r="Q58" s="82">
        <v>-1.1048430547933854E-2</v>
      </c>
      <c r="R58" s="82">
        <v>-1.4138966938581772E-2</v>
      </c>
      <c r="S58" s="82">
        <v>-4.3722016947504681E-2</v>
      </c>
      <c r="T58" s="82">
        <v>3.3316532372966112E-2</v>
      </c>
      <c r="U58" s="82">
        <v>-6.5474014586788129E-2</v>
      </c>
      <c r="V58" s="81">
        <v>5.1255016025932597E-2</v>
      </c>
      <c r="W58" s="82">
        <v>-0.34146341463414637</v>
      </c>
      <c r="X58" s="82">
        <v>7.2599531615925181E-2</v>
      </c>
      <c r="Y58" s="82">
        <v>6.4651164593815716E-2</v>
      </c>
      <c r="Z58" s="82">
        <v>-4.8478015783540065E-2</v>
      </c>
    </row>
    <row r="59" spans="3:26" ht="14.25" customHeight="1" x14ac:dyDescent="0.2">
      <c r="C59" s="85">
        <v>3.0861413129533548E-2</v>
      </c>
      <c r="D59" s="82">
        <v>-9.6397677303029245E-3</v>
      </c>
      <c r="E59" s="82">
        <v>-1.0317720090293558E-2</v>
      </c>
      <c r="F59" s="82">
        <v>-2.2290545305715823E-2</v>
      </c>
      <c r="G59" s="82">
        <v>1.4676718795259903E-2</v>
      </c>
      <c r="H59" s="82">
        <v>-1.374997226129511E-2</v>
      </c>
      <c r="I59" s="82">
        <v>-0.10100698105947947</v>
      </c>
      <c r="J59" s="82">
        <v>0.18756497986626841</v>
      </c>
      <c r="K59" s="82">
        <v>2.9322344923403684E-2</v>
      </c>
      <c r="L59" s="82">
        <v>0.18830944036084035</v>
      </c>
      <c r="M59" s="82">
        <v>-7.2727311582972437E-2</v>
      </c>
      <c r="N59" s="82">
        <v>2.1623154414093394E-2</v>
      </c>
      <c r="O59" s="82">
        <v>2.3115014155060874E-2</v>
      </c>
      <c r="P59" s="82">
        <v>7.9937299299455589E-2</v>
      </c>
      <c r="Q59" s="82">
        <v>-8.5139793859968747E-3</v>
      </c>
      <c r="R59" s="82">
        <v>-4.062428287875413E-2</v>
      </c>
      <c r="S59" s="82">
        <v>-4.030285188734483E-2</v>
      </c>
      <c r="T59" s="82">
        <v>6.496922350623005E-3</v>
      </c>
      <c r="U59" s="82">
        <v>2.1090324229409003E-2</v>
      </c>
      <c r="V59" s="81">
        <v>2.5709811522650447E-3</v>
      </c>
      <c r="W59" s="82">
        <v>-7.4074074074074098E-2</v>
      </c>
      <c r="X59" s="82">
        <v>-5.2401746724890876E-2</v>
      </c>
      <c r="Y59" s="82">
        <v>7.7072740639610657E-2</v>
      </c>
      <c r="Z59" s="82">
        <v>-1.1848341232227499E-2</v>
      </c>
    </row>
    <row r="60" spans="3:26" ht="14.25" customHeight="1" x14ac:dyDescent="0.2">
      <c r="C60" s="85">
        <v>-3.8983431981138281E-2</v>
      </c>
      <c r="D60" s="82">
        <v>8.5615514466591811E-2</v>
      </c>
      <c r="E60" s="82">
        <v>2.5238657898985044E-2</v>
      </c>
      <c r="F60" s="82">
        <v>6.1517235426155024E-2</v>
      </c>
      <c r="G60" s="82">
        <v>5.0538812642470544E-2</v>
      </c>
      <c r="H60" s="82">
        <v>7.0215495282309096E-2</v>
      </c>
      <c r="I60" s="82">
        <v>5.7461489368714473E-2</v>
      </c>
      <c r="J60" s="82">
        <v>8.507121386661565E-3</v>
      </c>
      <c r="K60" s="82">
        <v>3.8652223816806545E-2</v>
      </c>
      <c r="L60" s="82">
        <v>0.19645919590276098</v>
      </c>
      <c r="M60" s="82">
        <v>-3.3333354755005117E-2</v>
      </c>
      <c r="N60" s="82">
        <v>0.12035663184301228</v>
      </c>
      <c r="O60" s="82">
        <v>1.2105028497873687E-2</v>
      </c>
      <c r="P60" s="82">
        <v>-5.9667206927410755E-3</v>
      </c>
      <c r="Q60" s="82">
        <v>-1.5170223403389733E-2</v>
      </c>
      <c r="R60" s="82">
        <v>3.0299233191294454E-2</v>
      </c>
      <c r="S60" s="82">
        <v>2.629696588987359E-2</v>
      </c>
      <c r="T60" s="82">
        <v>0.15877670345691003</v>
      </c>
      <c r="U60" s="82">
        <v>7.4833341696168745E-2</v>
      </c>
      <c r="V60" s="81">
        <v>8.0547593920871491E-2</v>
      </c>
      <c r="W60" s="82">
        <v>-0.2</v>
      </c>
      <c r="X60" s="82">
        <v>1.1520737327188899E-2</v>
      </c>
      <c r="Y60" s="82">
        <v>3.2733978862918157E-2</v>
      </c>
      <c r="Z60" s="82">
        <v>-0.1013189448441246</v>
      </c>
    </row>
    <row r="61" spans="3:26" ht="14.25" customHeight="1" x14ac:dyDescent="0.2">
      <c r="C61" s="85">
        <v>8.7408496917924822E-2</v>
      </c>
      <c r="D61" s="82">
        <v>9.3097948582858317E-2</v>
      </c>
      <c r="E61" s="82">
        <v>6.1876280375967478E-2</v>
      </c>
      <c r="F61" s="82">
        <v>3.6845067092948179E-2</v>
      </c>
      <c r="G61" s="82">
        <v>5.4196111219746379E-2</v>
      </c>
      <c r="H61" s="82">
        <v>3.150163878479556E-2</v>
      </c>
      <c r="I61" s="82">
        <v>2.3201097864876039E-2</v>
      </c>
      <c r="J61" s="82">
        <v>-0.2079919384173162</v>
      </c>
      <c r="K61" s="82">
        <v>1.7443609088577981E-2</v>
      </c>
      <c r="L61" s="82">
        <v>-8.3835844929736004E-4</v>
      </c>
      <c r="M61" s="82">
        <v>5.2372076014342642E-2</v>
      </c>
      <c r="N61" s="82">
        <v>2.8987307095797686E-2</v>
      </c>
      <c r="O61" s="82">
        <v>1.4295447271580922E-2</v>
      </c>
      <c r="P61" s="82">
        <v>3.131080078554261E-2</v>
      </c>
      <c r="Q61" s="82">
        <v>-8.1566919566157164E-2</v>
      </c>
      <c r="R61" s="82">
        <v>2.7541826373169646E-4</v>
      </c>
      <c r="S61" s="82">
        <v>-3.570059249127075E-2</v>
      </c>
      <c r="T61" s="82">
        <v>6.576501218246876E-2</v>
      </c>
      <c r="U61" s="82">
        <v>3.7093195343358108E-2</v>
      </c>
      <c r="V61" s="81">
        <v>-2.4194634599424066E-2</v>
      </c>
      <c r="W61" s="82">
        <v>-2.5000000000000064E-2</v>
      </c>
      <c r="X61" s="82">
        <v>-2.7334851936218704E-2</v>
      </c>
      <c r="Y61" s="82">
        <v>2.1128168649632517E-2</v>
      </c>
      <c r="Z61" s="82">
        <v>0.38092061374249481</v>
      </c>
    </row>
    <row r="62" spans="3:26" ht="14.25" customHeight="1" x14ac:dyDescent="0.2">
      <c r="C62" s="85">
        <v>-6.503896079927976E-2</v>
      </c>
      <c r="D62" s="82">
        <v>7.0474730179040199E-2</v>
      </c>
      <c r="E62" s="82">
        <v>-6.1963254309378386E-2</v>
      </c>
      <c r="F62" s="82">
        <v>4.678569642857143E-2</v>
      </c>
      <c r="G62" s="82">
        <v>-4.4737794940696622E-2</v>
      </c>
      <c r="H62" s="82">
        <v>-5.8248336101950779E-2</v>
      </c>
      <c r="I62" s="82">
        <v>1.2008302409279574E-2</v>
      </c>
      <c r="J62" s="82">
        <v>0.24112954465497582</v>
      </c>
      <c r="K62" s="82">
        <v>-1.6622914788633494E-2</v>
      </c>
      <c r="L62" s="82">
        <v>0.36343657613731462</v>
      </c>
      <c r="M62" s="82">
        <v>-8.3782080067184253E-2</v>
      </c>
      <c r="N62" s="82">
        <v>4.4613376789772466E-2</v>
      </c>
      <c r="O62" s="82">
        <v>-0.12084727916636433</v>
      </c>
      <c r="P62" s="82">
        <v>-2.2459631946720994E-2</v>
      </c>
      <c r="Q62" s="82">
        <v>-8.4757359016429876E-2</v>
      </c>
      <c r="R62" s="82">
        <v>-6.4104063117681923E-2</v>
      </c>
      <c r="S62" s="82">
        <v>1.724540316135743E-2</v>
      </c>
      <c r="T62" s="82">
        <v>6.87691286840348E-2</v>
      </c>
      <c r="U62" s="82">
        <v>-4.4507661186038473E-2</v>
      </c>
      <c r="V62" s="81">
        <v>-8.2602653833620338E-2</v>
      </c>
      <c r="W62" s="82">
        <v>-7.69230769230769E-2</v>
      </c>
      <c r="X62" s="82">
        <v>4.6838407494146283E-3</v>
      </c>
      <c r="Y62" s="82">
        <v>2.0897372296770668E-2</v>
      </c>
      <c r="Z62" s="82">
        <v>0</v>
      </c>
    </row>
    <row r="63" spans="3:26" ht="14.25" customHeight="1" x14ac:dyDescent="0.2">
      <c r="C63" s="85">
        <v>1.9810910339867559E-2</v>
      </c>
      <c r="D63" s="82">
        <v>-2.3602548307077543E-3</v>
      </c>
      <c r="E63" s="82">
        <v>3.5762358999766562E-2</v>
      </c>
      <c r="F63" s="82">
        <v>-2.0129648927493152E-2</v>
      </c>
      <c r="G63" s="82">
        <v>1.5738902024217322E-2</v>
      </c>
      <c r="H63" s="82">
        <v>6.0326790210292421E-2</v>
      </c>
      <c r="I63" s="82">
        <v>0.100060812244276</v>
      </c>
      <c r="J63" s="82">
        <v>0.28362672478491191</v>
      </c>
      <c r="K63" s="82">
        <v>0.13111180967355909</v>
      </c>
      <c r="L63" s="82">
        <v>0.11809482464367937</v>
      </c>
      <c r="M63" s="82">
        <v>5.6596333162767139E-2</v>
      </c>
      <c r="N63" s="82">
        <v>9.584372293604275E-2</v>
      </c>
      <c r="O63" s="82">
        <v>6.0022099828249735E-2</v>
      </c>
      <c r="P63" s="82">
        <v>8.013709743645267E-2</v>
      </c>
      <c r="Q63" s="82">
        <v>0.17113701441358983</v>
      </c>
      <c r="R63" s="82">
        <v>1.6895610271251032E-3</v>
      </c>
      <c r="S63" s="82">
        <v>5.4783291260856022E-2</v>
      </c>
      <c r="T63" s="82">
        <v>3.9265568044593434E-2</v>
      </c>
      <c r="U63" s="82">
        <v>-8.8640735162365911E-2</v>
      </c>
      <c r="V63" s="81">
        <v>-2.3138860251070821E-2</v>
      </c>
      <c r="W63" s="82">
        <v>0.12499999999999997</v>
      </c>
      <c r="X63" s="82">
        <v>2.7972027972027996E-2</v>
      </c>
      <c r="Y63" s="82">
        <v>1.1520309054306537E-3</v>
      </c>
      <c r="Z63" s="82">
        <v>3.0434782608695737E-2</v>
      </c>
    </row>
    <row r="64" spans="3:26" ht="14.25" customHeight="1" x14ac:dyDescent="0.2">
      <c r="C64" s="85">
        <v>2.3677293546414201E-2</v>
      </c>
      <c r="D64" s="82">
        <v>-4.2804845871550028E-3</v>
      </c>
      <c r="E64" s="82">
        <v>-1.0124631000820861E-2</v>
      </c>
      <c r="F64" s="82">
        <v>8.7052578117204852E-4</v>
      </c>
      <c r="G64" s="82">
        <v>1.9163904747166238E-2</v>
      </c>
      <c r="H64" s="82">
        <v>-1.7265381228273501E-2</v>
      </c>
      <c r="I64" s="82">
        <v>1.4465637148200991E-2</v>
      </c>
      <c r="J64" s="82">
        <v>2.1622050799719499E-2</v>
      </c>
      <c r="K64" s="82">
        <v>-1.615391271401902E-2</v>
      </c>
      <c r="L64" s="82">
        <v>0.1047666473757347</v>
      </c>
      <c r="M64" s="82">
        <v>-4.0277150032220366E-3</v>
      </c>
      <c r="N64" s="82">
        <v>1.2785474167823972E-2</v>
      </c>
      <c r="O64" s="82">
        <v>1.3070992106558486E-2</v>
      </c>
      <c r="P64" s="82">
        <v>1.2239309366581137E-2</v>
      </c>
      <c r="Q64" s="82">
        <v>6.3524230499609952E-2</v>
      </c>
      <c r="R64" s="82">
        <v>-2.5308671805428294E-3</v>
      </c>
      <c r="S64" s="82">
        <v>7.7497886632040283E-2</v>
      </c>
      <c r="T64" s="82">
        <v>-1.3566658418979517E-2</v>
      </c>
      <c r="U64" s="82">
        <v>-2.5554198071816667E-2</v>
      </c>
      <c r="V64" s="81">
        <v>3.2524279393679079E-2</v>
      </c>
      <c r="W64" s="82">
        <v>-4.9382716049382637E-2</v>
      </c>
      <c r="X64" s="82">
        <v>4.9886621315192684E-2</v>
      </c>
      <c r="Y64" s="82">
        <v>-2.1931514057176849E-2</v>
      </c>
      <c r="Z64" s="82">
        <v>0.17393342709798407</v>
      </c>
    </row>
    <row r="65" spans="3:26" ht="14.25" customHeight="1" x14ac:dyDescent="0.2">
      <c r="C65" s="85">
        <v>-2.6419999242323942E-2</v>
      </c>
      <c r="D65" s="82">
        <v>8.7779781980801636E-2</v>
      </c>
      <c r="E65" s="82">
        <v>-3.0495890681277827E-2</v>
      </c>
      <c r="F65" s="82">
        <v>-1.3915810961356437E-3</v>
      </c>
      <c r="G65" s="82">
        <v>-5.0890871939725232E-2</v>
      </c>
      <c r="H65" s="82">
        <v>-7.770306080046388E-2</v>
      </c>
      <c r="I65" s="82">
        <v>-4.5216174978224236E-2</v>
      </c>
      <c r="J65" s="82">
        <v>-3.4962443423464495E-2</v>
      </c>
      <c r="K65" s="82">
        <v>3.6583726743162088E-3</v>
      </c>
      <c r="L65" s="82">
        <v>5.6196310849501649E-2</v>
      </c>
      <c r="M65" s="82">
        <v>6.0660159392820897E-3</v>
      </c>
      <c r="N65" s="82">
        <v>-4.3675269607921306E-2</v>
      </c>
      <c r="O65" s="82">
        <v>-2.4510056101112732E-2</v>
      </c>
      <c r="P65" s="82">
        <v>1.044938828032217E-2</v>
      </c>
      <c r="Q65" s="82">
        <v>-4.3435803533651791E-2</v>
      </c>
      <c r="R65" s="82">
        <v>4.4654371714713198E-3</v>
      </c>
      <c r="S65" s="82">
        <v>1.8379851341457712E-2</v>
      </c>
      <c r="T65" s="82">
        <v>-2.429150319329243E-2</v>
      </c>
      <c r="U65" s="82">
        <v>-8.7685715970564779E-2</v>
      </c>
      <c r="V65" s="81">
        <v>0.11400307325428014</v>
      </c>
      <c r="W65" s="82">
        <v>6.4935064935064984E-2</v>
      </c>
      <c r="X65" s="82">
        <v>-4.967602591792647E-2</v>
      </c>
      <c r="Y65" s="82">
        <v>1.9136583209127582E-2</v>
      </c>
      <c r="Z65" s="82">
        <v>-3.8738019169329063E-2</v>
      </c>
    </row>
    <row r="66" spans="3:26" ht="14.25" customHeight="1" x14ac:dyDescent="0.2">
      <c r="C66" s="85">
        <v>-4.9072813619915084E-2</v>
      </c>
      <c r="D66" s="82">
        <v>-0.11092030953012361</v>
      </c>
      <c r="E66" s="82">
        <v>-3.2121922680636496E-2</v>
      </c>
      <c r="F66" s="82">
        <v>-7.7686796725309121E-2</v>
      </c>
      <c r="G66" s="82">
        <v>-4.0962167146549718E-2</v>
      </c>
      <c r="H66" s="82">
        <v>-8.4121691371183444E-2</v>
      </c>
      <c r="I66" s="82">
        <v>-5.906772706835782E-2</v>
      </c>
      <c r="J66" s="82">
        <v>-3.0455619947005113E-2</v>
      </c>
      <c r="K66" s="82">
        <v>-7.8396149114418556E-2</v>
      </c>
      <c r="L66" s="82">
        <v>-0.11865059177461809</v>
      </c>
      <c r="M66" s="82">
        <v>-9.8772214069260244E-3</v>
      </c>
      <c r="N66" s="82">
        <v>-8.7447633508921555E-2</v>
      </c>
      <c r="O66" s="82">
        <v>-6.6164427015034388E-2</v>
      </c>
      <c r="P66" s="82">
        <v>-6.2047582285138889E-2</v>
      </c>
      <c r="Q66" s="82">
        <v>-8.1666378886529764E-2</v>
      </c>
      <c r="R66" s="82">
        <v>-2.0135915299220989E-2</v>
      </c>
      <c r="S66" s="82">
        <v>-3.3477154180113627E-2</v>
      </c>
      <c r="T66" s="82">
        <v>-3.4603052241183214E-2</v>
      </c>
      <c r="U66" s="82">
        <v>-5.4241773322740022E-2</v>
      </c>
      <c r="V66" s="81">
        <v>-4.2710353939072552E-3</v>
      </c>
      <c r="W66" s="82">
        <v>-6.0975609756097608E-2</v>
      </c>
      <c r="X66" s="82">
        <v>-4.5454545454546502E-3</v>
      </c>
      <c r="Y66" s="82">
        <v>-2.8299379251840218E-2</v>
      </c>
      <c r="Z66" s="82">
        <v>0.12879102617366017</v>
      </c>
    </row>
    <row r="67" spans="3:26" ht="14.25" customHeight="1" x14ac:dyDescent="0.2">
      <c r="C67" s="85">
        <v>-2.3319969244181442E-2</v>
      </c>
      <c r="D67" s="82">
        <v>0.12986977712809589</v>
      </c>
      <c r="E67" s="82">
        <v>5.6391531585738466E-2</v>
      </c>
      <c r="F67" s="82">
        <v>-3.4938677338268623E-2</v>
      </c>
      <c r="G67" s="82">
        <v>-3.6355069212050582E-2</v>
      </c>
      <c r="H67" s="82">
        <v>-5.8486910380114714E-2</v>
      </c>
      <c r="I67" s="82">
        <v>-2.5840568884057905E-2</v>
      </c>
      <c r="J67" s="82">
        <v>-0.19734635441872603</v>
      </c>
      <c r="K67" s="82">
        <v>-6.8414377404374628E-3</v>
      </c>
      <c r="L67" s="82">
        <v>-6.2429969201145477E-2</v>
      </c>
      <c r="M67" s="82">
        <v>-0.1102290768881834</v>
      </c>
      <c r="N67" s="82">
        <v>-2.5699607616977097E-3</v>
      </c>
      <c r="O67" s="82">
        <v>-5.1662176040450473E-2</v>
      </c>
      <c r="P67" s="82">
        <v>-5.5127105328544746E-3</v>
      </c>
      <c r="Q67" s="82">
        <v>-2.843882736316421E-2</v>
      </c>
      <c r="R67" s="82">
        <v>5.8305204949478086E-2</v>
      </c>
      <c r="S67" s="82">
        <v>3.0933684299350905E-2</v>
      </c>
      <c r="T67" s="82">
        <v>7.0815471100554223E-2</v>
      </c>
      <c r="U67" s="82">
        <v>1.9534182310547026E-2</v>
      </c>
      <c r="V67" s="81">
        <v>-5.233547906170348E-2</v>
      </c>
      <c r="W67" s="82">
        <v>0.12987012987012975</v>
      </c>
      <c r="X67" s="82">
        <v>-4.1095890410958839E-2</v>
      </c>
      <c r="Y67" s="82">
        <v>4.0139533626117378E-2</v>
      </c>
      <c r="Z67" s="82">
        <v>-3.0916451969083575E-2</v>
      </c>
    </row>
    <row r="68" spans="3:26" s="90" customFormat="1" ht="14.25" customHeight="1" thickBot="1" x14ac:dyDescent="0.25">
      <c r="C68" s="87">
        <v>1.2447100445461809E-2</v>
      </c>
      <c r="D68" s="88">
        <v>2.970975700759481E-2</v>
      </c>
      <c r="E68" s="89">
        <v>2.3136426324818732E-3</v>
      </c>
      <c r="F68" s="88">
        <v>3.0528416067648324E-2</v>
      </c>
      <c r="G68" s="88">
        <v>2.1741811745111559E-2</v>
      </c>
      <c r="H68" s="88">
        <v>3.9436584136397286E-2</v>
      </c>
      <c r="I68" s="88">
        <v>6.1136321428571484E-2</v>
      </c>
      <c r="J68" s="88">
        <v>8.7980478748864291E-2</v>
      </c>
      <c r="K68" s="88">
        <v>2.0150172285973118E-2</v>
      </c>
      <c r="L68" s="88">
        <v>6.684651986797023E-2</v>
      </c>
      <c r="M68" s="88">
        <v>-6.117716033647717E-3</v>
      </c>
      <c r="N68" s="88">
        <v>3.9819657086850008E-2</v>
      </c>
      <c r="O68" s="88">
        <v>1.3502316301436496E-2</v>
      </c>
      <c r="P68" s="88">
        <v>2.2014563050479621E-2</v>
      </c>
      <c r="Q68" s="88">
        <v>2.2443653756992608E-2</v>
      </c>
      <c r="R68" s="88">
        <v>3.4250088690474967E-2</v>
      </c>
      <c r="S68" s="88">
        <v>1.6385481307974945E-2</v>
      </c>
      <c r="T68" s="88">
        <v>3.0197339484073448E-2</v>
      </c>
      <c r="U68" s="88">
        <v>2.5026001292516992E-2</v>
      </c>
      <c r="V68" s="88">
        <v>4.9878780663706886E-2</v>
      </c>
      <c r="W68" s="88">
        <v>-1.1494252873563149E-2</v>
      </c>
      <c r="X68" s="88">
        <v>3.8095238095238126E-2</v>
      </c>
      <c r="Y68" s="88">
        <v>5.6695587417222526E-2</v>
      </c>
      <c r="Z68" s="82">
        <v>2.0129130269654363E-2</v>
      </c>
    </row>
    <row r="69" spans="3:26" ht="14.25" customHeight="1" x14ac:dyDescent="0.2"/>
    <row r="70" spans="3:26" ht="14.25" customHeight="1" x14ac:dyDescent="0.2"/>
    <row r="71" spans="3:26" ht="14.25" customHeight="1" x14ac:dyDescent="0.2"/>
    <row r="72" spans="3:26" ht="14.25" customHeight="1" x14ac:dyDescent="0.2"/>
    <row r="73" spans="3:26" ht="14.25" customHeight="1" x14ac:dyDescent="0.2"/>
    <row r="74" spans="3:26" ht="14.25" customHeight="1" x14ac:dyDescent="0.2"/>
    <row r="75" spans="3:26" ht="14.25" customHeight="1" x14ac:dyDescent="0.2"/>
    <row r="76" spans="3:26" ht="14.25" customHeight="1" x14ac:dyDescent="0.2"/>
    <row r="77" spans="3:26" ht="14.25" customHeight="1" x14ac:dyDescent="0.2"/>
    <row r="78" spans="3:26" ht="14.25" customHeight="1" x14ac:dyDescent="0.2"/>
    <row r="79" spans="3:26" ht="14.25" customHeight="1" x14ac:dyDescent="0.2"/>
    <row r="80" spans="3:2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honeticPr fontId="1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00"/>
  <sheetViews>
    <sheetView workbookViewId="0">
      <selection activeCell="N39" sqref="N39"/>
    </sheetView>
  </sheetViews>
  <sheetFormatPr baseColWidth="10" defaultColWidth="14.5" defaultRowHeight="15" customHeight="1" x14ac:dyDescent="0.2"/>
  <cols>
    <col min="1" max="1" width="25.5" customWidth="1"/>
    <col min="2" max="8" width="10.6640625" customWidth="1"/>
    <col min="9" max="9" width="14.33203125" customWidth="1"/>
    <col min="10" max="11" width="10.6640625" customWidth="1"/>
    <col min="12" max="12" width="17.1640625" customWidth="1"/>
    <col min="13" max="13" width="10.6640625" customWidth="1"/>
    <col min="14" max="14" width="16.83203125" customWidth="1"/>
    <col min="15" max="15" width="10.6640625" customWidth="1"/>
    <col min="16" max="16" width="23.33203125" customWidth="1"/>
    <col min="17" max="19" width="10.6640625" customWidth="1"/>
    <col min="20" max="20" width="13.1640625" customWidth="1"/>
    <col min="21" max="21" width="10.6640625" customWidth="1"/>
    <col min="22" max="22" width="25.1640625" customWidth="1"/>
    <col min="23" max="24" width="22.5" customWidth="1"/>
    <col min="25" max="25" width="13.5" customWidth="1"/>
    <col min="26" max="26" width="10.6640625" customWidth="1"/>
  </cols>
  <sheetData>
    <row r="1" spans="1:50" ht="14.25" customHeight="1" x14ac:dyDescent="0.2">
      <c r="A1" s="128"/>
      <c r="B1" s="128" t="s">
        <v>114</v>
      </c>
      <c r="C1" s="128" t="s">
        <v>68</v>
      </c>
      <c r="D1" s="128" t="s">
        <v>69</v>
      </c>
      <c r="E1" s="128" t="s">
        <v>22</v>
      </c>
      <c r="F1" s="128" t="s">
        <v>70</v>
      </c>
      <c r="G1" s="128" t="s">
        <v>71</v>
      </c>
      <c r="H1" s="128" t="s">
        <v>72</v>
      </c>
      <c r="I1" s="128" t="s">
        <v>73</v>
      </c>
      <c r="J1" s="128" t="s">
        <v>74</v>
      </c>
      <c r="K1" s="128" t="s">
        <v>75</v>
      </c>
      <c r="L1" s="128" t="s">
        <v>76</v>
      </c>
      <c r="M1" s="128" t="s">
        <v>77</v>
      </c>
      <c r="N1" s="128" t="s">
        <v>78</v>
      </c>
      <c r="O1" s="128" t="s">
        <v>42</v>
      </c>
      <c r="P1" s="128" t="s">
        <v>79</v>
      </c>
      <c r="Q1" s="128" t="s">
        <v>80</v>
      </c>
      <c r="R1" s="128" t="s">
        <v>81</v>
      </c>
      <c r="S1" s="128" t="s">
        <v>82</v>
      </c>
      <c r="T1" s="128" t="s">
        <v>83</v>
      </c>
      <c r="U1" s="128" t="s">
        <v>49</v>
      </c>
      <c r="V1" s="128" t="s">
        <v>84</v>
      </c>
      <c r="W1" s="128" t="s">
        <v>85</v>
      </c>
      <c r="X1" s="128" t="s">
        <v>86</v>
      </c>
      <c r="Y1" s="128" t="s">
        <v>115</v>
      </c>
    </row>
    <row r="2" spans="1:50" ht="14.25" customHeight="1" thickBot="1" x14ac:dyDescent="0.25">
      <c r="A2" s="81" t="s">
        <v>114</v>
      </c>
      <c r="B2" s="81">
        <f>VARP('II. Univ Stats'!$C$10:$C$68)</f>
        <v>5.4331336745848356E-3</v>
      </c>
      <c r="C2" s="81">
        <v>-7.3291040953796425E-5</v>
      </c>
      <c r="D2" s="81">
        <v>1.1393864536387095E-3</v>
      </c>
      <c r="E2" s="81">
        <v>1.3446351503118088E-3</v>
      </c>
      <c r="F2" s="81">
        <v>1.7406142724460782E-3</v>
      </c>
      <c r="G2" s="81">
        <v>1.9001183481416372E-3</v>
      </c>
      <c r="H2" s="81">
        <v>2.1720440046924367E-3</v>
      </c>
      <c r="I2" s="81">
        <v>2.5929346119440829E-3</v>
      </c>
      <c r="J2" s="81">
        <v>1.7055134771425439E-3</v>
      </c>
      <c r="K2" s="81">
        <v>1.3855604906066491E-3</v>
      </c>
      <c r="L2" s="81">
        <v>2.4761353497246594E-3</v>
      </c>
      <c r="M2" s="81">
        <v>2.8498702929554216E-3</v>
      </c>
      <c r="N2" s="81">
        <v>1.7531892033197001E-3</v>
      </c>
      <c r="O2" s="81">
        <v>4.4158689580923163E-3</v>
      </c>
      <c r="P2" s="81">
        <v>3.1905209992826099E-3</v>
      </c>
      <c r="Q2" s="81">
        <v>1.2913615447340987E-3</v>
      </c>
      <c r="R2" s="81">
        <v>1.7077955358438251E-3</v>
      </c>
      <c r="S2" s="81">
        <v>1.0649520097911654E-3</v>
      </c>
      <c r="T2" s="81">
        <v>1.0137114956737241E-3</v>
      </c>
      <c r="U2" s="81">
        <v>6.8139081530699675E-4</v>
      </c>
      <c r="V2" s="81">
        <v>2.3244680054224751E-3</v>
      </c>
      <c r="W2" s="81">
        <v>1.003810894047162E-3</v>
      </c>
      <c r="X2" s="81">
        <v>2.5859683532660551E-4</v>
      </c>
      <c r="Y2" s="91">
        <v>-3.4808681219236106E-4</v>
      </c>
    </row>
    <row r="3" spans="1:50" ht="14.25" customHeight="1" thickBot="1" x14ac:dyDescent="0.25">
      <c r="A3" s="81" t="s">
        <v>68</v>
      </c>
      <c r="B3" s="81">
        <v>-7.3291040953796425E-5</v>
      </c>
      <c r="C3" s="81">
        <f>VARP('II. Univ Stats'!$D$10:$D$68)</f>
        <v>2.2999602192982316</v>
      </c>
      <c r="D3" s="81">
        <v>9.5742947150992078E-3</v>
      </c>
      <c r="E3" s="81">
        <v>1.5541236385971454E-2</v>
      </c>
      <c r="F3" s="81">
        <v>2.1032156634456607E-3</v>
      </c>
      <c r="G3" s="81">
        <v>2.6341859086992912E-2</v>
      </c>
      <c r="H3" s="81">
        <v>2.1296279461754997E-2</v>
      </c>
      <c r="I3" s="81">
        <v>-4.1225859368911377E-2</v>
      </c>
      <c r="J3" s="81">
        <v>-1.0620065025908981E-2</v>
      </c>
      <c r="K3" s="81">
        <v>4.0240114282578711E-2</v>
      </c>
      <c r="L3" s="81">
        <v>2.516092457139104E-2</v>
      </c>
      <c r="M3" s="81">
        <v>-1.3163242943220967E-2</v>
      </c>
      <c r="N3" s="81">
        <v>2.1679593261900074E-3</v>
      </c>
      <c r="O3" s="81">
        <v>-3.8852744215488824E-3</v>
      </c>
      <c r="P3" s="81">
        <v>1.8261355802520526E-2</v>
      </c>
      <c r="Q3" s="81">
        <v>2.2058019649826191E-2</v>
      </c>
      <c r="R3" s="81">
        <v>1.293776527029878E-2</v>
      </c>
      <c r="S3" s="81">
        <v>1.5200790575896864E-2</v>
      </c>
      <c r="T3" s="81">
        <v>7.6289695492050402E-3</v>
      </c>
      <c r="U3" s="81">
        <v>-2.4452462296127094E-3</v>
      </c>
      <c r="V3" s="81">
        <v>7.2417685600509232E-3</v>
      </c>
      <c r="W3" s="81">
        <v>1.8981843755893634E-2</v>
      </c>
      <c r="X3" s="81">
        <v>3.3722197652260089E-2</v>
      </c>
      <c r="Y3" s="91">
        <v>5.371130100714646E-2</v>
      </c>
    </row>
    <row r="4" spans="1:50" ht="14.25" customHeight="1" thickBot="1" x14ac:dyDescent="0.25">
      <c r="A4" s="81" t="s">
        <v>69</v>
      </c>
      <c r="B4" s="81">
        <v>1.1393864536387095E-3</v>
      </c>
      <c r="C4" s="81">
        <v>9.5742947150992078E-3</v>
      </c>
      <c r="D4" s="81">
        <f>VARP('II. Univ Stats'!$E$10:$E$68)</f>
        <v>2.129896646831643E-3</v>
      </c>
      <c r="E4" s="81">
        <v>1.6597634672406902E-3</v>
      </c>
      <c r="F4" s="81">
        <v>1.4611982901461963E-3</v>
      </c>
      <c r="G4" s="81">
        <v>1.2077655412339806E-3</v>
      </c>
      <c r="H4" s="81">
        <v>1.4978832256013588E-3</v>
      </c>
      <c r="I4" s="81">
        <v>1.7745955117571982E-4</v>
      </c>
      <c r="J4" s="81">
        <v>1.7024538536566263E-3</v>
      </c>
      <c r="K4" s="81">
        <v>1.1088174219002324E-5</v>
      </c>
      <c r="L4" s="81">
        <v>1.2102485685447221E-3</v>
      </c>
      <c r="M4" s="81">
        <v>1.3259074620085639E-3</v>
      </c>
      <c r="N4" s="81">
        <v>1.0809817665393467E-3</v>
      </c>
      <c r="O4" s="81">
        <v>2.1539795700802784E-3</v>
      </c>
      <c r="P4" s="81">
        <v>8.4468784803011726E-4</v>
      </c>
      <c r="Q4" s="81">
        <v>7.4757463273502928E-4</v>
      </c>
      <c r="R4" s="81">
        <v>1.9652051770192918E-3</v>
      </c>
      <c r="S4" s="81">
        <v>1.0320488036992307E-3</v>
      </c>
      <c r="T4" s="81">
        <v>1.3802062207536902E-3</v>
      </c>
      <c r="U4" s="81">
        <v>-9.8779386487939276E-4</v>
      </c>
      <c r="V4" s="81">
        <v>-7.7393882752694937E-4</v>
      </c>
      <c r="W4" s="81">
        <v>5.7132206078097246E-4</v>
      </c>
      <c r="X4" s="81">
        <v>3.8276986072251218E-4</v>
      </c>
      <c r="Y4" s="91">
        <v>-4.5352437369686774E-4</v>
      </c>
    </row>
    <row r="5" spans="1:50" ht="14.25" customHeight="1" thickBot="1" x14ac:dyDescent="0.25">
      <c r="A5" s="81" t="s">
        <v>22</v>
      </c>
      <c r="B5" s="81">
        <v>1.3446351503118088E-3</v>
      </c>
      <c r="C5" s="81">
        <v>1.5541236385971454E-2</v>
      </c>
      <c r="D5" s="81">
        <v>1.6597634672406902E-3</v>
      </c>
      <c r="E5" s="81">
        <f>VARP('II. Univ Stats'!$F$10:$F$68)</f>
        <v>4.947970495564725E-3</v>
      </c>
      <c r="F5" s="81">
        <v>1.3825024070824757E-3</v>
      </c>
      <c r="G5" s="81">
        <v>2.085109756816654E-3</v>
      </c>
      <c r="H5" s="81">
        <v>2.7817229706607414E-3</v>
      </c>
      <c r="I5" s="81">
        <v>3.2951256376435121E-3</v>
      </c>
      <c r="J5" s="81">
        <v>2.6228417182404132E-3</v>
      </c>
      <c r="K5" s="81">
        <v>1.8051916987482698E-3</v>
      </c>
      <c r="L5" s="81">
        <v>2.6805774887259568E-3</v>
      </c>
      <c r="M5" s="81">
        <v>2.4186403010360838E-3</v>
      </c>
      <c r="N5" s="81">
        <v>1.9351636273857698E-3</v>
      </c>
      <c r="O5" s="81">
        <v>3.4801541389956115E-3</v>
      </c>
      <c r="P5" s="81">
        <v>1.4349023028418779E-3</v>
      </c>
      <c r="Q5" s="81">
        <v>5.2863421877960852E-4</v>
      </c>
      <c r="R5" s="81">
        <v>2.4583341762454184E-3</v>
      </c>
      <c r="S5" s="81">
        <v>1.477464491742985E-3</v>
      </c>
      <c r="T5" s="81">
        <v>1.1457477665989184E-3</v>
      </c>
      <c r="U5" s="81">
        <v>1.7877026529568586E-4</v>
      </c>
      <c r="V5" s="81">
        <v>-2.6177549341653951E-3</v>
      </c>
      <c r="W5" s="81">
        <v>1.0426586717072726E-3</v>
      </c>
      <c r="X5" s="81">
        <v>1.0723936672608764E-3</v>
      </c>
      <c r="Y5" s="91">
        <v>1.0059475652121317E-3</v>
      </c>
    </row>
    <row r="6" spans="1:50" ht="14.25" customHeight="1" thickBot="1" x14ac:dyDescent="0.25">
      <c r="A6" s="81" t="s">
        <v>70</v>
      </c>
      <c r="B6" s="81">
        <v>1.7406142724460782E-3</v>
      </c>
      <c r="C6" s="81">
        <v>2.1032156634456607E-3</v>
      </c>
      <c r="D6" s="81">
        <v>1.4611982901461963E-3</v>
      </c>
      <c r="E6" s="81">
        <v>1.3825024070824757E-3</v>
      </c>
      <c r="F6" s="81">
        <f>VARP('II. Univ Stats'!$G$10:$G$68)</f>
        <v>2.1837760048241599E-3</v>
      </c>
      <c r="G6" s="81">
        <v>1.5919669806069923E-3</v>
      </c>
      <c r="H6" s="81">
        <v>2.0672776115064624E-3</v>
      </c>
      <c r="I6" s="81">
        <v>2.4515164624959707E-3</v>
      </c>
      <c r="J6" s="81">
        <v>2.0992215916828655E-3</v>
      </c>
      <c r="K6" s="81">
        <v>7.7713716310478782E-4</v>
      </c>
      <c r="L6" s="81">
        <v>1.7476638424331415E-3</v>
      </c>
      <c r="M6" s="81">
        <v>2.092789794260592E-3</v>
      </c>
      <c r="N6" s="81">
        <v>1.4521238466857511E-3</v>
      </c>
      <c r="O6" s="81">
        <v>2.5450911825213251E-3</v>
      </c>
      <c r="P6" s="81">
        <v>1.3064046950430114E-3</v>
      </c>
      <c r="Q6" s="81">
        <v>6.924191612458654E-4</v>
      </c>
      <c r="R6" s="81">
        <v>1.644907605192194E-3</v>
      </c>
      <c r="S6" s="81">
        <v>1.341938664637003E-3</v>
      </c>
      <c r="T6" s="81">
        <v>1.1755931888246191E-3</v>
      </c>
      <c r="U6" s="81">
        <v>-5.1705313869264088E-4</v>
      </c>
      <c r="V6" s="81">
        <v>1.5669048310518478E-4</v>
      </c>
      <c r="W6" s="81">
        <v>6.2628548670293541E-4</v>
      </c>
      <c r="X6" s="81">
        <v>1.4329607382365333E-5</v>
      </c>
      <c r="Y6" s="91">
        <v>-4.0372436309795307E-4</v>
      </c>
    </row>
    <row r="7" spans="1:50" ht="14.25" customHeight="1" thickBot="1" x14ac:dyDescent="0.25">
      <c r="A7" s="81" t="s">
        <v>71</v>
      </c>
      <c r="B7" s="81">
        <v>1.9001183481416372E-3</v>
      </c>
      <c r="C7" s="81">
        <v>2.6341859086992912E-2</v>
      </c>
      <c r="D7" s="81">
        <v>1.2077655412339806E-3</v>
      </c>
      <c r="E7" s="81">
        <v>2.085109756816654E-3</v>
      </c>
      <c r="F7" s="81">
        <v>1.5919669806069923E-3</v>
      </c>
      <c r="G7" s="81">
        <f>VARP('II. Univ Stats'!$H$10:$H$68)</f>
        <v>4.6943533280103464E-3</v>
      </c>
      <c r="H7" s="81">
        <v>3.8774257573697258E-3</v>
      </c>
      <c r="I7" s="81">
        <v>5.2908891232846134E-3</v>
      </c>
      <c r="J7" s="81">
        <v>2.9610078605841125E-3</v>
      </c>
      <c r="K7" s="81">
        <v>4.5394485611149581E-3</v>
      </c>
      <c r="L7" s="81">
        <v>3.6328688474681083E-3</v>
      </c>
      <c r="M7" s="81">
        <v>3.2551659108134403E-3</v>
      </c>
      <c r="N7" s="81">
        <v>2.1197213624485236E-3</v>
      </c>
      <c r="O7" s="81">
        <v>4.3801753453744747E-3</v>
      </c>
      <c r="P7" s="81">
        <v>2.9397415322490452E-3</v>
      </c>
      <c r="Q7" s="81">
        <v>6.7066800266609751E-4</v>
      </c>
      <c r="R7" s="81">
        <v>1.5874802039309065E-3</v>
      </c>
      <c r="S7" s="81">
        <v>2.3216279812228011E-3</v>
      </c>
      <c r="T7" s="81">
        <v>9.3082173526519397E-4</v>
      </c>
      <c r="U7" s="81">
        <v>-2.2175170268507534E-4</v>
      </c>
      <c r="V7" s="81">
        <v>-7.5979160917222558E-4</v>
      </c>
      <c r="W7" s="81">
        <v>1.8638047514591507E-3</v>
      </c>
      <c r="X7" s="81">
        <v>8.5786261589728405E-4</v>
      </c>
      <c r="Y7" s="91">
        <v>-1.1272572773468521E-3</v>
      </c>
    </row>
    <row r="8" spans="1:50" ht="14.25" customHeight="1" thickBot="1" x14ac:dyDescent="0.25">
      <c r="A8" s="81" t="s">
        <v>72</v>
      </c>
      <c r="B8" s="81">
        <v>2.1720440046924367E-3</v>
      </c>
      <c r="C8" s="81">
        <v>2.1296279461754997E-2</v>
      </c>
      <c r="D8" s="81">
        <v>1.4978832256013588E-3</v>
      </c>
      <c r="E8" s="81">
        <v>2.7817229706607414E-3</v>
      </c>
      <c r="F8" s="81">
        <v>2.0672776115064624E-3</v>
      </c>
      <c r="G8" s="81">
        <v>3.8774257573697258E-3</v>
      </c>
      <c r="H8" s="81">
        <f>VARP('II. Univ Stats'!$I$10:$I$68)</f>
        <v>5.9775730143536441E-3</v>
      </c>
      <c r="I8" s="81">
        <v>8.1824635196156431E-3</v>
      </c>
      <c r="J8" s="81">
        <v>4.0493028541496272E-3</v>
      </c>
      <c r="K8" s="81">
        <v>6.7518644262547041E-3</v>
      </c>
      <c r="L8" s="81">
        <v>5.5625915043137301E-3</v>
      </c>
      <c r="M8" s="81">
        <v>4.5057986816413615E-3</v>
      </c>
      <c r="N8" s="81">
        <v>3.0755488171164231E-3</v>
      </c>
      <c r="O8" s="81">
        <v>4.2068202736043059E-3</v>
      </c>
      <c r="P8" s="81">
        <v>3.0812578965488855E-3</v>
      </c>
      <c r="Q8" s="81">
        <v>8.7832853205583282E-4</v>
      </c>
      <c r="R8" s="81">
        <v>2.3320830286907698E-3</v>
      </c>
      <c r="S8" s="81">
        <v>3.5477316230700844E-3</v>
      </c>
      <c r="T8" s="81">
        <v>7.0407968379297475E-4</v>
      </c>
      <c r="U8" s="81">
        <v>6.3725931659105268E-4</v>
      </c>
      <c r="V8" s="81">
        <v>-2.5020635231432029E-4</v>
      </c>
      <c r="W8" s="81">
        <v>1.9713766274980604E-3</v>
      </c>
      <c r="X8" s="81">
        <v>5.7795852057262488E-4</v>
      </c>
      <c r="Y8" s="91">
        <v>-1.3753024207298129E-3</v>
      </c>
    </row>
    <row r="9" spans="1:50" ht="14.25" customHeight="1" thickBot="1" x14ac:dyDescent="0.25">
      <c r="A9" s="81" t="s">
        <v>73</v>
      </c>
      <c r="B9" s="81">
        <v>2.5929346119440829E-3</v>
      </c>
      <c r="C9" s="81">
        <v>-4.1225859368911377E-2</v>
      </c>
      <c r="D9" s="81">
        <v>1.7745955117571982E-4</v>
      </c>
      <c r="E9" s="81">
        <v>3.2951256376435121E-3</v>
      </c>
      <c r="F9" s="81">
        <v>2.4515164624959707E-3</v>
      </c>
      <c r="G9" s="81">
        <v>5.2908891232846134E-3</v>
      </c>
      <c r="H9" s="81">
        <v>8.1824635196156431E-3</v>
      </c>
      <c r="I9" s="81">
        <f>VARP('II. Univ Stats'!$J$10:$J$68)</f>
        <v>4.8739968842004135E-2</v>
      </c>
      <c r="J9" s="81">
        <v>6.8223315838141152E-3</v>
      </c>
      <c r="K9" s="81">
        <v>1.665283982393348E-2</v>
      </c>
      <c r="L9" s="81">
        <v>8.1022550464066156E-3</v>
      </c>
      <c r="M9" s="81">
        <v>1.3116705916542418E-2</v>
      </c>
      <c r="N9" s="81">
        <v>4.7934496119990044E-3</v>
      </c>
      <c r="O9" s="81">
        <v>6.4402163308070358E-3</v>
      </c>
      <c r="P9" s="81">
        <v>6.9980677565078678E-3</v>
      </c>
      <c r="Q9" s="81">
        <v>-2.0916726263992846E-3</v>
      </c>
      <c r="R9" s="81">
        <v>1.5350034492400909E-3</v>
      </c>
      <c r="S9" s="81">
        <v>7.3260065703060788E-3</v>
      </c>
      <c r="T9" s="81">
        <v>-1.4415335084718287E-3</v>
      </c>
      <c r="U9" s="81">
        <v>1.7977410954314317E-3</v>
      </c>
      <c r="V9" s="81">
        <v>3.010743895597935E-3</v>
      </c>
      <c r="W9" s="81">
        <v>3.8182894580552598E-3</v>
      </c>
      <c r="X9" s="81">
        <v>-2.1768593899155274E-4</v>
      </c>
      <c r="Y9" s="91">
        <v>-8.1162715325931931E-3</v>
      </c>
    </row>
    <row r="10" spans="1:50" ht="14.25" customHeight="1" thickBot="1" x14ac:dyDescent="0.25">
      <c r="A10" s="81" t="s">
        <v>74</v>
      </c>
      <c r="B10" s="81">
        <v>1.7055134771425439E-3</v>
      </c>
      <c r="C10" s="81">
        <v>-1.0620065025908981E-2</v>
      </c>
      <c r="D10" s="81">
        <v>1.7024538536566263E-3</v>
      </c>
      <c r="E10" s="81">
        <v>2.6228417182404132E-3</v>
      </c>
      <c r="F10" s="81">
        <v>2.0992215916828655E-3</v>
      </c>
      <c r="G10" s="81">
        <v>2.9610078605841125E-3</v>
      </c>
      <c r="H10" s="81">
        <v>4.0493028541496272E-3</v>
      </c>
      <c r="I10" s="81">
        <v>6.8223315838141152E-3</v>
      </c>
      <c r="J10" s="81">
        <f>VARP('II. Univ Stats'!$K$10:$K$68)</f>
        <v>5.4140228003555137E-3</v>
      </c>
      <c r="K10" s="81">
        <v>4.0035933783774558E-3</v>
      </c>
      <c r="L10" s="81">
        <v>3.9889531864824232E-3</v>
      </c>
      <c r="M10" s="81">
        <v>3.3971530270168197E-3</v>
      </c>
      <c r="N10" s="81">
        <v>2.922592040194827E-3</v>
      </c>
      <c r="O10" s="81">
        <v>4.5531437610720491E-3</v>
      </c>
      <c r="P10" s="81">
        <v>2.6048889022353473E-3</v>
      </c>
      <c r="Q10" s="81">
        <v>1.0532430372245359E-3</v>
      </c>
      <c r="R10" s="81">
        <v>2.2862199911616202E-3</v>
      </c>
      <c r="S10" s="81">
        <v>2.482848117663263E-3</v>
      </c>
      <c r="T10" s="81">
        <v>9.5167177343454586E-4</v>
      </c>
      <c r="U10" s="81">
        <v>-2.0085609037037578E-4</v>
      </c>
      <c r="V10" s="81">
        <v>-1.3086164039452838E-3</v>
      </c>
      <c r="W10" s="81">
        <v>1.1514797102447306E-3</v>
      </c>
      <c r="X10" s="81">
        <v>5.8517280703776129E-4</v>
      </c>
      <c r="Y10" s="91">
        <v>-2.4850565668988536E-3</v>
      </c>
    </row>
    <row r="11" spans="1:50" ht="14.25" customHeight="1" thickBot="1" x14ac:dyDescent="0.25">
      <c r="A11" s="81" t="s">
        <v>75</v>
      </c>
      <c r="B11" s="81">
        <v>1.3855604906066491E-3</v>
      </c>
      <c r="C11" s="81">
        <v>4.0240114282578711E-2</v>
      </c>
      <c r="D11" s="81">
        <v>1.1088174219002324E-5</v>
      </c>
      <c r="E11" s="81">
        <v>1.8051916987482698E-3</v>
      </c>
      <c r="F11" s="81">
        <v>7.7713716310478782E-4</v>
      </c>
      <c r="G11" s="81">
        <v>4.5394485611149581E-3</v>
      </c>
      <c r="H11" s="81">
        <v>6.7518644262547041E-3</v>
      </c>
      <c r="I11" s="81">
        <v>1.665283982393348E-2</v>
      </c>
      <c r="J11" s="81">
        <v>4.0035933783774558E-3</v>
      </c>
      <c r="K11" s="81">
        <f>VARP('II. Univ Stats'!$L$10:$L$68)</f>
        <v>2.0161591240356509E-2</v>
      </c>
      <c r="L11" s="81">
        <v>6.80583379730384E-3</v>
      </c>
      <c r="M11" s="81">
        <v>7.66496213080125E-3</v>
      </c>
      <c r="N11" s="81">
        <v>3.5140206651673219E-3</v>
      </c>
      <c r="O11" s="81">
        <v>3.2270918824214147E-3</v>
      </c>
      <c r="P11" s="81">
        <v>4.9381014555133218E-3</v>
      </c>
      <c r="Q11" s="81">
        <v>9.947155177707711E-4</v>
      </c>
      <c r="R11" s="81">
        <v>1.0360468361473964E-3</v>
      </c>
      <c r="S11" s="81">
        <v>5.6466558008649035E-3</v>
      </c>
      <c r="T11" s="81">
        <v>-3.9853924627082291E-4</v>
      </c>
      <c r="U11" s="81">
        <v>3.8032565955284157E-3</v>
      </c>
      <c r="V11" s="81">
        <v>-1.4907066905684426E-3</v>
      </c>
      <c r="W11" s="81">
        <v>2.4425647236345992E-3</v>
      </c>
      <c r="X11" s="81">
        <v>1.2044928437200048E-3</v>
      </c>
      <c r="Y11" s="91">
        <v>-1.9482090547417251E-3</v>
      </c>
    </row>
    <row r="12" spans="1:50" ht="14.25" customHeight="1" thickBot="1" x14ac:dyDescent="0.25">
      <c r="A12" s="81" t="s">
        <v>76</v>
      </c>
      <c r="B12" s="81">
        <v>2.4761353497246594E-3</v>
      </c>
      <c r="C12" s="81">
        <v>2.516092457139104E-2</v>
      </c>
      <c r="D12" s="81">
        <v>1.2102485685447221E-3</v>
      </c>
      <c r="E12" s="81">
        <v>2.6805774887259568E-3</v>
      </c>
      <c r="F12" s="81">
        <v>1.7476638424331415E-3</v>
      </c>
      <c r="G12" s="81">
        <v>3.6328688474681083E-3</v>
      </c>
      <c r="H12" s="81">
        <v>5.5625915043137301E-3</v>
      </c>
      <c r="I12" s="81">
        <v>8.1022550464066156E-3</v>
      </c>
      <c r="J12" s="81">
        <v>3.9889531864824232E-3</v>
      </c>
      <c r="K12" s="81">
        <v>6.80583379730384E-3</v>
      </c>
      <c r="L12" s="81">
        <f>VARP('II. Univ Stats'!$M$10:$M$68)</f>
        <v>1.0040554193687228E-2</v>
      </c>
      <c r="M12" s="81">
        <v>4.2345108653765633E-3</v>
      </c>
      <c r="N12" s="81">
        <v>3.8962578281398134E-3</v>
      </c>
      <c r="O12" s="81">
        <v>3.9124103756579204E-3</v>
      </c>
      <c r="P12" s="81">
        <v>4.0492698786428931E-3</v>
      </c>
      <c r="Q12" s="81">
        <v>2.2797356679269752E-3</v>
      </c>
      <c r="R12" s="81">
        <v>2.3426346128736231E-3</v>
      </c>
      <c r="S12" s="81">
        <v>3.5097188556864798E-3</v>
      </c>
      <c r="T12" s="81">
        <v>1.2418622175005593E-3</v>
      </c>
      <c r="U12" s="81">
        <v>2.8529256392572527E-3</v>
      </c>
      <c r="V12" s="81">
        <v>9.9121932752609153E-4</v>
      </c>
      <c r="W12" s="81">
        <v>2.8691273459832815E-3</v>
      </c>
      <c r="X12" s="81">
        <v>5.6606355708395211E-4</v>
      </c>
      <c r="Y12" s="91">
        <v>3.3586264027838124E-4</v>
      </c>
    </row>
    <row r="13" spans="1:50" ht="14.25" customHeight="1" thickBot="1" x14ac:dyDescent="0.25">
      <c r="A13" s="81" t="s">
        <v>77</v>
      </c>
      <c r="B13" s="81">
        <v>2.8498702929554216E-3</v>
      </c>
      <c r="C13" s="81">
        <v>-1.3163242943220967E-2</v>
      </c>
      <c r="D13" s="81">
        <v>1.3259074620085639E-3</v>
      </c>
      <c r="E13" s="81">
        <v>2.4186403010360838E-3</v>
      </c>
      <c r="F13" s="81">
        <v>2.092789794260592E-3</v>
      </c>
      <c r="G13" s="81">
        <v>3.2551659108134403E-3</v>
      </c>
      <c r="H13" s="81">
        <v>4.5057986816413615E-3</v>
      </c>
      <c r="I13" s="81">
        <v>1.3116705916542418E-2</v>
      </c>
      <c r="J13" s="81">
        <v>3.3971530270168197E-3</v>
      </c>
      <c r="K13" s="81">
        <v>7.66496213080125E-3</v>
      </c>
      <c r="L13" s="81">
        <v>4.2345108653765633E-3</v>
      </c>
      <c r="M13" s="81">
        <f>VARP('II. Univ Stats'!$N$10:$N$68)</f>
        <v>7.3575569107937541E-3</v>
      </c>
      <c r="N13" s="81">
        <v>2.7859592402651751E-3</v>
      </c>
      <c r="O13" s="81">
        <v>4.063129101529608E-3</v>
      </c>
      <c r="P13" s="81">
        <v>3.8300257357021645E-3</v>
      </c>
      <c r="Q13" s="81">
        <v>6.3582914886433067E-4</v>
      </c>
      <c r="R13" s="81">
        <v>2.0792050273433504E-3</v>
      </c>
      <c r="S13" s="81">
        <v>3.8798511333281304E-3</v>
      </c>
      <c r="T13" s="81">
        <v>7.5670896838148929E-4</v>
      </c>
      <c r="U13" s="81">
        <v>6.6278435618921802E-4</v>
      </c>
      <c r="V13" s="81">
        <v>7.9130127041405758E-4</v>
      </c>
      <c r="W13" s="81">
        <v>1.9144376173948535E-3</v>
      </c>
      <c r="X13" s="81">
        <v>4.7164919865148132E-4</v>
      </c>
      <c r="Y13" s="91">
        <v>-2.1654703668556184E-3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6"/>
    </row>
    <row r="14" spans="1:50" ht="14.25" customHeight="1" thickBot="1" x14ac:dyDescent="0.25">
      <c r="A14" s="81" t="s">
        <v>78</v>
      </c>
      <c r="B14" s="81">
        <v>1.7531892033197001E-3</v>
      </c>
      <c r="C14" s="81">
        <v>2.1679593261900074E-3</v>
      </c>
      <c r="D14" s="81">
        <v>1.0809817665393467E-3</v>
      </c>
      <c r="E14" s="81">
        <v>1.9351636273857698E-3</v>
      </c>
      <c r="F14" s="81">
        <v>1.4521238466857511E-3</v>
      </c>
      <c r="G14" s="81">
        <v>2.1197213624485236E-3</v>
      </c>
      <c r="H14" s="81">
        <v>3.0755488171164231E-3</v>
      </c>
      <c r="I14" s="81">
        <v>4.7934496119990044E-3</v>
      </c>
      <c r="J14" s="81">
        <v>2.922592040194827E-3</v>
      </c>
      <c r="K14" s="81">
        <v>3.5140206651673219E-3</v>
      </c>
      <c r="L14" s="81">
        <v>3.8962578281398134E-3</v>
      </c>
      <c r="M14" s="81">
        <v>2.7859592402651751E-3</v>
      </c>
      <c r="N14" s="81">
        <f>VARP('II. Univ Stats'!$O$10:$O$68)</f>
        <v>5.268220539480061E-3</v>
      </c>
      <c r="O14" s="81">
        <v>2.6112770835411258E-3</v>
      </c>
      <c r="P14" s="81">
        <v>2.9264796497282457E-3</v>
      </c>
      <c r="Q14" s="81">
        <v>1.0281132706836801E-3</v>
      </c>
      <c r="R14" s="81">
        <v>1.9302443565934124E-3</v>
      </c>
      <c r="S14" s="81">
        <v>1.8038380475694294E-3</v>
      </c>
      <c r="T14" s="81">
        <v>1.2646671169943208E-3</v>
      </c>
      <c r="U14" s="81">
        <v>1.4702347735730727E-3</v>
      </c>
      <c r="V14" s="81">
        <v>-1.6024541875065707E-3</v>
      </c>
      <c r="W14" s="81">
        <v>7.5993725300022431E-4</v>
      </c>
      <c r="X14" s="81">
        <v>-1.2319010035539814E-4</v>
      </c>
      <c r="Y14" s="91">
        <v>4.1553048747830256E-5</v>
      </c>
    </row>
    <row r="15" spans="1:50" ht="14.25" customHeight="1" thickBot="1" x14ac:dyDescent="0.25">
      <c r="A15" s="81" t="s">
        <v>42</v>
      </c>
      <c r="B15" s="81">
        <v>4.4158689580923163E-3</v>
      </c>
      <c r="C15" s="81">
        <v>-3.8852744215488824E-3</v>
      </c>
      <c r="D15" s="81">
        <v>2.1539795700802784E-3</v>
      </c>
      <c r="E15" s="81">
        <v>3.4801541389956115E-3</v>
      </c>
      <c r="F15" s="81">
        <v>2.5450911825213251E-3</v>
      </c>
      <c r="G15" s="81">
        <v>4.3801753453744747E-3</v>
      </c>
      <c r="H15" s="81">
        <v>4.2068202736043059E-3</v>
      </c>
      <c r="I15" s="81">
        <v>6.4402163308070358E-3</v>
      </c>
      <c r="J15" s="81">
        <v>4.5531437610720491E-3</v>
      </c>
      <c r="K15" s="81">
        <v>3.2270918824214147E-3</v>
      </c>
      <c r="L15" s="81">
        <v>3.9124103756579204E-3</v>
      </c>
      <c r="M15" s="81">
        <v>4.063129101529608E-3</v>
      </c>
      <c r="N15" s="81">
        <v>2.6112770835411258E-3</v>
      </c>
      <c r="O15" s="81">
        <f>VARP('II. Univ Stats'!$P$10:$P$68)</f>
        <v>1.203440518790818E-2</v>
      </c>
      <c r="P15" s="81">
        <v>4.8137914433491287E-3</v>
      </c>
      <c r="Q15" s="81">
        <v>6.090193901027803E-4</v>
      </c>
      <c r="R15" s="81">
        <v>3.6659744062148111E-3</v>
      </c>
      <c r="S15" s="81">
        <v>2.1477054113158409E-3</v>
      </c>
      <c r="T15" s="81">
        <v>2.8360260629637903E-4</v>
      </c>
      <c r="U15" s="81">
        <v>-1.3572471688187233E-3</v>
      </c>
      <c r="V15" s="81">
        <v>3.6291658770695934E-4</v>
      </c>
      <c r="W15" s="81">
        <v>2.1914666538055527E-3</v>
      </c>
      <c r="X15" s="81">
        <v>4.4031293139414648E-4</v>
      </c>
      <c r="Y15" s="91">
        <v>5.9987062631701048E-4</v>
      </c>
    </row>
    <row r="16" spans="1:50" ht="14.25" customHeight="1" thickBot="1" x14ac:dyDescent="0.25">
      <c r="A16" s="81" t="s">
        <v>79</v>
      </c>
      <c r="B16" s="81">
        <v>3.1905209992826099E-3</v>
      </c>
      <c r="C16" s="81">
        <v>1.8261355802520526E-2</v>
      </c>
      <c r="D16" s="81">
        <v>8.4468784803011726E-4</v>
      </c>
      <c r="E16" s="81">
        <v>1.4349023028418779E-3</v>
      </c>
      <c r="F16" s="81">
        <v>1.3064046950430114E-3</v>
      </c>
      <c r="G16" s="81">
        <v>2.9397415322490452E-3</v>
      </c>
      <c r="H16" s="81">
        <v>3.0812578965488855E-3</v>
      </c>
      <c r="I16" s="81">
        <v>6.9980677565078678E-3</v>
      </c>
      <c r="J16" s="81">
        <v>2.6048889022353473E-3</v>
      </c>
      <c r="K16" s="81">
        <v>4.9381014555133218E-3</v>
      </c>
      <c r="L16" s="81">
        <v>4.0492698786428931E-3</v>
      </c>
      <c r="M16" s="81">
        <v>3.8300257357021645E-3</v>
      </c>
      <c r="N16" s="81">
        <v>2.9264796497282457E-3</v>
      </c>
      <c r="O16" s="81">
        <v>4.8137914433491287E-3</v>
      </c>
      <c r="P16" s="81">
        <f>VARP('II. Univ Stats'!$Q$10:$Q$68)</f>
        <v>7.7368939443033065E-3</v>
      </c>
      <c r="Q16" s="81">
        <v>1.4075296611918535E-3</v>
      </c>
      <c r="R16" s="81">
        <v>2.3805285173433108E-3</v>
      </c>
      <c r="S16" s="81">
        <v>1.6751499460946598E-3</v>
      </c>
      <c r="T16" s="81">
        <v>1.8338425217521816E-4</v>
      </c>
      <c r="U16" s="81">
        <v>7.1201030846533759E-4</v>
      </c>
      <c r="V16" s="81">
        <v>3.588503598721243E-3</v>
      </c>
      <c r="W16" s="81">
        <v>2.056488845768055E-3</v>
      </c>
      <c r="X16" s="81">
        <v>-1.7581468929191365E-5</v>
      </c>
      <c r="Y16" s="91">
        <v>-4.8926137616260611E-4</v>
      </c>
    </row>
    <row r="17" spans="1:25" ht="14.25" customHeight="1" thickBot="1" x14ac:dyDescent="0.25">
      <c r="A17" s="81" t="s">
        <v>80</v>
      </c>
      <c r="B17" s="81">
        <v>1.2913615447340987E-3</v>
      </c>
      <c r="C17" s="81">
        <v>2.2058019649826191E-2</v>
      </c>
      <c r="D17" s="81">
        <v>7.4757463273502928E-4</v>
      </c>
      <c r="E17" s="81">
        <v>5.2863421877960852E-4</v>
      </c>
      <c r="F17" s="81">
        <v>6.924191612458654E-4</v>
      </c>
      <c r="G17" s="81">
        <v>6.7066800266609751E-4</v>
      </c>
      <c r="H17" s="81">
        <v>8.7832853205583282E-4</v>
      </c>
      <c r="I17" s="81">
        <v>-2.0916726263992846E-3</v>
      </c>
      <c r="J17" s="81">
        <v>1.0532430372245359E-3</v>
      </c>
      <c r="K17" s="81">
        <v>9.947155177707711E-4</v>
      </c>
      <c r="L17" s="81">
        <v>2.2797356679269752E-3</v>
      </c>
      <c r="M17" s="81">
        <v>6.3582914886433067E-4</v>
      </c>
      <c r="N17" s="81">
        <v>1.0281132706836801E-3</v>
      </c>
      <c r="O17" s="81">
        <v>6.090193901027803E-4</v>
      </c>
      <c r="P17" s="81">
        <v>1.4075296611918535E-3</v>
      </c>
      <c r="Q17" s="81">
        <f>VARP('II. Univ Stats'!$R$10:$R$68)</f>
        <v>4.7147260036233532E-3</v>
      </c>
      <c r="R17" s="81">
        <v>2.0604487847657943E-3</v>
      </c>
      <c r="S17" s="81">
        <v>5.6673651668815686E-4</v>
      </c>
      <c r="T17" s="81">
        <v>1.2439121593419702E-3</v>
      </c>
      <c r="U17" s="81">
        <v>2.3460614790826919E-3</v>
      </c>
      <c r="V17" s="81">
        <v>-1.4879362693226021E-4</v>
      </c>
      <c r="W17" s="81">
        <v>4.6331210708438396E-4</v>
      </c>
      <c r="X17" s="81">
        <v>1.0293125066760526E-3</v>
      </c>
      <c r="Y17" s="91">
        <v>2.4431839166119398E-3</v>
      </c>
    </row>
    <row r="18" spans="1:25" ht="14.25" customHeight="1" thickBot="1" x14ac:dyDescent="0.25">
      <c r="A18" s="81" t="s">
        <v>81</v>
      </c>
      <c r="B18" s="81">
        <v>1.7077955358438251E-3</v>
      </c>
      <c r="C18" s="81">
        <v>1.293776527029878E-2</v>
      </c>
      <c r="D18" s="81">
        <v>1.9652051770192918E-3</v>
      </c>
      <c r="E18" s="81">
        <v>2.4583341762454184E-3</v>
      </c>
      <c r="F18" s="81">
        <v>1.644907605192194E-3</v>
      </c>
      <c r="G18" s="81">
        <v>1.5874802039309065E-3</v>
      </c>
      <c r="H18" s="81">
        <v>2.3320830286907698E-3</v>
      </c>
      <c r="I18" s="81">
        <v>1.5350034492400909E-3</v>
      </c>
      <c r="J18" s="81">
        <v>2.2862199911616202E-3</v>
      </c>
      <c r="K18" s="81">
        <v>1.0360468361473964E-3</v>
      </c>
      <c r="L18" s="81">
        <v>2.3426346128736231E-3</v>
      </c>
      <c r="M18" s="81">
        <v>2.0792050273433504E-3</v>
      </c>
      <c r="N18" s="81">
        <v>1.9302443565934124E-3</v>
      </c>
      <c r="O18" s="81">
        <v>3.6659744062148111E-3</v>
      </c>
      <c r="P18" s="81">
        <v>2.3805285173433108E-3</v>
      </c>
      <c r="Q18" s="81">
        <v>2.0604487847657943E-3</v>
      </c>
      <c r="R18" s="81">
        <f>VARP('II. Univ Stats'!$S$10:$S$68)</f>
        <v>4.8241919948042054E-3</v>
      </c>
      <c r="S18" s="81">
        <v>9.1426808265834391E-4</v>
      </c>
      <c r="T18" s="81">
        <v>1.6852459366745491E-3</v>
      </c>
      <c r="U18" s="81">
        <v>-2.0342824377359768E-4</v>
      </c>
      <c r="V18" s="81">
        <v>-2.9195254660947757E-4</v>
      </c>
      <c r="W18" s="81">
        <v>1.4205872856401789E-3</v>
      </c>
      <c r="X18" s="81">
        <v>2.8091853038726417E-4</v>
      </c>
      <c r="Y18" s="91">
        <v>1.0317962365577313E-3</v>
      </c>
    </row>
    <row r="19" spans="1:25" ht="14.25" customHeight="1" thickBot="1" x14ac:dyDescent="0.25">
      <c r="A19" s="81" t="s">
        <v>82</v>
      </c>
      <c r="B19" s="81">
        <v>1.0649520097911654E-3</v>
      </c>
      <c r="C19" s="81">
        <v>1.5200790575896864E-2</v>
      </c>
      <c r="D19" s="81">
        <v>1.0320488036992307E-3</v>
      </c>
      <c r="E19" s="81">
        <v>1.477464491742985E-3</v>
      </c>
      <c r="F19" s="81">
        <v>1.341938664637003E-3</v>
      </c>
      <c r="G19" s="81">
        <v>2.3216279812228011E-3</v>
      </c>
      <c r="H19" s="81">
        <v>3.5477316230700844E-3</v>
      </c>
      <c r="I19" s="81">
        <v>7.3260065703060788E-3</v>
      </c>
      <c r="J19" s="81">
        <v>2.482848117663263E-3</v>
      </c>
      <c r="K19" s="81">
        <v>5.6466558008649035E-3</v>
      </c>
      <c r="L19" s="81">
        <v>3.5097188556864798E-3</v>
      </c>
      <c r="M19" s="81">
        <v>3.8798511333281304E-3</v>
      </c>
      <c r="N19" s="81">
        <v>1.8038380475694294E-3</v>
      </c>
      <c r="O19" s="81">
        <v>2.1477054113158409E-3</v>
      </c>
      <c r="P19" s="81">
        <v>1.6751499460946598E-3</v>
      </c>
      <c r="Q19" s="81">
        <v>5.6673651668815686E-4</v>
      </c>
      <c r="R19" s="81">
        <v>9.1426808265834391E-4</v>
      </c>
      <c r="S19" s="81">
        <f>VARP('II. Univ Stats'!$T$10:$T$68)</f>
        <v>3.8546407073385132E-3</v>
      </c>
      <c r="T19" s="81">
        <v>5.7322879270804564E-4</v>
      </c>
      <c r="U19" s="81">
        <v>2.6397161378001959E-4</v>
      </c>
      <c r="V19" s="81">
        <v>1.5075735824302819E-4</v>
      </c>
      <c r="W19" s="81">
        <v>1.2514122803228614E-3</v>
      </c>
      <c r="X19" s="81">
        <v>6.6733635890169703E-4</v>
      </c>
      <c r="Y19" s="91">
        <v>-1.6331900686120272E-3</v>
      </c>
    </row>
    <row r="20" spans="1:25" ht="14.25" customHeight="1" thickBot="1" x14ac:dyDescent="0.25">
      <c r="A20" s="81" t="s">
        <v>83</v>
      </c>
      <c r="B20" s="81">
        <v>1.0137114956737241E-3</v>
      </c>
      <c r="C20" s="81">
        <v>7.6289695492050402E-3</v>
      </c>
      <c r="D20" s="81">
        <v>1.3802062207536902E-3</v>
      </c>
      <c r="E20" s="81">
        <v>1.1457477665989184E-3</v>
      </c>
      <c r="F20" s="81">
        <v>1.1755931888246191E-3</v>
      </c>
      <c r="G20" s="81">
        <v>9.3082173526519397E-4</v>
      </c>
      <c r="H20" s="81">
        <v>7.0407968379297475E-4</v>
      </c>
      <c r="I20" s="81">
        <v>-1.4415335084718287E-3</v>
      </c>
      <c r="J20" s="81">
        <v>9.5167177343454586E-4</v>
      </c>
      <c r="K20" s="81">
        <v>-3.9853924627082291E-4</v>
      </c>
      <c r="L20" s="81">
        <v>1.2418622175005593E-3</v>
      </c>
      <c r="M20" s="81">
        <v>7.5670896838148929E-4</v>
      </c>
      <c r="N20" s="81">
        <v>1.2646671169943208E-3</v>
      </c>
      <c r="O20" s="81">
        <v>2.8360260629637903E-4</v>
      </c>
      <c r="P20" s="81">
        <v>1.8338425217521816E-4</v>
      </c>
      <c r="Q20" s="81">
        <v>1.2439121593419702E-3</v>
      </c>
      <c r="R20" s="81">
        <v>1.6852459366745491E-3</v>
      </c>
      <c r="S20" s="81">
        <v>5.7322879270804564E-4</v>
      </c>
      <c r="T20" s="81">
        <f>VARP('II. Univ Stats'!$U$10:$U$68)</f>
        <v>2.7054101631528954E-3</v>
      </c>
      <c r="U20" s="81">
        <v>4.2448796776726008E-4</v>
      </c>
      <c r="V20" s="81">
        <v>-6.6857933019600941E-4</v>
      </c>
      <c r="W20" s="81">
        <v>3.1200747900374579E-4</v>
      </c>
      <c r="X20" s="81">
        <v>4.6904536270817959E-4</v>
      </c>
      <c r="Y20" s="91">
        <v>-3.4179186395500973E-4</v>
      </c>
    </row>
    <row r="21" spans="1:25" ht="14.25" customHeight="1" thickBot="1" x14ac:dyDescent="0.25">
      <c r="A21" s="81" t="s">
        <v>49</v>
      </c>
      <c r="B21" s="81">
        <v>6.8139081530699675E-4</v>
      </c>
      <c r="C21" s="81">
        <v>-2.4452462296127094E-3</v>
      </c>
      <c r="D21" s="81">
        <v>-9.8779386487939276E-4</v>
      </c>
      <c r="E21" s="81">
        <v>1.7877026529568586E-4</v>
      </c>
      <c r="F21" s="81">
        <v>-5.1705313869264088E-4</v>
      </c>
      <c r="G21" s="81">
        <v>-2.2175170268507534E-4</v>
      </c>
      <c r="H21" s="81">
        <v>6.3725931659105268E-4</v>
      </c>
      <c r="I21" s="81">
        <v>1.7977410954314317E-3</v>
      </c>
      <c r="J21" s="81">
        <v>-2.0085609037037578E-4</v>
      </c>
      <c r="K21" s="81">
        <v>3.8032565955284157E-3</v>
      </c>
      <c r="L21" s="81">
        <v>2.8529256392572527E-3</v>
      </c>
      <c r="M21" s="81">
        <v>6.6278435618921802E-4</v>
      </c>
      <c r="N21" s="81">
        <v>1.4702347735730727E-3</v>
      </c>
      <c r="O21" s="81">
        <v>-1.3572471688187233E-3</v>
      </c>
      <c r="P21" s="81">
        <v>7.1201030846533759E-4</v>
      </c>
      <c r="Q21" s="81">
        <v>2.3460614790826919E-3</v>
      </c>
      <c r="R21" s="81">
        <v>-2.0342824377359768E-4</v>
      </c>
      <c r="S21" s="81">
        <v>2.6397161378001959E-4</v>
      </c>
      <c r="T21" s="81">
        <v>4.2448796776726008E-4</v>
      </c>
      <c r="U21" s="81">
        <f>VARP('II. Univ Stats'!$V$10:$V$68)</f>
        <v>7.9097549965005936E-3</v>
      </c>
      <c r="V21" s="81">
        <v>-1.0664034322672249E-3</v>
      </c>
      <c r="W21" s="81">
        <v>-9.5698555321653927E-5</v>
      </c>
      <c r="X21" s="81">
        <v>-7.5808790116921895E-4</v>
      </c>
      <c r="Y21" s="91">
        <v>4.0167908869922393E-3</v>
      </c>
    </row>
    <row r="22" spans="1:25" ht="14.25" customHeight="1" thickBot="1" x14ac:dyDescent="0.25">
      <c r="A22" s="81" t="s">
        <v>84</v>
      </c>
      <c r="B22" s="81">
        <v>2.3244680054224751E-3</v>
      </c>
      <c r="C22" s="81">
        <v>7.2417685600509232E-3</v>
      </c>
      <c r="D22" s="81">
        <v>-7.7393882752694937E-4</v>
      </c>
      <c r="E22" s="81">
        <v>-2.6177549341653951E-3</v>
      </c>
      <c r="F22" s="81">
        <v>1.5669048310518478E-4</v>
      </c>
      <c r="G22" s="81">
        <v>-7.5979160917222558E-4</v>
      </c>
      <c r="H22" s="81">
        <v>-2.5020635231432029E-4</v>
      </c>
      <c r="I22" s="81">
        <v>3.010743895597935E-3</v>
      </c>
      <c r="J22" s="81">
        <v>-1.3086164039452838E-3</v>
      </c>
      <c r="K22" s="81">
        <v>-1.4907066905684426E-3</v>
      </c>
      <c r="L22" s="81">
        <v>9.9121932752609153E-4</v>
      </c>
      <c r="M22" s="81">
        <v>7.9130127041405758E-4</v>
      </c>
      <c r="N22" s="81">
        <v>-1.6024541875065707E-3</v>
      </c>
      <c r="O22" s="81">
        <v>3.6291658770695934E-4</v>
      </c>
      <c r="P22" s="81">
        <v>3.588503598721243E-3</v>
      </c>
      <c r="Q22" s="81">
        <v>-1.4879362693226021E-4</v>
      </c>
      <c r="R22" s="81">
        <v>-2.9195254660947757E-4</v>
      </c>
      <c r="S22" s="81">
        <v>1.5075735824302819E-4</v>
      </c>
      <c r="T22" s="81">
        <v>-6.6857933019600941E-4</v>
      </c>
      <c r="U22" s="81">
        <v>-1.0664034322672249E-3</v>
      </c>
      <c r="V22" s="81">
        <f>VARP('II. Univ Stats'!$W$10:$W$68)</f>
        <v>2.6251256509966861E-2</v>
      </c>
      <c r="W22" s="81">
        <v>4.2440564643201825E-4</v>
      </c>
      <c r="X22" s="81">
        <v>-5.0565480645217578E-4</v>
      </c>
      <c r="Y22" s="91">
        <v>-2.8475385106338904E-3</v>
      </c>
    </row>
    <row r="23" spans="1:25" ht="14.25" customHeight="1" thickBot="1" x14ac:dyDescent="0.25">
      <c r="A23" s="81" t="s">
        <v>85</v>
      </c>
      <c r="B23" s="81">
        <v>1.003810894047162E-3</v>
      </c>
      <c r="C23" s="81">
        <v>1.8981843755893634E-2</v>
      </c>
      <c r="D23" s="81">
        <v>5.7132206078097246E-4</v>
      </c>
      <c r="E23" s="81">
        <v>1.0426586717072726E-3</v>
      </c>
      <c r="F23" s="81">
        <v>6.2628548670293541E-4</v>
      </c>
      <c r="G23" s="81">
        <v>1.8638047514591507E-3</v>
      </c>
      <c r="H23" s="81">
        <v>1.9713766274980604E-3</v>
      </c>
      <c r="I23" s="81">
        <v>3.8182894580552598E-3</v>
      </c>
      <c r="J23" s="81">
        <v>1.1514797102447306E-3</v>
      </c>
      <c r="K23" s="81">
        <v>2.4425647236345992E-3</v>
      </c>
      <c r="L23" s="81">
        <v>2.8691273459832815E-3</v>
      </c>
      <c r="M23" s="81">
        <v>1.9144376173948535E-3</v>
      </c>
      <c r="N23" s="81">
        <v>7.5993725300022431E-4</v>
      </c>
      <c r="O23" s="81">
        <v>2.1914666538055527E-3</v>
      </c>
      <c r="P23" s="81">
        <v>2.056488845768055E-3</v>
      </c>
      <c r="Q23" s="81">
        <v>4.6331210708438396E-4</v>
      </c>
      <c r="R23" s="81">
        <v>1.4205872856401789E-3</v>
      </c>
      <c r="S23" s="81">
        <v>1.2514122803228614E-3</v>
      </c>
      <c r="T23" s="81">
        <v>3.1200747900374579E-4</v>
      </c>
      <c r="U23" s="81">
        <v>-9.5698555321653927E-5</v>
      </c>
      <c r="V23" s="81">
        <v>4.2440564643201825E-4</v>
      </c>
      <c r="W23" s="81">
        <f>VARP('II. Univ Stats'!$X$10:$X$68)</f>
        <v>1.9794420732330161E-3</v>
      </c>
      <c r="X23" s="81">
        <v>3.5952423079207643E-4</v>
      </c>
      <c r="Y23" s="91">
        <v>-8.2583903965657921E-4</v>
      </c>
    </row>
    <row r="24" spans="1:25" ht="14.25" customHeight="1" thickBot="1" x14ac:dyDescent="0.25">
      <c r="A24" s="81" t="s">
        <v>86</v>
      </c>
      <c r="B24" s="81">
        <v>2.5859683532660551E-4</v>
      </c>
      <c r="C24" s="81">
        <v>3.3722197652260089E-2</v>
      </c>
      <c r="D24" s="81">
        <v>3.8276986072251218E-4</v>
      </c>
      <c r="E24" s="81">
        <v>1.0723936672608764E-3</v>
      </c>
      <c r="F24" s="81">
        <v>1.4329607382365333E-5</v>
      </c>
      <c r="G24" s="81">
        <v>8.5786261589728405E-4</v>
      </c>
      <c r="H24" s="81">
        <v>5.7795852057262488E-4</v>
      </c>
      <c r="I24" s="81">
        <v>-2.1768593899155274E-4</v>
      </c>
      <c r="J24" s="81">
        <v>5.8517280703776129E-4</v>
      </c>
      <c r="K24" s="81">
        <v>1.2044928437200048E-3</v>
      </c>
      <c r="L24" s="81">
        <v>5.6606355708395211E-4</v>
      </c>
      <c r="M24" s="81">
        <v>4.7164919865148132E-4</v>
      </c>
      <c r="N24" s="81">
        <v>-1.2319010035539814E-4</v>
      </c>
      <c r="O24" s="81">
        <v>4.4031293139414648E-4</v>
      </c>
      <c r="P24" s="81">
        <v>-1.7581468929191365E-5</v>
      </c>
      <c r="Q24" s="81">
        <v>1.0293125066760526E-3</v>
      </c>
      <c r="R24" s="81">
        <v>2.8091853038726417E-4</v>
      </c>
      <c r="S24" s="81">
        <v>6.6733635890169703E-4</v>
      </c>
      <c r="T24" s="81">
        <v>4.6904536270817959E-4</v>
      </c>
      <c r="U24" s="81">
        <v>-7.5808790116921895E-4</v>
      </c>
      <c r="V24" s="81">
        <v>-5.0565480645217578E-4</v>
      </c>
      <c r="W24" s="81">
        <v>3.5952423079207643E-4</v>
      </c>
      <c r="X24" s="81">
        <f>VARP('II. Univ Stats'!$Y$10:$Y$68)</f>
        <v>3.7702057975200522E-3</v>
      </c>
      <c r="Y24" s="91">
        <v>-5.3563423500553232E-5</v>
      </c>
    </row>
    <row r="25" spans="1:25" ht="14.25" customHeight="1" thickBot="1" x14ac:dyDescent="0.25">
      <c r="A25" s="91" t="s">
        <v>115</v>
      </c>
      <c r="B25" s="91">
        <v>-3.4808681219236106E-4</v>
      </c>
      <c r="C25" s="91">
        <v>5.371130100714646E-2</v>
      </c>
      <c r="D25" s="91">
        <v>-4.5352437369686774E-4</v>
      </c>
      <c r="E25" s="91">
        <v>1.0059475652121317E-3</v>
      </c>
      <c r="F25" s="91">
        <v>-4.0372436309795307E-4</v>
      </c>
      <c r="G25" s="91">
        <v>-1.1272572773468521E-3</v>
      </c>
      <c r="H25" s="91">
        <v>-1.3753024207298129E-3</v>
      </c>
      <c r="I25" s="91">
        <v>-8.1162715325931931E-3</v>
      </c>
      <c r="J25" s="91">
        <v>-2.4850565668988536E-3</v>
      </c>
      <c r="K25" s="91">
        <v>-1.9482090547417251E-3</v>
      </c>
      <c r="L25" s="91">
        <v>3.3586264027838124E-4</v>
      </c>
      <c r="M25" s="91">
        <v>-2.1654703668556184E-3</v>
      </c>
      <c r="N25" s="91">
        <v>4.1553048747830256E-5</v>
      </c>
      <c r="O25" s="91">
        <v>5.9987062631701048E-4</v>
      </c>
      <c r="P25" s="91">
        <v>-4.8926137616260611E-4</v>
      </c>
      <c r="Q25" s="91">
        <v>2.4431839166119398E-3</v>
      </c>
      <c r="R25" s="91">
        <v>1.0317962365577313E-3</v>
      </c>
      <c r="S25" s="91">
        <v>-1.6331900686120272E-3</v>
      </c>
      <c r="T25" s="91">
        <v>-3.4179186395500973E-4</v>
      </c>
      <c r="U25" s="91">
        <v>4.0167908869922393E-3</v>
      </c>
      <c r="V25" s="91">
        <v>-2.8475385106338904E-3</v>
      </c>
      <c r="W25" s="91">
        <v>-8.2583903965657921E-4</v>
      </c>
      <c r="X25" s="91">
        <v>-5.3563423500553232E-5</v>
      </c>
      <c r="Y25" s="91">
        <f>VARP('II. Univ Stats'!$Z$10:$Z$68)</f>
        <v>2.7125590921867514E-2</v>
      </c>
    </row>
    <row r="26" spans="1:25" ht="14.25" customHeight="1" x14ac:dyDescent="0.2"/>
    <row r="27" spans="1:25" ht="14.25" customHeight="1" x14ac:dyDescent="0.2"/>
    <row r="28" spans="1:25" ht="14.25" customHeight="1" x14ac:dyDescent="0.2"/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11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workbookViewId="0">
      <selection sqref="A1:Y25"/>
    </sheetView>
  </sheetViews>
  <sheetFormatPr baseColWidth="10" defaultColWidth="14.5" defaultRowHeight="15" customHeight="1" x14ac:dyDescent="0.2"/>
  <cols>
    <col min="1" max="26" width="10.6640625" customWidth="1"/>
  </cols>
  <sheetData>
    <row r="1" spans="1:25" ht="14.25" customHeight="1" x14ac:dyDescent="0.2">
      <c r="A1" s="128"/>
      <c r="B1" s="128" t="s">
        <v>114</v>
      </c>
      <c r="C1" s="128" t="s">
        <v>68</v>
      </c>
      <c r="D1" s="128" t="s">
        <v>69</v>
      </c>
      <c r="E1" s="128" t="s">
        <v>22</v>
      </c>
      <c r="F1" s="128" t="s">
        <v>70</v>
      </c>
      <c r="G1" s="128" t="s">
        <v>71</v>
      </c>
      <c r="H1" s="128" t="s">
        <v>72</v>
      </c>
      <c r="I1" s="128" t="s">
        <v>73</v>
      </c>
      <c r="J1" s="128" t="s">
        <v>74</v>
      </c>
      <c r="K1" s="128" t="s">
        <v>75</v>
      </c>
      <c r="L1" s="128" t="s">
        <v>76</v>
      </c>
      <c r="M1" s="128" t="s">
        <v>77</v>
      </c>
      <c r="N1" s="128" t="s">
        <v>78</v>
      </c>
      <c r="O1" s="128" t="s">
        <v>42</v>
      </c>
      <c r="P1" s="128" t="s">
        <v>79</v>
      </c>
      <c r="Q1" s="128" t="s">
        <v>80</v>
      </c>
      <c r="R1" s="128" t="s">
        <v>81</v>
      </c>
      <c r="S1" s="128" t="s">
        <v>82</v>
      </c>
      <c r="T1" s="128" t="s">
        <v>83</v>
      </c>
      <c r="U1" s="128" t="s">
        <v>49</v>
      </c>
      <c r="V1" s="128" t="s">
        <v>84</v>
      </c>
      <c r="W1" s="128" t="s">
        <v>85</v>
      </c>
      <c r="X1" s="128" t="s">
        <v>86</v>
      </c>
      <c r="Y1" s="128" t="s">
        <v>115</v>
      </c>
    </row>
    <row r="2" spans="1:25" ht="14.25" customHeight="1" x14ac:dyDescent="0.2">
      <c r="A2" s="81" t="s">
        <v>114</v>
      </c>
      <c r="B2" s="81">
        <v>1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3" spans="1:25" ht="14.25" customHeight="1" x14ac:dyDescent="0.2">
      <c r="A3" s="81" t="s">
        <v>68</v>
      </c>
      <c r="B3" s="81">
        <v>-6.5564013740887852E-4</v>
      </c>
      <c r="C3" s="81">
        <v>1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</row>
    <row r="4" spans="1:25" ht="14.25" customHeight="1" x14ac:dyDescent="0.2">
      <c r="A4" s="81" t="s">
        <v>69</v>
      </c>
      <c r="B4" s="81">
        <v>0.33493967274491748</v>
      </c>
      <c r="C4" s="81">
        <v>0.13679409943434381</v>
      </c>
      <c r="D4" s="81">
        <v>1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4.25" customHeight="1" x14ac:dyDescent="0.2">
      <c r="A5" s="81" t="s">
        <v>22</v>
      </c>
      <c r="B5" s="81">
        <v>0.25933773541980915</v>
      </c>
      <c r="C5" s="81">
        <v>0.1456839987004169</v>
      </c>
      <c r="D5" s="81">
        <v>0.51127362052896863</v>
      </c>
      <c r="E5" s="81">
        <v>1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</row>
    <row r="6" spans="1:25" ht="14.25" customHeight="1" x14ac:dyDescent="0.2">
      <c r="A6" s="81" t="s">
        <v>70</v>
      </c>
      <c r="B6" s="81">
        <v>0.505327927013414</v>
      </c>
      <c r="C6" s="81">
        <v>2.967697292064141E-2</v>
      </c>
      <c r="D6" s="81">
        <v>0.677525812338024</v>
      </c>
      <c r="E6" s="81">
        <v>0.42057969394939326</v>
      </c>
      <c r="F6" s="81">
        <v>1</v>
      </c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</row>
    <row r="7" spans="1:25" ht="14.25" customHeight="1" x14ac:dyDescent="0.2">
      <c r="A7" s="81" t="s">
        <v>71</v>
      </c>
      <c r="B7" s="81">
        <v>0.37624225553279084</v>
      </c>
      <c r="C7" s="81">
        <v>0.25351191321116623</v>
      </c>
      <c r="D7" s="81">
        <v>0.38195788730771757</v>
      </c>
      <c r="E7" s="81">
        <v>0.43264080962420309</v>
      </c>
      <c r="F7" s="81">
        <v>0.49721259768268944</v>
      </c>
      <c r="G7" s="81">
        <v>1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</row>
    <row r="8" spans="1:25" ht="14.25" customHeight="1" x14ac:dyDescent="0.2">
      <c r="A8" s="81" t="s">
        <v>72</v>
      </c>
      <c r="B8" s="81">
        <v>0.38113688451156746</v>
      </c>
      <c r="C8" s="81">
        <v>0.18162730136997027</v>
      </c>
      <c r="D8" s="81">
        <v>0.41979401981520803</v>
      </c>
      <c r="E8" s="81">
        <v>0.51149086446437042</v>
      </c>
      <c r="F8" s="81">
        <v>0.57217952338752742</v>
      </c>
      <c r="G8" s="81">
        <v>0.73196979308411281</v>
      </c>
      <c r="H8" s="81">
        <v>1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</row>
    <row r="9" spans="1:25" ht="14.25" customHeight="1" x14ac:dyDescent="0.2">
      <c r="A9" s="81" t="s">
        <v>73</v>
      </c>
      <c r="B9" s="81">
        <v>0.15933960865028343</v>
      </c>
      <c r="C9" s="81">
        <v>-0.12313086534300528</v>
      </c>
      <c r="D9" s="81">
        <v>1.7417165968573633E-2</v>
      </c>
      <c r="E9" s="81">
        <v>0.21218554957572822</v>
      </c>
      <c r="F9" s="81">
        <v>0.23762281996853754</v>
      </c>
      <c r="G9" s="81">
        <v>0.34978255817761866</v>
      </c>
      <c r="H9" s="81">
        <v>0.47937900465214012</v>
      </c>
      <c r="I9" s="81">
        <v>1</v>
      </c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</row>
    <row r="10" spans="1:25" ht="14.25" customHeight="1" x14ac:dyDescent="0.2">
      <c r="A10" s="81" t="s">
        <v>74</v>
      </c>
      <c r="B10" s="81">
        <v>0.31446326566635752</v>
      </c>
      <c r="C10" s="81">
        <v>-9.5171512975029002E-2</v>
      </c>
      <c r="D10" s="81">
        <v>0.50134425626524071</v>
      </c>
      <c r="E10" s="81">
        <v>0.50675552453881256</v>
      </c>
      <c r="F10" s="81">
        <v>0.61051199288796265</v>
      </c>
      <c r="G10" s="81">
        <v>0.58734277788733436</v>
      </c>
      <c r="H10" s="81">
        <v>0.71179965732749906</v>
      </c>
      <c r="I10" s="81">
        <v>0.41998149934605389</v>
      </c>
      <c r="J10" s="81">
        <v>1</v>
      </c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 spans="1:25" ht="14.25" customHeight="1" x14ac:dyDescent="0.2">
      <c r="A11" s="81" t="s">
        <v>75</v>
      </c>
      <c r="B11" s="81">
        <v>0.13238472967303988</v>
      </c>
      <c r="C11" s="81">
        <v>0.18686873276852298</v>
      </c>
      <c r="D11" s="81">
        <v>1.6920701860156017E-3</v>
      </c>
      <c r="E11" s="81">
        <v>0.1807371269454856</v>
      </c>
      <c r="F11" s="81">
        <v>0.11712004485372074</v>
      </c>
      <c r="G11" s="81">
        <v>0.46660867557460201</v>
      </c>
      <c r="H11" s="81">
        <v>0.61503363300442171</v>
      </c>
      <c r="I11" s="81">
        <v>0.53123083859784703</v>
      </c>
      <c r="J11" s="81">
        <v>0.38320178139457817</v>
      </c>
      <c r="K11" s="81">
        <v>1</v>
      </c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</row>
    <row r="12" spans="1:25" ht="14.25" customHeight="1" x14ac:dyDescent="0.2">
      <c r="A12" s="81" t="s">
        <v>76</v>
      </c>
      <c r="B12" s="81">
        <v>0.33525120134765818</v>
      </c>
      <c r="C12" s="81">
        <v>0.16557226553095797</v>
      </c>
      <c r="D12" s="81">
        <v>0.26170768176255294</v>
      </c>
      <c r="E12" s="81">
        <v>0.38030844836820238</v>
      </c>
      <c r="F12" s="81">
        <v>0.37322868447269025</v>
      </c>
      <c r="G12" s="81">
        <v>0.52915510452464998</v>
      </c>
      <c r="H12" s="81">
        <v>0.71801890825995918</v>
      </c>
      <c r="I12" s="81">
        <v>0.36625574367016123</v>
      </c>
      <c r="J12" s="81">
        <v>0.54102839264350233</v>
      </c>
      <c r="K12" s="81">
        <v>0.47834373921656559</v>
      </c>
      <c r="L12" s="81">
        <v>1</v>
      </c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</row>
    <row r="13" spans="1:25" ht="14.25" customHeight="1" x14ac:dyDescent="0.2">
      <c r="A13" s="81" t="s">
        <v>77</v>
      </c>
      <c r="B13" s="81">
        <v>0.45074724821830253</v>
      </c>
      <c r="C13" s="81">
        <v>-0.10118960941221136</v>
      </c>
      <c r="D13" s="81">
        <v>0.33494009165016964</v>
      </c>
      <c r="E13" s="81">
        <v>0.40085833608082461</v>
      </c>
      <c r="F13" s="81">
        <v>0.52210126911719046</v>
      </c>
      <c r="G13" s="81">
        <v>0.55388349837638218</v>
      </c>
      <c r="H13" s="81">
        <v>0.67942656558314352</v>
      </c>
      <c r="I13" s="81">
        <v>0.69265239926628219</v>
      </c>
      <c r="J13" s="81">
        <v>0.53825522602123066</v>
      </c>
      <c r="K13" s="81">
        <v>0.62933342100385936</v>
      </c>
      <c r="L13" s="81">
        <v>0.49267167499088005</v>
      </c>
      <c r="M13" s="81">
        <v>1</v>
      </c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</row>
    <row r="14" spans="1:25" ht="14.25" customHeight="1" x14ac:dyDescent="0.2">
      <c r="A14" s="81" t="s">
        <v>78</v>
      </c>
      <c r="B14" s="81">
        <v>0.32769636101799815</v>
      </c>
      <c r="C14" s="81">
        <v>1.9695136458805995E-2</v>
      </c>
      <c r="D14" s="81">
        <v>0.32270606674036262</v>
      </c>
      <c r="E14" s="81">
        <v>0.37902876319734236</v>
      </c>
      <c r="F14" s="81">
        <v>0.42812209206993701</v>
      </c>
      <c r="G14" s="81">
        <v>0.42624462531851942</v>
      </c>
      <c r="H14" s="81">
        <v>0.54806012624844069</v>
      </c>
      <c r="I14" s="81">
        <v>0.29913936628351412</v>
      </c>
      <c r="J14" s="81">
        <v>0.54723791976811964</v>
      </c>
      <c r="K14" s="81">
        <v>0.34096510501523952</v>
      </c>
      <c r="L14" s="81">
        <v>0.53571878099996573</v>
      </c>
      <c r="M14" s="81">
        <v>0.44748241124147187</v>
      </c>
      <c r="N14" s="81">
        <v>1</v>
      </c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</row>
    <row r="15" spans="1:25" ht="14.25" customHeight="1" x14ac:dyDescent="0.2">
      <c r="A15" s="81" t="s">
        <v>42</v>
      </c>
      <c r="B15" s="81">
        <v>0.54610816154602571</v>
      </c>
      <c r="C15" s="81">
        <v>-2.3353351811254464E-2</v>
      </c>
      <c r="D15" s="81">
        <v>0.42545144207493757</v>
      </c>
      <c r="E15" s="81">
        <v>0.45099592119632637</v>
      </c>
      <c r="F15" s="81">
        <v>0.49646311358007406</v>
      </c>
      <c r="G15" s="81">
        <v>0.58276209286853931</v>
      </c>
      <c r="H15" s="81">
        <v>0.49599717000048454</v>
      </c>
      <c r="I15" s="81">
        <v>0.26591664169041246</v>
      </c>
      <c r="J15" s="81">
        <v>0.56407780004982999</v>
      </c>
      <c r="K15" s="81">
        <v>0.20717464974003044</v>
      </c>
      <c r="L15" s="81">
        <v>0.35592069831758116</v>
      </c>
      <c r="M15" s="81">
        <v>0.43179886048129307</v>
      </c>
      <c r="N15" s="81">
        <v>0.32795078058894989</v>
      </c>
      <c r="O15" s="81">
        <v>1</v>
      </c>
      <c r="P15" s="81"/>
      <c r="Q15" s="81"/>
      <c r="R15" s="81"/>
      <c r="S15" s="81"/>
      <c r="T15" s="81"/>
      <c r="U15" s="81"/>
      <c r="V15" s="81"/>
      <c r="W15" s="81"/>
      <c r="X15" s="81"/>
      <c r="Y15" s="81"/>
    </row>
    <row r="16" spans="1:25" ht="14.25" customHeight="1" x14ac:dyDescent="0.2">
      <c r="A16" s="81" t="s">
        <v>79</v>
      </c>
      <c r="B16" s="81">
        <v>0.49209968877793347</v>
      </c>
      <c r="C16" s="81">
        <v>0.13689561408451659</v>
      </c>
      <c r="D16" s="81">
        <v>0.20808159087147074</v>
      </c>
      <c r="E16" s="81">
        <v>0.23191319553844469</v>
      </c>
      <c r="F16" s="81">
        <v>0.31782669063983898</v>
      </c>
      <c r="G16" s="81">
        <v>0.48779566792495077</v>
      </c>
      <c r="H16" s="81">
        <v>0.45308771090840616</v>
      </c>
      <c r="I16" s="81">
        <v>0.36037296056761836</v>
      </c>
      <c r="J16" s="81">
        <v>0.40248142638650181</v>
      </c>
      <c r="K16" s="81">
        <v>0.39537962380796599</v>
      </c>
      <c r="L16" s="81">
        <v>0.45942493099192738</v>
      </c>
      <c r="M16" s="81">
        <v>0.50763499707699722</v>
      </c>
      <c r="N16" s="81">
        <v>0.45838480524632957</v>
      </c>
      <c r="O16" s="81">
        <v>0.49887487723154783</v>
      </c>
      <c r="P16" s="81">
        <v>1</v>
      </c>
      <c r="Q16" s="81"/>
      <c r="R16" s="81"/>
      <c r="S16" s="81"/>
      <c r="T16" s="81"/>
      <c r="U16" s="81"/>
      <c r="V16" s="81"/>
      <c r="W16" s="81"/>
      <c r="X16" s="81"/>
      <c r="Y16" s="81"/>
    </row>
    <row r="17" spans="1:25" ht="14.25" customHeight="1" x14ac:dyDescent="0.2">
      <c r="A17" s="81" t="s">
        <v>80</v>
      </c>
      <c r="B17" s="81">
        <v>0.25514932568108845</v>
      </c>
      <c r="C17" s="81">
        <v>0.21182544511306187</v>
      </c>
      <c r="D17" s="81">
        <v>0.23591038635057485</v>
      </c>
      <c r="E17" s="81">
        <v>0.10944942688342485</v>
      </c>
      <c r="F17" s="81">
        <v>0.21579272701878568</v>
      </c>
      <c r="G17" s="81">
        <v>0.1425579594199583</v>
      </c>
      <c r="H17" s="81">
        <v>0.16544982671196565</v>
      </c>
      <c r="I17" s="81">
        <v>-0.13798213479363194</v>
      </c>
      <c r="J17" s="81">
        <v>0.20846844511865306</v>
      </c>
      <c r="K17" s="81">
        <v>0.10202538937794559</v>
      </c>
      <c r="L17" s="81">
        <v>0.33134271188353026</v>
      </c>
      <c r="M17" s="81">
        <v>0.10795565316207263</v>
      </c>
      <c r="N17" s="81">
        <v>0.20629122841018158</v>
      </c>
      <c r="O17" s="81">
        <v>8.0851964339651916E-2</v>
      </c>
      <c r="P17" s="81">
        <v>0.23304833494012681</v>
      </c>
      <c r="Q17" s="81">
        <v>1</v>
      </c>
      <c r="R17" s="81"/>
      <c r="S17" s="81"/>
      <c r="T17" s="81"/>
      <c r="U17" s="81"/>
      <c r="V17" s="81"/>
      <c r="W17" s="81"/>
      <c r="X17" s="81"/>
      <c r="Y17" s="81"/>
    </row>
    <row r="18" spans="1:25" ht="14.25" customHeight="1" x14ac:dyDescent="0.2">
      <c r="A18" s="81" t="s">
        <v>81</v>
      </c>
      <c r="B18" s="81">
        <v>0.33357875769526341</v>
      </c>
      <c r="C18" s="81">
        <v>0.12282501148986763</v>
      </c>
      <c r="D18" s="81">
        <v>0.61307886228843589</v>
      </c>
      <c r="E18" s="81">
        <v>0.5031703900430925</v>
      </c>
      <c r="F18" s="81">
        <v>0.50678665688103697</v>
      </c>
      <c r="G18" s="81">
        <v>0.3335862484687665</v>
      </c>
      <c r="H18" s="81">
        <v>0.43427944268756852</v>
      </c>
      <c r="I18" s="81">
        <v>0.10010469350077859</v>
      </c>
      <c r="J18" s="81">
        <v>0.44734819149420796</v>
      </c>
      <c r="K18" s="81">
        <v>0.10505208931157005</v>
      </c>
      <c r="L18" s="81">
        <v>0.33659946522596124</v>
      </c>
      <c r="M18" s="81">
        <v>0.348994200256111</v>
      </c>
      <c r="N18" s="81">
        <v>0.38288471197520219</v>
      </c>
      <c r="O18" s="81">
        <v>0.48113264170061315</v>
      </c>
      <c r="P18" s="81">
        <v>0.38965277611852467</v>
      </c>
      <c r="Q18" s="81">
        <v>0.43203735917824648</v>
      </c>
      <c r="R18" s="81">
        <v>1</v>
      </c>
      <c r="S18" s="81"/>
      <c r="T18" s="81"/>
      <c r="U18" s="81"/>
      <c r="V18" s="81"/>
      <c r="W18" s="81"/>
      <c r="X18" s="81"/>
      <c r="Y18" s="81"/>
    </row>
    <row r="19" spans="1:25" ht="14.25" customHeight="1" x14ac:dyDescent="0.2">
      <c r="A19" s="81" t="s">
        <v>82</v>
      </c>
      <c r="B19" s="81">
        <v>0.23270884495289804</v>
      </c>
      <c r="C19" s="81">
        <v>0.16144108279327424</v>
      </c>
      <c r="D19" s="81">
        <v>0.36018781613523893</v>
      </c>
      <c r="E19" s="81">
        <v>0.33830744074203351</v>
      </c>
      <c r="F19" s="81">
        <v>0.46252655254255204</v>
      </c>
      <c r="G19" s="81">
        <v>0.54577393454651413</v>
      </c>
      <c r="H19" s="81">
        <v>0.73908835999490385</v>
      </c>
      <c r="I19" s="81">
        <v>0.53448156262579671</v>
      </c>
      <c r="J19" s="81">
        <v>0.54349826430540005</v>
      </c>
      <c r="K19" s="81">
        <v>0.64052629185446841</v>
      </c>
      <c r="L19" s="81">
        <v>0.56415901825988213</v>
      </c>
      <c r="M19" s="81">
        <v>0.7285448551195195</v>
      </c>
      <c r="N19" s="81">
        <v>0.40028896490270877</v>
      </c>
      <c r="O19" s="81">
        <v>0.31533374217974564</v>
      </c>
      <c r="P19" s="81">
        <v>0.30674565102415757</v>
      </c>
      <c r="Q19" s="81">
        <v>0.13294163491403796</v>
      </c>
      <c r="R19" s="81">
        <v>0.21201633122108815</v>
      </c>
      <c r="S19" s="81">
        <v>1</v>
      </c>
      <c r="T19" s="81"/>
      <c r="U19" s="81"/>
      <c r="V19" s="81"/>
      <c r="W19" s="81"/>
      <c r="X19" s="81"/>
      <c r="Y19" s="81"/>
    </row>
    <row r="20" spans="1:25" ht="14.25" customHeight="1" x14ac:dyDescent="0.2">
      <c r="A20" s="81" t="s">
        <v>83</v>
      </c>
      <c r="B20" s="81">
        <v>0.26440679854803573</v>
      </c>
      <c r="C20" s="81">
        <v>9.6713958793997551E-2</v>
      </c>
      <c r="D20" s="81">
        <v>0.57497393435255517</v>
      </c>
      <c r="E20" s="81">
        <v>0.31315468262232765</v>
      </c>
      <c r="F20" s="81">
        <v>0.48365586410157962</v>
      </c>
      <c r="G20" s="81">
        <v>0.26119332259800859</v>
      </c>
      <c r="H20" s="81">
        <v>0.17508252833526344</v>
      </c>
      <c r="I20" s="81">
        <v>-0.12553521185404398</v>
      </c>
      <c r="J20" s="81">
        <v>0.24866266828420128</v>
      </c>
      <c r="K20" s="81">
        <v>-5.3962508958999393E-2</v>
      </c>
      <c r="L20" s="81">
        <v>0.23827474498083728</v>
      </c>
      <c r="M20" s="81">
        <v>0.16960767762849091</v>
      </c>
      <c r="N20" s="81">
        <v>0.33498680007032927</v>
      </c>
      <c r="O20" s="81">
        <v>4.9702855951877421E-2</v>
      </c>
      <c r="P20" s="81">
        <v>4.0083179002261882E-2</v>
      </c>
      <c r="Q20" s="81">
        <v>0.34829314359107333</v>
      </c>
      <c r="R20" s="81">
        <v>0.4664815143310046</v>
      </c>
      <c r="S20" s="81">
        <v>0.17750863570661699</v>
      </c>
      <c r="T20" s="81">
        <v>1</v>
      </c>
      <c r="U20" s="81"/>
      <c r="V20" s="81"/>
      <c r="W20" s="81"/>
      <c r="X20" s="81"/>
      <c r="Y20" s="81"/>
    </row>
    <row r="21" spans="1:25" ht="14.25" customHeight="1" x14ac:dyDescent="0.2">
      <c r="A21" s="81" t="s">
        <v>49</v>
      </c>
      <c r="B21" s="81">
        <v>0.10394163987141927</v>
      </c>
      <c r="C21" s="81">
        <v>-1.8129295171358899E-2</v>
      </c>
      <c r="D21" s="81">
        <v>-0.24066090404477508</v>
      </c>
      <c r="E21" s="81">
        <v>2.8575919793817347E-2</v>
      </c>
      <c r="F21" s="81">
        <v>-0.12440837521646746</v>
      </c>
      <c r="G21" s="81">
        <v>-3.6391299175381704E-2</v>
      </c>
      <c r="H21" s="81">
        <v>9.2677056743628611E-2</v>
      </c>
      <c r="I21" s="81">
        <v>9.1559414525592839E-2</v>
      </c>
      <c r="J21" s="81">
        <v>-3.0693290442490907E-2</v>
      </c>
      <c r="K21" s="81">
        <v>0.30116999973452996</v>
      </c>
      <c r="L21" s="81">
        <v>0.32013274165757033</v>
      </c>
      <c r="M21" s="81">
        <v>8.688082142734703E-2</v>
      </c>
      <c r="N21" s="81">
        <v>0.22775776950389276</v>
      </c>
      <c r="O21" s="81">
        <v>-0.13911216634828472</v>
      </c>
      <c r="P21" s="81">
        <v>9.1016775151200935E-2</v>
      </c>
      <c r="Q21" s="81">
        <v>0.38417548089678288</v>
      </c>
      <c r="R21" s="81">
        <v>-3.2931949608715594E-2</v>
      </c>
      <c r="S21" s="81">
        <v>4.7806148915786807E-2</v>
      </c>
      <c r="T21" s="81">
        <v>9.1762938037206282E-2</v>
      </c>
      <c r="U21" s="81">
        <v>1</v>
      </c>
      <c r="V21" s="81"/>
      <c r="W21" s="81"/>
      <c r="X21" s="81"/>
      <c r="Y21" s="81"/>
    </row>
    <row r="22" spans="1:25" ht="14.25" customHeight="1" x14ac:dyDescent="0.2">
      <c r="A22" s="81" t="s">
        <v>84</v>
      </c>
      <c r="B22" s="81">
        <v>0.19463607128819652</v>
      </c>
      <c r="C22" s="81">
        <v>2.9471987956329247E-2</v>
      </c>
      <c r="D22" s="81">
        <v>-0.10350285334015599</v>
      </c>
      <c r="E22" s="81">
        <v>-0.22968910124253222</v>
      </c>
      <c r="F22" s="81">
        <v>2.0694909278865557E-2</v>
      </c>
      <c r="G22" s="81">
        <v>-6.8443397261125E-2</v>
      </c>
      <c r="H22" s="81">
        <v>-1.9973806528704029E-2</v>
      </c>
      <c r="I22" s="81">
        <v>8.4169770506331995E-2</v>
      </c>
      <c r="J22" s="81">
        <v>-0.10976838435166472</v>
      </c>
      <c r="K22" s="81">
        <v>-6.4796977754024015E-2</v>
      </c>
      <c r="L22" s="81">
        <v>6.1054245904074253E-2</v>
      </c>
      <c r="M22" s="81">
        <v>5.693771052780483E-2</v>
      </c>
      <c r="N22" s="81">
        <v>-0.1362632054092861</v>
      </c>
      <c r="O22" s="81">
        <v>2.0418294153364429E-2</v>
      </c>
      <c r="P22" s="81">
        <v>0.25179958873578262</v>
      </c>
      <c r="Q22" s="81">
        <v>-1.3374607718275019E-2</v>
      </c>
      <c r="R22" s="81">
        <v>-2.5943282702442255E-2</v>
      </c>
      <c r="S22" s="81">
        <v>1.4986889976508383E-2</v>
      </c>
      <c r="T22" s="81">
        <v>-7.9334363074111472E-2</v>
      </c>
      <c r="U22" s="81">
        <v>-7.4005665881711272E-2</v>
      </c>
      <c r="V22" s="81">
        <v>1</v>
      </c>
      <c r="W22" s="81"/>
      <c r="X22" s="81"/>
      <c r="Y22" s="81"/>
    </row>
    <row r="23" spans="1:25" ht="14.25" customHeight="1" x14ac:dyDescent="0.2">
      <c r="A23" s="81" t="s">
        <v>85</v>
      </c>
      <c r="B23" s="81">
        <v>0.30609434833969024</v>
      </c>
      <c r="C23" s="81">
        <v>0.2813240322554052</v>
      </c>
      <c r="D23" s="81">
        <v>0.27824689753474646</v>
      </c>
      <c r="E23" s="81">
        <v>0.33316334240895062</v>
      </c>
      <c r="F23" s="81">
        <v>0.30122908617859123</v>
      </c>
      <c r="G23" s="81">
        <v>0.61142209511081813</v>
      </c>
      <c r="H23" s="81">
        <v>0.57310706197816674</v>
      </c>
      <c r="I23" s="81">
        <v>0.38873605796702587</v>
      </c>
      <c r="J23" s="81">
        <v>0.35174250416441649</v>
      </c>
      <c r="K23" s="81">
        <v>0.38664489401409419</v>
      </c>
      <c r="L23" s="81">
        <v>0.64357562038384397</v>
      </c>
      <c r="M23" s="81">
        <v>0.50165252869799948</v>
      </c>
      <c r="N23" s="81">
        <v>0.23532841110759287</v>
      </c>
      <c r="O23" s="81">
        <v>0.44900497526312655</v>
      </c>
      <c r="P23" s="81">
        <v>0.5254986902502301</v>
      </c>
      <c r="Q23" s="81">
        <v>0.15166103702515268</v>
      </c>
      <c r="R23" s="81">
        <v>0.45971029856373563</v>
      </c>
      <c r="S23" s="81">
        <v>0.45304053576746861</v>
      </c>
      <c r="T23" s="81">
        <v>0.13482705467065265</v>
      </c>
      <c r="U23" s="81">
        <v>-2.4185355051898054E-2</v>
      </c>
      <c r="V23" s="81">
        <v>5.8875513359807473E-2</v>
      </c>
      <c r="W23" s="81">
        <v>1</v>
      </c>
      <c r="X23" s="81"/>
      <c r="Y23" s="81"/>
    </row>
    <row r="24" spans="1:25" ht="14.25" customHeight="1" x14ac:dyDescent="0.2">
      <c r="A24" s="81" t="s">
        <v>86</v>
      </c>
      <c r="B24" s="81">
        <v>5.7136743222983948E-2</v>
      </c>
      <c r="C24" s="81">
        <v>0.36213723295791528</v>
      </c>
      <c r="D24" s="81">
        <v>0.13507529999563117</v>
      </c>
      <c r="E24" s="81">
        <v>0.24828939005392375</v>
      </c>
      <c r="F24" s="81">
        <v>4.993990570623134E-3</v>
      </c>
      <c r="G24" s="81">
        <v>0.20391413284745366</v>
      </c>
      <c r="H24" s="81">
        <v>0.12174515794822247</v>
      </c>
      <c r="I24" s="81">
        <v>-1.6058509222026833E-2</v>
      </c>
      <c r="J24" s="81">
        <v>0.12952141119607744</v>
      </c>
      <c r="K24" s="81">
        <v>0.13815267322344729</v>
      </c>
      <c r="L24" s="81">
        <v>9.20033890456773E-2</v>
      </c>
      <c r="M24" s="81">
        <v>8.95508592709231E-2</v>
      </c>
      <c r="N24" s="81">
        <v>-2.7641480911595951E-2</v>
      </c>
      <c r="O24" s="81">
        <v>6.536821064375492E-2</v>
      </c>
      <c r="P24" s="81">
        <v>-3.2552871750164839E-3</v>
      </c>
      <c r="Q24" s="81">
        <v>0.24413862364358893</v>
      </c>
      <c r="R24" s="81">
        <v>6.5869682101301993E-2</v>
      </c>
      <c r="S24" s="81">
        <v>0.17505330200929597</v>
      </c>
      <c r="T24" s="81">
        <v>0.14686413764938092</v>
      </c>
      <c r="U24" s="81">
        <v>-0.13882111276085088</v>
      </c>
      <c r="V24" s="81">
        <v>-5.0827244213487784E-2</v>
      </c>
      <c r="W24" s="81">
        <v>0.13160556039905655</v>
      </c>
      <c r="X24" s="81">
        <v>1</v>
      </c>
      <c r="Y24" s="81"/>
    </row>
    <row r="25" spans="1:25" ht="14.25" customHeight="1" thickBot="1" x14ac:dyDescent="0.25">
      <c r="A25" s="91" t="s">
        <v>115</v>
      </c>
      <c r="B25" s="91">
        <v>-2.8672975956550752E-2</v>
      </c>
      <c r="C25" s="91">
        <v>0.21503834350937298</v>
      </c>
      <c r="D25" s="91">
        <v>-5.9666664897016761E-2</v>
      </c>
      <c r="E25" s="91">
        <v>8.6830477478347476E-2</v>
      </c>
      <c r="F25" s="91">
        <v>-5.245553360755751E-2</v>
      </c>
      <c r="G25" s="91">
        <v>-9.9895415260234849E-2</v>
      </c>
      <c r="H25" s="91">
        <v>-0.10800557134430133</v>
      </c>
      <c r="I25" s="91">
        <v>-0.22321549586087547</v>
      </c>
      <c r="J25" s="91">
        <v>-0.20506268275850506</v>
      </c>
      <c r="K25" s="91">
        <v>-8.3307394301839088E-2</v>
      </c>
      <c r="L25" s="91">
        <v>2.0351351320604977E-2</v>
      </c>
      <c r="M25" s="91">
        <v>-0.15328364744364392</v>
      </c>
      <c r="N25" s="91">
        <v>3.4760123910211578E-3</v>
      </c>
      <c r="O25" s="91">
        <v>3.3201345012778861E-2</v>
      </c>
      <c r="P25" s="91">
        <v>-3.3772872988085505E-2</v>
      </c>
      <c r="Q25" s="91">
        <v>0.2160420688174019</v>
      </c>
      <c r="R25" s="91">
        <v>9.0196989771895483E-2</v>
      </c>
      <c r="S25" s="91">
        <v>-0.15971848225854771</v>
      </c>
      <c r="T25" s="91">
        <v>-3.9898407162133179E-2</v>
      </c>
      <c r="U25" s="91">
        <v>0.2742256681811524</v>
      </c>
      <c r="V25" s="91">
        <v>-0.10670995935610639</v>
      </c>
      <c r="W25" s="91">
        <v>-0.11270272240957849</v>
      </c>
      <c r="X25" s="91">
        <v>-5.2965880298277319E-3</v>
      </c>
      <c r="Y25" s="91">
        <v>1</v>
      </c>
    </row>
    <row r="26" spans="1:25" ht="14.25" customHeight="1" x14ac:dyDescent="0.2"/>
    <row r="27" spans="1:25" ht="14.25" customHeight="1" x14ac:dyDescent="0.2"/>
    <row r="28" spans="1:25" ht="14.25" customHeight="1" x14ac:dyDescent="0.2"/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11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zoomScale="120" zoomScaleNormal="120" workbookViewId="0">
      <selection activeCell="H4" sqref="H4"/>
    </sheetView>
  </sheetViews>
  <sheetFormatPr baseColWidth="10" defaultColWidth="14.5" defaultRowHeight="15" customHeight="1" x14ac:dyDescent="0.2"/>
  <cols>
    <col min="1" max="3" width="24.5" customWidth="1"/>
    <col min="4" max="4" width="11.1640625" customWidth="1"/>
    <col min="5" max="12" width="10.6640625" customWidth="1"/>
    <col min="13" max="13" width="12" customWidth="1"/>
    <col min="14" max="26" width="10.6640625" customWidth="1"/>
  </cols>
  <sheetData>
    <row r="1" spans="1:14" ht="14.25" customHeight="1" x14ac:dyDescent="0.2">
      <c r="C1" s="17" t="s">
        <v>120</v>
      </c>
      <c r="D1" s="18"/>
      <c r="E1" s="18"/>
      <c r="F1" s="18"/>
    </row>
    <row r="2" spans="1:14" ht="14.25" customHeight="1" thickBot="1" x14ac:dyDescent="0.25"/>
    <row r="3" spans="1:14" ht="14.25" customHeight="1" thickBot="1" x14ac:dyDescent="0.25">
      <c r="A3" s="67" t="s">
        <v>121</v>
      </c>
      <c r="B3" s="48" t="s">
        <v>122</v>
      </c>
      <c r="C3" s="6" t="s">
        <v>123</v>
      </c>
      <c r="D3" s="6" t="s">
        <v>124</v>
      </c>
      <c r="E3" s="6" t="s">
        <v>125</v>
      </c>
      <c r="F3" s="136" t="s">
        <v>126</v>
      </c>
      <c r="G3" s="137" t="s">
        <v>127</v>
      </c>
      <c r="H3" s="139" t="s">
        <v>128</v>
      </c>
      <c r="M3" s="3" t="s">
        <v>129</v>
      </c>
      <c r="N3" s="3">
        <v>100000000</v>
      </c>
    </row>
    <row r="4" spans="1:14" ht="14.25" customHeight="1" thickBot="1" x14ac:dyDescent="0.25">
      <c r="A4" s="83" t="s">
        <v>114</v>
      </c>
      <c r="B4" s="95">
        <v>40.669998</v>
      </c>
      <c r="C4" s="116">
        <v>120481.93363569875</v>
      </c>
      <c r="D4" s="118">
        <f t="shared" ref="D4:D27" si="0">(B4*C4)/$N$3</f>
        <v>4.9000000000000009E-2</v>
      </c>
      <c r="E4" s="19">
        <f>SUM(w_mvp)</f>
        <v>1.0000008519246824</v>
      </c>
      <c r="F4" s="138" cm="1">
        <f t="array" ref="F4">MMULT(TRANSPOSE(w_mvp),MMULT(covariance,w_mvp))</f>
        <v>2.4655922807891944E-3</v>
      </c>
      <c r="G4" s="141" cm="1">
        <f t="array" ref="G4">MMULT(TRANSPOSE(w_mvp),TRANSPOSE(Average_return))</f>
        <v>2.4476806614231853E-2</v>
      </c>
      <c r="H4" s="140">
        <f>SQRT(F4)</f>
        <v>4.9654730698989742E-2</v>
      </c>
      <c r="M4" s="3" t="s">
        <v>130</v>
      </c>
      <c r="N4" s="3" cm="1">
        <f t="array" ref="N4">MMULT(TRANSPOSE(B4:B27),Quantité)</f>
        <v>100000085.19246823</v>
      </c>
    </row>
    <row r="5" spans="1:14" ht="14.25" customHeight="1" thickBot="1" x14ac:dyDescent="0.25">
      <c r="A5" s="93" t="s">
        <v>68</v>
      </c>
      <c r="B5" s="96">
        <v>971.48999000000003</v>
      </c>
      <c r="C5" s="179">
        <v>1029.3466842617697</v>
      </c>
      <c r="D5" s="119">
        <f t="shared" si="0"/>
        <v>9.9999999999999985E-3</v>
      </c>
    </row>
    <row r="6" spans="1:14" ht="14.25" customHeight="1" thickBot="1" x14ac:dyDescent="0.25">
      <c r="A6" s="93" t="s">
        <v>69</v>
      </c>
      <c r="B6" s="97">
        <v>74.800003000000004</v>
      </c>
      <c r="C6" s="179">
        <v>65508.018763047367</v>
      </c>
      <c r="D6" s="119">
        <f>(B6*C6)/$N$3</f>
        <v>4.9000000000000002E-2</v>
      </c>
      <c r="F6" s="199" t="s">
        <v>131</v>
      </c>
      <c r="G6" s="200"/>
      <c r="J6" s="46"/>
    </row>
    <row r="7" spans="1:14" ht="14.25" customHeight="1" x14ac:dyDescent="0.2">
      <c r="A7" s="93" t="s">
        <v>22</v>
      </c>
      <c r="B7" s="97">
        <v>52.66</v>
      </c>
      <c r="C7" s="179">
        <v>73128.497125744907</v>
      </c>
      <c r="D7" s="119">
        <f t="shared" si="0"/>
        <v>3.8509466586417268E-2</v>
      </c>
      <c r="E7" s="5"/>
      <c r="F7" s="21" t="s">
        <v>132</v>
      </c>
      <c r="G7" s="22">
        <f>SUM(D4:D23)</f>
        <v>0.65300073447824591</v>
      </c>
      <c r="H7" s="45"/>
      <c r="J7" s="46"/>
    </row>
    <row r="8" spans="1:14" ht="14.25" customHeight="1" x14ac:dyDescent="0.2">
      <c r="A8" s="93" t="s">
        <v>70</v>
      </c>
      <c r="B8" s="97">
        <v>166.83000200000001</v>
      </c>
      <c r="C8" s="179">
        <v>29371.215856006522</v>
      </c>
      <c r="D8" s="119">
        <f t="shared" si="0"/>
        <v>4.9000000000000002E-2</v>
      </c>
      <c r="F8" s="23" t="s">
        <v>65</v>
      </c>
      <c r="G8" s="24">
        <f>SUM(D24:D26)</f>
        <v>0.14700000000000002</v>
      </c>
      <c r="J8" s="46"/>
    </row>
    <row r="9" spans="1:14" ht="14.25" customHeight="1" thickBot="1" x14ac:dyDescent="0.25">
      <c r="A9" s="93" t="s">
        <v>71</v>
      </c>
      <c r="B9" s="97">
        <v>701.09997599999997</v>
      </c>
      <c r="C9" s="179">
        <v>6989.0174978411369</v>
      </c>
      <c r="D9" s="119">
        <f t="shared" si="0"/>
        <v>4.9000000000000009E-2</v>
      </c>
      <c r="F9" s="25" t="s">
        <v>66</v>
      </c>
      <c r="G9" s="26">
        <f>D27</f>
        <v>0.20000011744643639</v>
      </c>
      <c r="J9" s="46"/>
    </row>
    <row r="10" spans="1:14" ht="14.25" customHeight="1" thickBot="1" x14ac:dyDescent="0.25">
      <c r="A10" s="93" t="s">
        <v>72</v>
      </c>
      <c r="B10" s="97">
        <v>326.82998700000002</v>
      </c>
      <c r="C10" s="179">
        <v>3059.6947641771931</v>
      </c>
      <c r="D10" s="119">
        <f t="shared" si="0"/>
        <v>1.0000000000000002E-2</v>
      </c>
      <c r="J10" s="46"/>
    </row>
    <row r="11" spans="1:14" ht="14.25" customHeight="1" thickBot="1" x14ac:dyDescent="0.25">
      <c r="A11" s="93" t="s">
        <v>73</v>
      </c>
      <c r="B11" s="97">
        <v>218.509995</v>
      </c>
      <c r="C11" s="179">
        <v>5607.8429752231596</v>
      </c>
      <c r="D11" s="119">
        <f t="shared" si="0"/>
        <v>1.2253697404767979E-2</v>
      </c>
      <c r="F11" s="199" t="s">
        <v>133</v>
      </c>
      <c r="G11" s="200"/>
      <c r="J11" s="46"/>
    </row>
    <row r="12" spans="1:14" ht="14.25" customHeight="1" x14ac:dyDescent="0.2">
      <c r="A12" s="93" t="s">
        <v>74</v>
      </c>
      <c r="B12" s="97">
        <v>171.11999499999999</v>
      </c>
      <c r="C12" s="179">
        <v>28634.876947021887</v>
      </c>
      <c r="D12" s="119">
        <f t="shared" si="0"/>
        <v>4.9000000000000002E-2</v>
      </c>
      <c r="F12" s="110" t="s">
        <v>134</v>
      </c>
      <c r="G12" s="109">
        <f>SUM(D4:D9)+D22</f>
        <v>0.2935094665864173</v>
      </c>
      <c r="J12" s="46"/>
    </row>
    <row r="13" spans="1:14" ht="14.25" customHeight="1" x14ac:dyDescent="0.2">
      <c r="A13" s="93" t="s">
        <v>75</v>
      </c>
      <c r="B13" s="97">
        <v>435.05999800000001</v>
      </c>
      <c r="C13" s="179">
        <v>2298.5335461707973</v>
      </c>
      <c r="D13" s="119">
        <f t="shared" si="0"/>
        <v>0.01</v>
      </c>
      <c r="F13" s="110" t="s">
        <v>135</v>
      </c>
      <c r="G13" s="111">
        <f>SUM(D13:D15)+D20+D21</f>
        <v>0.13137221104954416</v>
      </c>
      <c r="J13" s="46"/>
    </row>
    <row r="14" spans="1:14" ht="14.25" customHeight="1" x14ac:dyDescent="0.2">
      <c r="A14" s="93" t="s">
        <v>76</v>
      </c>
      <c r="B14" s="97">
        <v>38.990001999999997</v>
      </c>
      <c r="C14" s="179">
        <v>25647.600633618847</v>
      </c>
      <c r="D14" s="119">
        <f t="shared" si="0"/>
        <v>0.01</v>
      </c>
      <c r="F14" s="110" t="s">
        <v>38</v>
      </c>
      <c r="G14" s="111">
        <f>D11+D12+D16+D17+D18</f>
        <v>0.13025369740476797</v>
      </c>
      <c r="J14" s="46"/>
    </row>
    <row r="15" spans="1:14" ht="14.25" customHeight="1" x14ac:dyDescent="0.2">
      <c r="A15" s="93" t="s">
        <v>77</v>
      </c>
      <c r="B15" s="97">
        <v>177.570007</v>
      </c>
      <c r="C15" s="179">
        <v>27594.750277843945</v>
      </c>
      <c r="D15" s="119">
        <f t="shared" si="0"/>
        <v>4.9000000000000009E-2</v>
      </c>
      <c r="F15" s="110" t="s">
        <v>47</v>
      </c>
      <c r="G15" s="111">
        <f>D19+D23</f>
        <v>8.7865359437516416E-2</v>
      </c>
      <c r="J15" s="46"/>
    </row>
    <row r="16" spans="1:14" ht="14.25" customHeight="1" thickBot="1" x14ac:dyDescent="0.25">
      <c r="A16" s="93" t="s">
        <v>78</v>
      </c>
      <c r="B16" s="97">
        <v>195.16000399999999</v>
      </c>
      <c r="C16" s="179">
        <v>25107.60350261112</v>
      </c>
      <c r="D16" s="119">
        <f t="shared" si="0"/>
        <v>4.9000000000000002E-2</v>
      </c>
      <c r="F16" s="112" t="s">
        <v>35</v>
      </c>
      <c r="G16" s="113">
        <f>D10</f>
        <v>1.0000000000000002E-2</v>
      </c>
      <c r="J16" s="46"/>
    </row>
    <row r="17" spans="1:33" ht="14.25" customHeight="1" thickBot="1" x14ac:dyDescent="0.25">
      <c r="A17" s="93" t="s">
        <v>42</v>
      </c>
      <c r="B17" s="97">
        <v>129.05999800000001</v>
      </c>
      <c r="C17" s="179">
        <v>7748.3342282401081</v>
      </c>
      <c r="D17" s="119">
        <f t="shared" si="0"/>
        <v>0.01</v>
      </c>
      <c r="F17" s="114" t="s">
        <v>136</v>
      </c>
      <c r="G17" s="115">
        <f>SUM(G12:G16)</f>
        <v>0.6530007344782458</v>
      </c>
      <c r="J17" s="72"/>
      <c r="K17" s="74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4"/>
      <c r="AG17" s="72"/>
    </row>
    <row r="18" spans="1:33" ht="14.25" customHeight="1" thickBot="1" x14ac:dyDescent="0.25">
      <c r="A18" s="93" t="s">
        <v>79</v>
      </c>
      <c r="B18" s="97">
        <v>373.55999800000001</v>
      </c>
      <c r="C18" s="179">
        <v>2676.9461541757478</v>
      </c>
      <c r="D18" s="119">
        <f t="shared" si="0"/>
        <v>0.01</v>
      </c>
      <c r="F18" s="110" t="s">
        <v>65</v>
      </c>
      <c r="G18" s="111">
        <f>SUM(D24:D26)</f>
        <v>0.14700000000000002</v>
      </c>
      <c r="J18" s="46"/>
    </row>
    <row r="19" spans="1:33" ht="14.25" customHeight="1" thickBot="1" x14ac:dyDescent="0.25">
      <c r="A19" s="93" t="s">
        <v>80</v>
      </c>
      <c r="B19" s="97">
        <v>81.230002999999996</v>
      </c>
      <c r="C19" s="179">
        <v>47846.064264599896</v>
      </c>
      <c r="D19" s="119">
        <f t="shared" si="0"/>
        <v>3.8865359437516421E-2</v>
      </c>
      <c r="F19" s="114" t="s">
        <v>137</v>
      </c>
      <c r="G19" s="115">
        <f>SUM(G17:G18)</f>
        <v>0.80000073447824582</v>
      </c>
      <c r="J19" s="46"/>
    </row>
    <row r="20" spans="1:33" ht="14.25" customHeight="1" x14ac:dyDescent="0.2">
      <c r="A20" s="93" t="s">
        <v>81</v>
      </c>
      <c r="B20" s="97">
        <v>147.009995</v>
      </c>
      <c r="C20" s="179">
        <v>9096.1237360385931</v>
      </c>
      <c r="D20" s="119">
        <f t="shared" si="0"/>
        <v>1.337221104954415E-2</v>
      </c>
      <c r="J20" s="46"/>
    </row>
    <row r="21" spans="1:33" ht="14.25" customHeight="1" x14ac:dyDescent="0.2">
      <c r="A21" s="93" t="s">
        <v>82</v>
      </c>
      <c r="B21" s="97">
        <v>348.32000699999998</v>
      </c>
      <c r="C21" s="179">
        <v>14067.523833048155</v>
      </c>
      <c r="D21" s="119">
        <f t="shared" si="0"/>
        <v>4.9000000000000002E-2</v>
      </c>
      <c r="J21" s="46"/>
    </row>
    <row r="22" spans="1:33" ht="14.25" customHeight="1" x14ac:dyDescent="0.2">
      <c r="A22" s="93" t="s">
        <v>83</v>
      </c>
      <c r="B22" s="97">
        <v>66.239998</v>
      </c>
      <c r="C22" s="179">
        <v>73973.432185188183</v>
      </c>
      <c r="D22" s="119">
        <f t="shared" si="0"/>
        <v>4.9000000000000009E-2</v>
      </c>
      <c r="J22" s="46"/>
    </row>
    <row r="23" spans="1:33" ht="14.25" customHeight="1" x14ac:dyDescent="0.2">
      <c r="A23" s="93" t="s">
        <v>49</v>
      </c>
      <c r="B23" s="97">
        <v>818.78997800000002</v>
      </c>
      <c r="C23" s="179">
        <v>5984.4406156129089</v>
      </c>
      <c r="D23" s="119">
        <f t="shared" si="0"/>
        <v>4.9000000000000002E-2</v>
      </c>
      <c r="J23" s="46"/>
    </row>
    <row r="24" spans="1:33" ht="14.25" customHeight="1" x14ac:dyDescent="0.2">
      <c r="A24" s="93" t="s">
        <v>84</v>
      </c>
      <c r="B24" s="97">
        <v>8.6E-3</v>
      </c>
      <c r="C24" s="179">
        <v>569767441.86046517</v>
      </c>
      <c r="D24" s="119">
        <f t="shared" si="0"/>
        <v>4.9000000000000002E-2</v>
      </c>
      <c r="J24" s="46"/>
    </row>
    <row r="25" spans="1:33" ht="14.25" customHeight="1" x14ac:dyDescent="0.2">
      <c r="A25" s="93" t="s">
        <v>85</v>
      </c>
      <c r="B25" s="97">
        <v>4.3600000000000003</v>
      </c>
      <c r="C25" s="179">
        <v>1123853.2110091744</v>
      </c>
      <c r="D25" s="119">
        <f t="shared" si="0"/>
        <v>4.9000000000000009E-2</v>
      </c>
      <c r="J25" s="46"/>
    </row>
    <row r="26" spans="1:33" ht="14.25" customHeight="1" x14ac:dyDescent="0.2">
      <c r="A26" s="93" t="s">
        <v>86</v>
      </c>
      <c r="B26" s="96">
        <v>119.470001</v>
      </c>
      <c r="C26" s="179">
        <v>41014.4802794469</v>
      </c>
      <c r="D26" s="119">
        <f t="shared" si="0"/>
        <v>4.9000000000000009E-2</v>
      </c>
      <c r="J26" s="46"/>
      <c r="K26" s="178"/>
    </row>
    <row r="27" spans="1:33" ht="14.25" customHeight="1" thickBot="1" x14ac:dyDescent="0.25">
      <c r="A27" s="94" t="s">
        <v>115</v>
      </c>
      <c r="B27" s="127">
        <v>2.6859999999999999</v>
      </c>
      <c r="C27" s="117">
        <v>7446020.7537764851</v>
      </c>
      <c r="D27" s="120">
        <f t="shared" si="0"/>
        <v>0.20000011744643639</v>
      </c>
      <c r="J27" s="46"/>
    </row>
    <row r="28" spans="1:33" ht="14.25" customHeight="1" x14ac:dyDescent="0.2">
      <c r="J28" s="46"/>
    </row>
    <row r="29" spans="1:33" ht="14.25" customHeight="1" x14ac:dyDescent="0.2">
      <c r="C29" s="180" t="s">
        <v>138</v>
      </c>
      <c r="J29" s="46"/>
    </row>
    <row r="30" spans="1:33" ht="14.25" customHeight="1" x14ac:dyDescent="0.2">
      <c r="C30" s="181" t="s">
        <v>139</v>
      </c>
    </row>
    <row r="31" spans="1:33" ht="14.25" customHeight="1" x14ac:dyDescent="0.2"/>
    <row r="32" spans="1:3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F6:G6"/>
    <mergeCell ref="F11:G11"/>
  </mergeCells>
  <phoneticPr fontId="11" type="noConversion"/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K1000"/>
  <sheetViews>
    <sheetView workbookViewId="0">
      <selection activeCell="G4" sqref="G4"/>
    </sheetView>
  </sheetViews>
  <sheetFormatPr baseColWidth="10" defaultColWidth="14.5" defaultRowHeight="15" customHeight="1" x14ac:dyDescent="0.2"/>
  <cols>
    <col min="1" max="2" width="10.6640625" customWidth="1"/>
    <col min="3" max="3" width="12.1640625" customWidth="1"/>
    <col min="4" max="5" width="10.6640625" customWidth="1"/>
    <col min="6" max="6" width="16.5" customWidth="1"/>
    <col min="7" max="26" width="10.6640625" customWidth="1"/>
  </cols>
  <sheetData>
    <row r="1" spans="2:11" ht="14.25" customHeight="1" thickBot="1" x14ac:dyDescent="0.25">
      <c r="F1" s="182" t="s">
        <v>140</v>
      </c>
    </row>
    <row r="2" spans="2:11" ht="14.25" customHeight="1" thickBot="1" x14ac:dyDescent="0.25">
      <c r="B2" s="4" t="s">
        <v>88</v>
      </c>
      <c r="C2" s="100" t="s">
        <v>141</v>
      </c>
      <c r="D2" s="101" t="s">
        <v>142</v>
      </c>
    </row>
    <row r="3" spans="2:11" ht="14.25" customHeight="1" thickBot="1" x14ac:dyDescent="0.25">
      <c r="B3" s="63">
        <v>43435</v>
      </c>
      <c r="C3" s="121">
        <v>2506.85</v>
      </c>
      <c r="D3" s="102"/>
    </row>
    <row r="4" spans="2:11" ht="14.25" customHeight="1" thickBot="1" x14ac:dyDescent="0.25">
      <c r="B4" s="64">
        <v>43466</v>
      </c>
      <c r="C4" s="122">
        <v>2704.1</v>
      </c>
      <c r="D4" s="103">
        <f t="shared" ref="D4:D62" si="0">(C4-C3)/C3</f>
        <v>7.8684404731036967E-2</v>
      </c>
      <c r="F4" s="4" t="s">
        <v>143</v>
      </c>
      <c r="G4" s="29">
        <f>AVERAGE(D4:D62)</f>
        <v>1.0636559788502852E-2</v>
      </c>
      <c r="J4" s="98"/>
      <c r="K4" s="99"/>
    </row>
    <row r="5" spans="2:11" ht="14.25" customHeight="1" thickBot="1" x14ac:dyDescent="0.25">
      <c r="B5" s="64">
        <v>43497</v>
      </c>
      <c r="C5" s="122">
        <v>2784.49</v>
      </c>
      <c r="D5" s="103">
        <f t="shared" si="0"/>
        <v>2.9728930143115964E-2</v>
      </c>
      <c r="F5" s="30" t="s">
        <v>144</v>
      </c>
      <c r="G5" s="183">
        <f>_xlfn.STDEV.S(D4:D62)</f>
        <v>5.280333963710953E-2</v>
      </c>
      <c r="J5" s="98"/>
      <c r="K5" s="99"/>
    </row>
    <row r="6" spans="2:11" ht="14.25" customHeight="1" x14ac:dyDescent="0.2">
      <c r="B6" s="64">
        <v>43525</v>
      </c>
      <c r="C6" s="122">
        <v>2834.4</v>
      </c>
      <c r="D6" s="103">
        <f t="shared" si="0"/>
        <v>1.7924287751078408E-2</v>
      </c>
      <c r="J6" s="98"/>
      <c r="K6" s="99"/>
    </row>
    <row r="7" spans="2:11" ht="14.25" customHeight="1" x14ac:dyDescent="0.2">
      <c r="B7" s="64">
        <v>43556</v>
      </c>
      <c r="C7" s="122">
        <v>2945.83</v>
      </c>
      <c r="D7" s="103">
        <f t="shared" si="0"/>
        <v>3.9313434942139368E-2</v>
      </c>
      <c r="J7" s="98"/>
      <c r="K7" s="99"/>
    </row>
    <row r="8" spans="2:11" ht="14.25" customHeight="1" x14ac:dyDescent="0.2">
      <c r="B8" s="64">
        <v>43586</v>
      </c>
      <c r="C8" s="122">
        <v>2752.06</v>
      </c>
      <c r="D8" s="103">
        <f t="shared" si="0"/>
        <v>-6.5777726481161508E-2</v>
      </c>
      <c r="J8" s="98"/>
      <c r="K8" s="99"/>
    </row>
    <row r="9" spans="2:11" ht="14.25" customHeight="1" x14ac:dyDescent="0.2">
      <c r="B9" s="64">
        <v>43617</v>
      </c>
      <c r="C9" s="122">
        <v>2941.76</v>
      </c>
      <c r="D9" s="103">
        <f t="shared" si="0"/>
        <v>6.8930183208215035E-2</v>
      </c>
      <c r="J9" s="98"/>
      <c r="K9" s="99"/>
    </row>
    <row r="10" spans="2:11" ht="14.25" customHeight="1" x14ac:dyDescent="0.2">
      <c r="B10" s="64">
        <v>43647</v>
      </c>
      <c r="C10" s="122">
        <v>2980.38</v>
      </c>
      <c r="D10" s="103">
        <f t="shared" si="0"/>
        <v>1.312819536603934E-2</v>
      </c>
      <c r="J10" s="98"/>
      <c r="K10" s="99"/>
    </row>
    <row r="11" spans="2:11" ht="14.25" customHeight="1" x14ac:dyDescent="0.2">
      <c r="B11" s="64">
        <v>43678</v>
      </c>
      <c r="C11" s="122">
        <v>2926.46</v>
      </c>
      <c r="D11" s="103">
        <f t="shared" si="0"/>
        <v>-1.8091652742267789E-2</v>
      </c>
      <c r="J11" s="98"/>
      <c r="K11" s="99"/>
    </row>
    <row r="12" spans="2:11" ht="14.25" customHeight="1" x14ac:dyDescent="0.2">
      <c r="B12" s="64">
        <v>43709</v>
      </c>
      <c r="C12" s="122">
        <v>2976.74</v>
      </c>
      <c r="D12" s="103">
        <f t="shared" si="0"/>
        <v>1.7181167690656883E-2</v>
      </c>
      <c r="J12" s="98"/>
      <c r="K12" s="99"/>
    </row>
    <row r="13" spans="2:11" ht="14.25" customHeight="1" x14ac:dyDescent="0.2">
      <c r="B13" s="64">
        <v>43739</v>
      </c>
      <c r="C13" s="122">
        <v>3037.56</v>
      </c>
      <c r="D13" s="103">
        <f t="shared" si="0"/>
        <v>2.0431747482144953E-2</v>
      </c>
      <c r="J13" s="98"/>
      <c r="K13" s="99"/>
    </row>
    <row r="14" spans="2:11" ht="14.25" customHeight="1" x14ac:dyDescent="0.2">
      <c r="B14" s="64">
        <v>43770</v>
      </c>
      <c r="C14" s="122">
        <v>3140.98</v>
      </c>
      <c r="D14" s="103">
        <f t="shared" si="0"/>
        <v>3.4047064090915104E-2</v>
      </c>
      <c r="J14" s="98"/>
      <c r="K14" s="99"/>
    </row>
    <row r="15" spans="2:11" ht="14.25" customHeight="1" x14ac:dyDescent="0.2">
      <c r="B15" s="64">
        <v>43800</v>
      </c>
      <c r="C15" s="122">
        <v>3230.78</v>
      </c>
      <c r="D15" s="103">
        <f t="shared" si="0"/>
        <v>2.8589803182446302E-2</v>
      </c>
      <c r="J15" s="98"/>
      <c r="K15" s="99"/>
    </row>
    <row r="16" spans="2:11" ht="14.25" customHeight="1" x14ac:dyDescent="0.2">
      <c r="B16" s="64">
        <v>43831</v>
      </c>
      <c r="C16" s="122">
        <v>3225.52</v>
      </c>
      <c r="D16" s="103">
        <f t="shared" si="0"/>
        <v>-1.6280898111292685E-3</v>
      </c>
      <c r="J16" s="98"/>
      <c r="K16" s="99"/>
    </row>
    <row r="17" spans="2:11" ht="14.25" customHeight="1" x14ac:dyDescent="0.2">
      <c r="B17" s="64">
        <v>43862</v>
      </c>
      <c r="C17" s="122">
        <v>2954.22</v>
      </c>
      <c r="D17" s="103">
        <f t="shared" si="0"/>
        <v>-8.4110469009648109E-2</v>
      </c>
      <c r="J17" s="98"/>
      <c r="K17" s="99"/>
    </row>
    <row r="18" spans="2:11" ht="14.25" customHeight="1" x14ac:dyDescent="0.2">
      <c r="B18" s="64">
        <v>43891</v>
      </c>
      <c r="C18" s="122">
        <v>2584.59</v>
      </c>
      <c r="D18" s="103">
        <f t="shared" si="0"/>
        <v>-0.12511932083595659</v>
      </c>
      <c r="J18" s="98"/>
      <c r="K18" s="99"/>
    </row>
    <row r="19" spans="2:11" ht="14.25" customHeight="1" x14ac:dyDescent="0.2">
      <c r="B19" s="64">
        <v>43922</v>
      </c>
      <c r="C19" s="122">
        <v>2912.43</v>
      </c>
      <c r="D19" s="103">
        <f t="shared" si="0"/>
        <v>0.12684410293315368</v>
      </c>
      <c r="J19" s="98"/>
      <c r="K19" s="99"/>
    </row>
    <row r="20" spans="2:11" ht="14.25" customHeight="1" x14ac:dyDescent="0.2">
      <c r="B20" s="64">
        <v>43952</v>
      </c>
      <c r="C20" s="122">
        <v>3044.31</v>
      </c>
      <c r="D20" s="103">
        <f t="shared" si="0"/>
        <v>4.5281775012618368E-2</v>
      </c>
      <c r="J20" s="98"/>
      <c r="K20" s="99"/>
    </row>
    <row r="21" spans="2:11" ht="14.25" customHeight="1" x14ac:dyDescent="0.2">
      <c r="B21" s="64">
        <v>43983</v>
      </c>
      <c r="C21" s="122">
        <v>3100.29</v>
      </c>
      <c r="D21" s="103">
        <f t="shared" si="0"/>
        <v>1.838840328350267E-2</v>
      </c>
      <c r="J21" s="98"/>
      <c r="K21" s="99"/>
    </row>
    <row r="22" spans="2:11" ht="14.25" customHeight="1" x14ac:dyDescent="0.2">
      <c r="B22" s="64">
        <v>44013</v>
      </c>
      <c r="C22" s="122">
        <v>3271.12</v>
      </c>
      <c r="D22" s="103">
        <f t="shared" si="0"/>
        <v>5.5101296975444213E-2</v>
      </c>
      <c r="J22" s="98"/>
      <c r="K22" s="99"/>
    </row>
    <row r="23" spans="2:11" ht="14.25" customHeight="1" x14ac:dyDescent="0.2">
      <c r="B23" s="64">
        <v>44044</v>
      </c>
      <c r="C23" s="122">
        <v>3500.31</v>
      </c>
      <c r="D23" s="103">
        <f t="shared" si="0"/>
        <v>7.0064687324219249E-2</v>
      </c>
      <c r="J23" s="98"/>
      <c r="K23" s="99"/>
    </row>
    <row r="24" spans="2:11" ht="14.25" customHeight="1" x14ac:dyDescent="0.2">
      <c r="B24" s="64">
        <v>44075</v>
      </c>
      <c r="C24" s="122">
        <v>3363</v>
      </c>
      <c r="D24" s="103">
        <f t="shared" si="0"/>
        <v>-3.9227954095494386E-2</v>
      </c>
      <c r="J24" s="98"/>
      <c r="K24" s="99"/>
    </row>
    <row r="25" spans="2:11" ht="14.25" customHeight="1" x14ac:dyDescent="0.2">
      <c r="B25" s="64">
        <v>44105</v>
      </c>
      <c r="C25" s="122">
        <v>3269.96</v>
      </c>
      <c r="D25" s="103">
        <f t="shared" si="0"/>
        <v>-2.766577460600653E-2</v>
      </c>
      <c r="J25" s="98"/>
      <c r="K25" s="99"/>
    </row>
    <row r="26" spans="2:11" ht="14.25" customHeight="1" x14ac:dyDescent="0.2">
      <c r="B26" s="64">
        <v>44136</v>
      </c>
      <c r="C26" s="122">
        <v>3621.63</v>
      </c>
      <c r="D26" s="103">
        <f t="shared" si="0"/>
        <v>0.10754565805086302</v>
      </c>
      <c r="J26" s="98"/>
      <c r="K26" s="99"/>
    </row>
    <row r="27" spans="2:11" ht="14.25" customHeight="1" x14ac:dyDescent="0.2">
      <c r="B27" s="64">
        <v>44166</v>
      </c>
      <c r="C27" s="122">
        <v>3756.07</v>
      </c>
      <c r="D27" s="103">
        <f t="shared" si="0"/>
        <v>3.7121406659432372E-2</v>
      </c>
      <c r="J27" s="98"/>
      <c r="K27" s="99"/>
    </row>
    <row r="28" spans="2:11" ht="14.25" customHeight="1" x14ac:dyDescent="0.2">
      <c r="B28" s="64">
        <v>44197</v>
      </c>
      <c r="C28" s="122">
        <v>3714.24</v>
      </c>
      <c r="D28" s="103">
        <f t="shared" si="0"/>
        <v>-1.1136640158463601E-2</v>
      </c>
      <c r="J28" s="98"/>
      <c r="K28" s="99"/>
    </row>
    <row r="29" spans="2:11" ht="14.25" customHeight="1" x14ac:dyDescent="0.2">
      <c r="B29" s="64">
        <v>44228</v>
      </c>
      <c r="C29" s="122">
        <v>3811.15</v>
      </c>
      <c r="D29" s="103">
        <f t="shared" si="0"/>
        <v>2.6091474971999741E-2</v>
      </c>
      <c r="J29" s="98"/>
      <c r="K29" s="99"/>
    </row>
    <row r="30" spans="2:11" ht="14.25" customHeight="1" x14ac:dyDescent="0.2">
      <c r="B30" s="64">
        <v>44256</v>
      </c>
      <c r="C30" s="122">
        <v>3972.89</v>
      </c>
      <c r="D30" s="103">
        <f t="shared" si="0"/>
        <v>4.2438634008107733E-2</v>
      </c>
      <c r="J30" s="98"/>
      <c r="K30" s="99"/>
    </row>
    <row r="31" spans="2:11" ht="14.25" customHeight="1" x14ac:dyDescent="0.2">
      <c r="B31" s="64">
        <v>44287</v>
      </c>
      <c r="C31" s="122">
        <v>4181.17</v>
      </c>
      <c r="D31" s="103">
        <f t="shared" si="0"/>
        <v>5.2425312555847307E-2</v>
      </c>
      <c r="J31" s="98"/>
      <c r="K31" s="99"/>
    </row>
    <row r="32" spans="2:11" ht="14.25" customHeight="1" x14ac:dyDescent="0.2">
      <c r="B32" s="64">
        <v>44317</v>
      </c>
      <c r="C32" s="122">
        <v>4204.1099999999997</v>
      </c>
      <c r="D32" s="103">
        <f t="shared" si="0"/>
        <v>5.4865025818131288E-3</v>
      </c>
      <c r="J32" s="98"/>
      <c r="K32" s="99"/>
    </row>
    <row r="33" spans="2:11" ht="14.25" customHeight="1" x14ac:dyDescent="0.2">
      <c r="B33" s="64">
        <v>44348</v>
      </c>
      <c r="C33" s="122">
        <v>4297.5</v>
      </c>
      <c r="D33" s="103">
        <f t="shared" si="0"/>
        <v>2.221397632316955E-2</v>
      </c>
      <c r="J33" s="98"/>
      <c r="K33" s="99"/>
    </row>
    <row r="34" spans="2:11" ht="14.25" customHeight="1" x14ac:dyDescent="0.2">
      <c r="B34" s="64">
        <v>44378</v>
      </c>
      <c r="C34" s="122">
        <v>4395.26</v>
      </c>
      <c r="D34" s="103">
        <f t="shared" si="0"/>
        <v>2.2748109365910464E-2</v>
      </c>
      <c r="J34" s="98"/>
      <c r="K34" s="99"/>
    </row>
    <row r="35" spans="2:11" ht="14.25" customHeight="1" x14ac:dyDescent="0.2">
      <c r="B35" s="64">
        <v>44409</v>
      </c>
      <c r="C35" s="122">
        <v>4522.68</v>
      </c>
      <c r="D35" s="103">
        <f t="shared" si="0"/>
        <v>2.8990321391681052E-2</v>
      </c>
      <c r="J35" s="98"/>
      <c r="K35" s="99"/>
    </row>
    <row r="36" spans="2:11" ht="14.25" customHeight="1" x14ac:dyDescent="0.2">
      <c r="B36" s="64">
        <v>44440</v>
      </c>
      <c r="C36" s="122">
        <v>4307.54</v>
      </c>
      <c r="D36" s="103">
        <f t="shared" si="0"/>
        <v>-4.7569140421166278E-2</v>
      </c>
      <c r="J36" s="98"/>
      <c r="K36" s="99"/>
    </row>
    <row r="37" spans="2:11" ht="14.25" customHeight="1" x14ac:dyDescent="0.2">
      <c r="B37" s="64">
        <v>44470</v>
      </c>
      <c r="C37" s="122">
        <v>4605.38</v>
      </c>
      <c r="D37" s="103">
        <f t="shared" si="0"/>
        <v>6.9143873301234615E-2</v>
      </c>
      <c r="J37" s="98"/>
      <c r="K37" s="99"/>
    </row>
    <row r="38" spans="2:11" ht="14.25" customHeight="1" x14ac:dyDescent="0.2">
      <c r="B38" s="64">
        <v>44501</v>
      </c>
      <c r="C38" s="122">
        <v>4567</v>
      </c>
      <c r="D38" s="103">
        <f t="shared" si="0"/>
        <v>-8.3337314184714628E-3</v>
      </c>
      <c r="J38" s="98"/>
      <c r="K38" s="99"/>
    </row>
    <row r="39" spans="2:11" ht="14.25" customHeight="1" x14ac:dyDescent="0.2">
      <c r="B39" s="64">
        <v>44531</v>
      </c>
      <c r="C39" s="122">
        <v>4766.18</v>
      </c>
      <c r="D39" s="103">
        <f t="shared" si="0"/>
        <v>4.3612874972629799E-2</v>
      </c>
      <c r="J39" s="98"/>
      <c r="K39" s="99"/>
    </row>
    <row r="40" spans="2:11" ht="14.25" customHeight="1" x14ac:dyDescent="0.2">
      <c r="B40" s="64">
        <v>44562</v>
      </c>
      <c r="C40" s="122">
        <v>4515.55</v>
      </c>
      <c r="D40" s="103">
        <f t="shared" si="0"/>
        <v>-5.2585089106999758E-2</v>
      </c>
      <c r="J40" s="98"/>
      <c r="K40" s="99"/>
    </row>
    <row r="41" spans="2:11" ht="14.25" customHeight="1" x14ac:dyDescent="0.2">
      <c r="B41" s="64">
        <v>44593</v>
      </c>
      <c r="C41" s="122">
        <v>4373.9399999999996</v>
      </c>
      <c r="D41" s="103">
        <f t="shared" si="0"/>
        <v>-3.136052086678269E-2</v>
      </c>
      <c r="J41" s="98"/>
      <c r="K41" s="99"/>
    </row>
    <row r="42" spans="2:11" ht="14.25" customHeight="1" x14ac:dyDescent="0.2">
      <c r="B42" s="64">
        <v>44621</v>
      </c>
      <c r="C42" s="122">
        <v>4530.41</v>
      </c>
      <c r="D42" s="103">
        <f t="shared" si="0"/>
        <v>3.5773238773279988E-2</v>
      </c>
      <c r="J42" s="98"/>
      <c r="K42" s="99"/>
    </row>
    <row r="43" spans="2:11" ht="14.25" customHeight="1" x14ac:dyDescent="0.2">
      <c r="B43" s="64">
        <v>44652</v>
      </c>
      <c r="C43" s="122">
        <v>4131.93</v>
      </c>
      <c r="D43" s="103">
        <f t="shared" si="0"/>
        <v>-8.7956719149039395E-2</v>
      </c>
      <c r="J43" s="98"/>
      <c r="K43" s="99"/>
    </row>
    <row r="44" spans="2:11" ht="14.25" customHeight="1" x14ac:dyDescent="0.2">
      <c r="B44" s="64">
        <v>44682</v>
      </c>
      <c r="C44" s="122">
        <v>4132.1499999999996</v>
      </c>
      <c r="D44" s="103">
        <f t="shared" si="0"/>
        <v>5.3243883608711947E-5</v>
      </c>
      <c r="J44" s="98"/>
      <c r="K44" s="99"/>
    </row>
    <row r="45" spans="2:11" ht="14.25" customHeight="1" x14ac:dyDescent="0.2">
      <c r="B45" s="64">
        <v>44713</v>
      </c>
      <c r="C45" s="122">
        <v>3785.38</v>
      </c>
      <c r="D45" s="103">
        <f t="shared" si="0"/>
        <v>-8.391999322386641E-2</v>
      </c>
      <c r="J45" s="98"/>
      <c r="K45" s="99"/>
    </row>
    <row r="46" spans="2:11" ht="14.25" customHeight="1" x14ac:dyDescent="0.2">
      <c r="B46" s="64">
        <v>44743</v>
      </c>
      <c r="C46" s="122">
        <v>4130.29</v>
      </c>
      <c r="D46" s="103">
        <f t="shared" si="0"/>
        <v>9.1116347632205968E-2</v>
      </c>
      <c r="J46" s="98"/>
      <c r="K46" s="99"/>
    </row>
    <row r="47" spans="2:11" ht="14.25" customHeight="1" x14ac:dyDescent="0.2">
      <c r="B47" s="64">
        <v>44774</v>
      </c>
      <c r="C47" s="122">
        <v>3955</v>
      </c>
      <c r="D47" s="103">
        <f t="shared" si="0"/>
        <v>-4.2440119216810436E-2</v>
      </c>
      <c r="J47" s="98"/>
      <c r="K47" s="99"/>
    </row>
    <row r="48" spans="2:11" ht="14.25" customHeight="1" x14ac:dyDescent="0.2">
      <c r="B48" s="64">
        <v>44805</v>
      </c>
      <c r="C48" s="122">
        <v>3585.62</v>
      </c>
      <c r="D48" s="103">
        <f t="shared" si="0"/>
        <v>-9.3395701643489287E-2</v>
      </c>
      <c r="J48" s="98"/>
      <c r="K48" s="99"/>
    </row>
    <row r="49" spans="2:11" ht="14.25" customHeight="1" x14ac:dyDescent="0.2">
      <c r="B49" s="64">
        <v>44835</v>
      </c>
      <c r="C49" s="122">
        <v>3871.98</v>
      </c>
      <c r="D49" s="103">
        <f t="shared" si="0"/>
        <v>7.9863454576893297E-2</v>
      </c>
      <c r="J49" s="98"/>
      <c r="K49" s="99"/>
    </row>
    <row r="50" spans="2:11" ht="14.25" customHeight="1" x14ac:dyDescent="0.2">
      <c r="B50" s="64">
        <v>44866</v>
      </c>
      <c r="C50" s="122">
        <v>4080.11</v>
      </c>
      <c r="D50" s="103">
        <f t="shared" si="0"/>
        <v>5.375286029369989E-2</v>
      </c>
      <c r="J50" s="98"/>
      <c r="K50" s="99"/>
    </row>
    <row r="51" spans="2:11" ht="14.25" customHeight="1" x14ac:dyDescent="0.2">
      <c r="B51" s="64">
        <v>44896</v>
      </c>
      <c r="C51" s="122">
        <v>3839.5</v>
      </c>
      <c r="D51" s="103">
        <f t="shared" si="0"/>
        <v>-5.897144929916108E-2</v>
      </c>
      <c r="J51" s="98"/>
      <c r="K51" s="99"/>
    </row>
    <row r="52" spans="2:11" ht="14.25" customHeight="1" x14ac:dyDescent="0.2">
      <c r="B52" s="64">
        <v>44927</v>
      </c>
      <c r="C52" s="122">
        <v>4076.6</v>
      </c>
      <c r="D52" s="103">
        <f t="shared" si="0"/>
        <v>6.1752832400052068E-2</v>
      </c>
      <c r="J52" s="98"/>
      <c r="K52" s="99"/>
    </row>
    <row r="53" spans="2:11" ht="14.25" customHeight="1" x14ac:dyDescent="0.2">
      <c r="B53" s="64">
        <v>44958</v>
      </c>
      <c r="C53" s="122">
        <v>3970.15</v>
      </c>
      <c r="D53" s="103">
        <f t="shared" si="0"/>
        <v>-2.6112446646715356E-2</v>
      </c>
      <c r="J53" s="98"/>
      <c r="K53" s="99"/>
    </row>
    <row r="54" spans="2:11" ht="14.25" customHeight="1" x14ac:dyDescent="0.2">
      <c r="B54" s="64">
        <v>44986</v>
      </c>
      <c r="C54" s="122">
        <v>4109.3100000000004</v>
      </c>
      <c r="D54" s="103">
        <f t="shared" si="0"/>
        <v>3.5051572358727079E-2</v>
      </c>
      <c r="J54" s="98"/>
      <c r="K54" s="99"/>
    </row>
    <row r="55" spans="2:11" ht="14.25" customHeight="1" x14ac:dyDescent="0.2">
      <c r="B55" s="64">
        <v>45017</v>
      </c>
      <c r="C55" s="122">
        <v>4169.4799999999996</v>
      </c>
      <c r="D55" s="103">
        <f t="shared" si="0"/>
        <v>1.4642360882970416E-2</v>
      </c>
      <c r="J55" s="98"/>
      <c r="K55" s="99"/>
    </row>
    <row r="56" spans="2:11" ht="14.25" customHeight="1" x14ac:dyDescent="0.2">
      <c r="B56" s="64">
        <v>45047</v>
      </c>
      <c r="C56" s="122">
        <v>4179.83</v>
      </c>
      <c r="D56" s="103">
        <f t="shared" si="0"/>
        <v>2.4823239348792572E-3</v>
      </c>
      <c r="J56" s="98"/>
      <c r="K56" s="99"/>
    </row>
    <row r="57" spans="2:11" ht="14.25" customHeight="1" x14ac:dyDescent="0.2">
      <c r="B57" s="64">
        <v>45078</v>
      </c>
      <c r="C57" s="122">
        <v>4450.38</v>
      </c>
      <c r="D57" s="103">
        <f t="shared" si="0"/>
        <v>6.4727512841431398E-2</v>
      </c>
      <c r="J57" s="98"/>
      <c r="K57" s="99"/>
    </row>
    <row r="58" spans="2:11" ht="14.25" customHeight="1" x14ac:dyDescent="0.2">
      <c r="B58" s="64">
        <v>45108</v>
      </c>
      <c r="C58" s="122">
        <v>4588.96</v>
      </c>
      <c r="D58" s="103">
        <f t="shared" si="0"/>
        <v>3.1138913980379185E-2</v>
      </c>
      <c r="J58" s="98"/>
      <c r="K58" s="99"/>
    </row>
    <row r="59" spans="2:11" ht="14.25" customHeight="1" x14ac:dyDescent="0.2">
      <c r="B59" s="64">
        <v>45139</v>
      </c>
      <c r="C59" s="122">
        <v>4507.66</v>
      </c>
      <c r="D59" s="103">
        <f t="shared" si="0"/>
        <v>-1.7716432481433741E-2</v>
      </c>
      <c r="J59" s="98"/>
      <c r="K59" s="99"/>
    </row>
    <row r="60" spans="2:11" ht="14.25" customHeight="1" x14ac:dyDescent="0.2">
      <c r="B60" s="64">
        <v>45170</v>
      </c>
      <c r="C60" s="122">
        <v>4288.05</v>
      </c>
      <c r="D60" s="103">
        <f t="shared" si="0"/>
        <v>-4.8719291162155016E-2</v>
      </c>
      <c r="J60" s="98"/>
      <c r="K60" s="99"/>
    </row>
    <row r="61" spans="2:11" ht="14.25" customHeight="1" x14ac:dyDescent="0.2">
      <c r="B61" s="64">
        <v>45200</v>
      </c>
      <c r="C61" s="122">
        <v>4193.8</v>
      </c>
      <c r="D61" s="103">
        <f t="shared" si="0"/>
        <v>-2.1979687736850082E-2</v>
      </c>
      <c r="J61" s="98"/>
      <c r="K61" s="99"/>
    </row>
    <row r="62" spans="2:11" ht="14.25" customHeight="1" thickBot="1" x14ac:dyDescent="0.25">
      <c r="B62" s="65">
        <v>45231</v>
      </c>
      <c r="C62" s="123">
        <v>4317.78</v>
      </c>
      <c r="D62" s="104">
        <f t="shared" si="0"/>
        <v>2.9562687777194802E-2</v>
      </c>
      <c r="J62" s="98"/>
      <c r="K62" s="99"/>
    </row>
    <row r="63" spans="2:11" ht="14.25" customHeight="1" x14ac:dyDescent="0.2">
      <c r="J63" s="98"/>
      <c r="K63" s="99"/>
    </row>
    <row r="64" spans="2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11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734D-7267-FA44-84BB-F2B9CFA04082}">
  <dimension ref="A1:AG1000"/>
  <sheetViews>
    <sheetView tabSelected="1" zoomScale="132" workbookViewId="0">
      <selection activeCell="D6" sqref="D6"/>
    </sheetView>
  </sheetViews>
  <sheetFormatPr baseColWidth="10" defaultColWidth="14.5" defaultRowHeight="15" customHeight="1" x14ac:dyDescent="0.2"/>
  <cols>
    <col min="1" max="1" width="10.6640625" customWidth="1"/>
    <col min="2" max="2" width="14.5" customWidth="1"/>
    <col min="3" max="3" width="12.33203125" customWidth="1"/>
    <col min="4" max="4" width="12.83203125" customWidth="1"/>
    <col min="5" max="5" width="37.5" customWidth="1"/>
    <col min="6" max="7" width="13.1640625" customWidth="1"/>
    <col min="8" max="8" width="11.83203125" customWidth="1"/>
    <col min="9" max="9" width="17.5" customWidth="1"/>
    <col min="10" max="10" width="10.6640625" customWidth="1"/>
    <col min="11" max="11" width="16.5" customWidth="1"/>
    <col min="12" max="33" width="10.6640625" customWidth="1"/>
  </cols>
  <sheetData>
    <row r="1" spans="1:33" ht="14.25" customHeight="1" x14ac:dyDescent="0.2">
      <c r="A1" s="5"/>
      <c r="B1" s="5"/>
      <c r="C1" s="5"/>
      <c r="D1" s="5"/>
      <c r="E1" s="5"/>
      <c r="F1" s="201" t="s">
        <v>145</v>
      </c>
      <c r="G1" s="202"/>
      <c r="H1" s="20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4.25" customHeight="1" thickBot="1" x14ac:dyDescent="0.25">
      <c r="D2" s="3" t="s">
        <v>146</v>
      </c>
    </row>
    <row r="3" spans="1:33" ht="14.25" customHeight="1" thickBot="1" x14ac:dyDescent="0.25">
      <c r="B3" s="31"/>
      <c r="C3" s="31" t="s">
        <v>147</v>
      </c>
      <c r="D3" s="28" t="s">
        <v>148</v>
      </c>
      <c r="H3" s="74"/>
      <c r="I3" s="129"/>
      <c r="J3" s="129"/>
    </row>
    <row r="4" spans="1:33" ht="14.25" customHeight="1" x14ac:dyDescent="0.2">
      <c r="B4" s="32" t="s">
        <v>149</v>
      </c>
      <c r="C4" s="142">
        <f>(return_m-G5)/sd_m</f>
        <v>0.43252286966222159</v>
      </c>
      <c r="D4" s="150">
        <f>(return_sp-G5)/sd_sp</f>
        <v>0.14462266669087673</v>
      </c>
      <c r="G4" s="10"/>
      <c r="H4" s="130"/>
      <c r="I4" s="129"/>
      <c r="J4" s="129"/>
    </row>
    <row r="5" spans="1:33" ht="14.25" customHeight="1" x14ac:dyDescent="0.2">
      <c r="B5" s="32" t="s">
        <v>150</v>
      </c>
      <c r="C5" s="142">
        <f>G5+C4*sd_sp</f>
        <v>2.5838651987591544E-2</v>
      </c>
      <c r="D5" s="150">
        <f>G5+D4*sd_sp</f>
        <v>1.063655978850285E-2</v>
      </c>
      <c r="F5" s="131" t="s">
        <v>151</v>
      </c>
      <c r="G5" s="132">
        <v>3.0000000000000001E-3</v>
      </c>
      <c r="H5" s="81"/>
      <c r="I5" s="129"/>
      <c r="J5" s="129"/>
    </row>
    <row r="6" spans="1:33" ht="14.25" customHeight="1" x14ac:dyDescent="0.2">
      <c r="B6" s="32" t="s">
        <v>152</v>
      </c>
      <c r="C6" s="142">
        <f>return_m-(G5+C7*(return_sp-G5))</f>
        <v>1.5931015521501168E-2</v>
      </c>
      <c r="D6" s="184">
        <f>return_sp-(G5+D7*(return_sp-G5))</f>
        <v>0</v>
      </c>
    </row>
    <row r="7" spans="1:33" ht="14.25" customHeight="1" x14ac:dyDescent="0.2">
      <c r="B7" s="32" t="s">
        <v>119</v>
      </c>
      <c r="C7" s="142" cm="1">
        <f t="array" ref="C7">MMULT(TRANSPOSE(w_mvp),TRANSPOSE('II. Univ Stats'!C6:Z6))</f>
        <v>0.72621589384792029</v>
      </c>
      <c r="D7" s="185">
        <v>1</v>
      </c>
    </row>
    <row r="8" spans="1:33" ht="14.25" customHeight="1" x14ac:dyDescent="0.2">
      <c r="B8" s="32" t="s">
        <v>153</v>
      </c>
      <c r="C8" s="142">
        <f>(return_m-G5)/C7</f>
        <v>2.9573583828405435E-2</v>
      </c>
      <c r="D8" s="186">
        <f>(return_sp-G5)/D7</f>
        <v>7.6365597885028518E-3</v>
      </c>
      <c r="F8" s="10"/>
    </row>
    <row r="9" spans="1:33" ht="14.25" customHeight="1" x14ac:dyDescent="0.2">
      <c r="B9" s="32" t="s">
        <v>154</v>
      </c>
      <c r="C9" s="142" cm="1">
        <f t="array" ref="C9">SQRT(MMULT(TRANSPOSE(w_mvp),TRANSPOSE(J14:AG14)))</f>
        <v>0.35285755759954684</v>
      </c>
      <c r="D9" s="185">
        <v>0</v>
      </c>
    </row>
    <row r="10" spans="1:33" ht="14.25" customHeight="1" thickBot="1" x14ac:dyDescent="0.25">
      <c r="B10" s="33" t="s">
        <v>155</v>
      </c>
      <c r="C10" s="143">
        <f>(return_m-return_sp)/F15</f>
        <v>0.28730127729539806</v>
      </c>
      <c r="D10" s="153">
        <v>0</v>
      </c>
      <c r="G10" s="20"/>
    </row>
    <row r="11" spans="1:33" ht="14.25" customHeight="1" thickBot="1" x14ac:dyDescent="0.25"/>
    <row r="12" spans="1:33" ht="14.25" customHeight="1" thickBot="1" x14ac:dyDescent="0.25">
      <c r="I12" s="203" t="s">
        <v>156</v>
      </c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2"/>
    </row>
    <row r="13" spans="1:33" ht="14.25" customHeight="1" thickBot="1" x14ac:dyDescent="0.25">
      <c r="B13" s="204" t="s">
        <v>157</v>
      </c>
      <c r="C13" s="205"/>
      <c r="D13" s="205"/>
      <c r="E13" s="206"/>
      <c r="I13" s="34"/>
      <c r="J13" s="83" t="s">
        <v>114</v>
      </c>
      <c r="K13" s="84" t="s">
        <v>68</v>
      </c>
      <c r="L13" s="84" t="s">
        <v>69</v>
      </c>
      <c r="M13" s="84" t="s">
        <v>22</v>
      </c>
      <c r="N13" s="84" t="s">
        <v>70</v>
      </c>
      <c r="O13" s="84" t="s">
        <v>71</v>
      </c>
      <c r="P13" s="84" t="s">
        <v>72</v>
      </c>
      <c r="Q13" s="84" t="s">
        <v>73</v>
      </c>
      <c r="R13" s="84" t="s">
        <v>74</v>
      </c>
      <c r="S13" s="84" t="s">
        <v>75</v>
      </c>
      <c r="T13" s="84" t="s">
        <v>76</v>
      </c>
      <c r="U13" s="84" t="s">
        <v>77</v>
      </c>
      <c r="V13" s="84" t="s">
        <v>78</v>
      </c>
      <c r="W13" s="84" t="s">
        <v>42</v>
      </c>
      <c r="X13" s="84" t="s">
        <v>79</v>
      </c>
      <c r="Y13" s="84" t="s">
        <v>80</v>
      </c>
      <c r="Z13" s="84" t="s">
        <v>81</v>
      </c>
      <c r="AA13" s="84" t="s">
        <v>82</v>
      </c>
      <c r="AB13" s="84" t="s">
        <v>83</v>
      </c>
      <c r="AC13" s="84" t="s">
        <v>49</v>
      </c>
      <c r="AD13" s="84" t="s">
        <v>84</v>
      </c>
      <c r="AE13" s="84" t="s">
        <v>85</v>
      </c>
      <c r="AF13" s="84" t="s">
        <v>86</v>
      </c>
      <c r="AG13" s="86" t="s">
        <v>115</v>
      </c>
    </row>
    <row r="14" spans="1:33" ht="14.25" customHeight="1" thickBot="1" x14ac:dyDescent="0.25">
      <c r="B14" s="4" t="s">
        <v>88</v>
      </c>
      <c r="C14" s="31" t="s">
        <v>147</v>
      </c>
      <c r="D14" s="27" t="s">
        <v>148</v>
      </c>
      <c r="E14" s="31" t="s">
        <v>158</v>
      </c>
      <c r="F14" s="34" t="s">
        <v>159</v>
      </c>
      <c r="I14" s="66" t="s">
        <v>160</v>
      </c>
      <c r="J14" s="35">
        <f>'II. Univ Stats'!C5-('II. Univ Stats'!C6*sd_sp)^2</f>
        <v>1.2748847496230705E-2</v>
      </c>
      <c r="K14" s="35">
        <f>'II. Univ Stats'!D5-('II. Univ Stats'!D6*sd_sp)^2</f>
        <v>5.0682605340838854E-3</v>
      </c>
      <c r="L14" s="35">
        <f>'II. Univ Stats'!E5-('II. Univ Stats'!E6*sd_sp)^2</f>
        <v>2.7173653168522374E-3</v>
      </c>
      <c r="M14" s="35">
        <f>'II. Univ Stats'!F5-('II. Univ Stats'!F6*sd_sp)^2</f>
        <v>4.0311104092231919E-3</v>
      </c>
      <c r="N14" s="35">
        <f>'II. Univ Stats'!G5-('II. Univ Stats'!G6*sd_sp)^2</f>
        <v>2.3136392053420334</v>
      </c>
      <c r="O14" s="35">
        <f>'II. Univ Stats'!H5-('II. Univ Stats'!H6*sd_sp)^2</f>
        <v>1.6656439760527656E-3</v>
      </c>
      <c r="P14" s="35">
        <f>'II. Univ Stats'!I5-('II. Univ Stats'!I6*sd_sp)^2</f>
        <v>2.3404186004649199E-3</v>
      </c>
      <c r="Q14" s="35">
        <f>'II. Univ Stats'!J5-('II. Univ Stats'!J6*sd_sp)^2</f>
        <v>4.555448845059343E-3</v>
      </c>
      <c r="R14" s="35">
        <f>'II. Univ Stats'!K5-('II. Univ Stats'!K6*sd_sp)^2</f>
        <v>3.4202440900979554E-3</v>
      </c>
      <c r="S14" s="35">
        <f>'II. Univ Stats'!L5-('II. Univ Stats'!L6*sd_sp)^2</f>
        <v>1.8085298809306957E-3</v>
      </c>
      <c r="T14" s="35">
        <f>'II. Univ Stats'!M5-('II. Univ Stats'!M6*sd_sp)^2</f>
        <v>3.4291762146289985E-3</v>
      </c>
      <c r="U14" s="35">
        <f>'II. Univ Stats'!N5-('II. Univ Stats'!N6*sd_sp)^2</f>
        <v>1.3313795672590879E-3</v>
      </c>
      <c r="V14" s="35">
        <f>'II. Univ Stats'!O5-('II. Univ Stats'!O6*sd_sp)^2</f>
        <v>3.5216951071518165E-3</v>
      </c>
      <c r="W14" s="35">
        <f>'II. Univ Stats'!P5-('II. Univ Stats'!P6*sd_sp)^2</f>
        <v>2.1792094752123509E-3</v>
      </c>
      <c r="X14" s="35">
        <f>'II. Univ Stats'!Q5-('II. Univ Stats'!Q6*sd_sp)^2</f>
        <v>1.5369010776905417E-3</v>
      </c>
      <c r="Y14" s="35">
        <f>'II. Univ Stats'!R5-('II. Univ Stats'!R6*sd_sp)^2</f>
        <v>2.6235804145478218E-3</v>
      </c>
      <c r="Z14" s="35">
        <f>'II. Univ Stats'!S5-('II. Univ Stats'!S6*sd_sp)^2</f>
        <v>6.7375498308253987E-3</v>
      </c>
      <c r="AA14" s="35">
        <f>'II. Univ Stats'!T5-('II. Univ Stats'!T6*sd_sp)^2</f>
        <v>4.3876366333472569E-3</v>
      </c>
      <c r="AB14" s="35">
        <f>'II. Univ Stats'!U5-('II. Univ Stats'!U6*sd_sp)^2</f>
        <v>7.9937193157873301E-3</v>
      </c>
      <c r="AC14" s="35">
        <f>'II. Univ Stats'!V5-('II. Univ Stats'!V6*sd_sp)^2</f>
        <v>3.4094317143491398E-2</v>
      </c>
      <c r="AD14" s="35">
        <f>'II. Univ Stats'!W5-('II. Univ Stats'!W6*sd_sp)^2</f>
        <v>2.6657792839245274E-2</v>
      </c>
      <c r="AE14" s="35">
        <f>'II. Univ Stats'!X5-('II. Univ Stats'!X6*sd_sp)^2</f>
        <v>1.0831764961063764E-3</v>
      </c>
      <c r="AF14" s="35">
        <f>'II. Univ Stats'!Y5-('II. Univ Stats'!Y6*sd_sp)^2</f>
        <v>3.8116834011855155E-3</v>
      </c>
      <c r="AG14" s="36">
        <f>'II. Univ Stats'!Z5-('II. Univ Stats'!Z6*sd_sp)^2</f>
        <v>2.7525728987758985E-2</v>
      </c>
    </row>
    <row r="15" spans="1:33" ht="14.25" customHeight="1" thickBot="1" x14ac:dyDescent="0.25">
      <c r="B15" s="63">
        <v>43435</v>
      </c>
      <c r="C15" s="2"/>
      <c r="D15" s="5"/>
      <c r="E15" s="2"/>
      <c r="F15" s="37">
        <f>_xlfn.STDEV.S(E16:E74)</f>
        <v>4.81732867880664E-2</v>
      </c>
      <c r="H15" s="83" t="s">
        <v>114</v>
      </c>
      <c r="I15" s="107">
        <v>1.2748847496230705E-2</v>
      </c>
    </row>
    <row r="16" spans="1:33" ht="14.25" customHeight="1" x14ac:dyDescent="0.2">
      <c r="B16" s="64">
        <v>43466</v>
      </c>
      <c r="C16" s="1" cm="1">
        <f t="array" ref="C16">MMULT(TRANSPOSE(w_mvp),TRANSPOSE('II. Univ Stats'!C10:Z10))</f>
        <v>6.9421191517232694E-2</v>
      </c>
      <c r="D16" s="10">
        <f>'VI. SP 500'!D4</f>
        <v>7.8684404731036967E-2</v>
      </c>
      <c r="E16" s="1">
        <f t="shared" ref="E16:E74" si="0">C16-D16</f>
        <v>-9.2632132138042722E-3</v>
      </c>
      <c r="H16" s="93" t="s">
        <v>68</v>
      </c>
      <c r="I16" s="105">
        <v>5.0682605340838854E-3</v>
      </c>
    </row>
    <row r="17" spans="2:9" ht="14.25" customHeight="1" x14ac:dyDescent="0.2">
      <c r="B17" s="64">
        <v>43497</v>
      </c>
      <c r="C17" s="1" cm="1">
        <f t="array" ref="C17">MMULT(TRANSPOSE(w_mvp),TRANSPOSE('II. Univ Stats'!C11:Z11))</f>
        <v>1.8752464470277803E-2</v>
      </c>
      <c r="D17" s="10">
        <f>'VI. SP 500'!D5</f>
        <v>2.9728930143115964E-2</v>
      </c>
      <c r="E17" s="1">
        <f t="shared" si="0"/>
        <v>-1.0976465672838161E-2</v>
      </c>
      <c r="H17" s="93" t="s">
        <v>69</v>
      </c>
      <c r="I17" s="105">
        <v>2.7173653168522374E-3</v>
      </c>
    </row>
    <row r="18" spans="2:9" ht="14.25" customHeight="1" x14ac:dyDescent="0.2">
      <c r="B18" s="64">
        <v>43525</v>
      </c>
      <c r="C18" s="1" cm="1">
        <f t="array" ref="C18">MMULT(TRANSPOSE(w_mvp),TRANSPOSE('II. Univ Stats'!C12:Z12))</f>
        <v>2.9908308468733213E-3</v>
      </c>
      <c r="D18" s="10">
        <f>'VI. SP 500'!D6</f>
        <v>1.7924287751078408E-2</v>
      </c>
      <c r="E18" s="1">
        <f t="shared" si="0"/>
        <v>-1.4933456904205087E-2</v>
      </c>
      <c r="H18" s="93" t="s">
        <v>22</v>
      </c>
      <c r="I18" s="105">
        <v>4.0311104092231919E-3</v>
      </c>
    </row>
    <row r="19" spans="2:9" ht="14.25" customHeight="1" x14ac:dyDescent="0.2">
      <c r="B19" s="64">
        <v>43556</v>
      </c>
      <c r="C19" s="1" cm="1">
        <f t="array" ref="C19">MMULT(TRANSPOSE(w_mvp),TRANSPOSE('II. Univ Stats'!C13:Z13))</f>
        <v>7.6588838595555509E-3</v>
      </c>
      <c r="D19" s="10">
        <f>'VI. SP 500'!D7</f>
        <v>3.9313434942139368E-2</v>
      </c>
      <c r="E19" s="1">
        <f t="shared" si="0"/>
        <v>-3.1654551082583818E-2</v>
      </c>
      <c r="H19" s="93" t="s">
        <v>70</v>
      </c>
      <c r="I19" s="105">
        <v>2.3136392053420334</v>
      </c>
    </row>
    <row r="20" spans="2:9" ht="14.25" customHeight="1" x14ac:dyDescent="0.2">
      <c r="B20" s="64">
        <v>43586</v>
      </c>
      <c r="C20" s="1" cm="1">
        <f t="array" ref="C20">MMULT(TRANSPOSE(w_mvp),TRANSPOSE('II. Univ Stats'!C14:Z14))</f>
        <v>-4.8978355564048941E-2</v>
      </c>
      <c r="D20" s="10">
        <f>'VI. SP 500'!D8</f>
        <v>-6.5777726481161508E-2</v>
      </c>
      <c r="E20" s="1">
        <f t="shared" si="0"/>
        <v>1.6799370917112567E-2</v>
      </c>
      <c r="H20" s="93" t="s">
        <v>71</v>
      </c>
      <c r="I20" s="105">
        <v>1.6656439760527656E-3</v>
      </c>
    </row>
    <row r="21" spans="2:9" ht="14.25" customHeight="1" x14ac:dyDescent="0.2">
      <c r="B21" s="64">
        <v>43617</v>
      </c>
      <c r="C21" s="1" cm="1">
        <f t="array" ref="C21">MMULT(TRANSPOSE(w_mvp),TRANSPOSE('II. Univ Stats'!C15:Z15))</f>
        <v>3.327255559155997E-2</v>
      </c>
      <c r="D21" s="10">
        <f>'VI. SP 500'!D9</f>
        <v>6.8930183208215035E-2</v>
      </c>
      <c r="E21" s="1">
        <f t="shared" si="0"/>
        <v>-3.5657627616655065E-2</v>
      </c>
      <c r="H21" s="93" t="s">
        <v>72</v>
      </c>
      <c r="I21" s="105">
        <v>2.3404186004649199E-3</v>
      </c>
    </row>
    <row r="22" spans="2:9" ht="14.25" customHeight="1" x14ac:dyDescent="0.2">
      <c r="B22" s="64">
        <v>43647</v>
      </c>
      <c r="C22" s="1" cm="1">
        <f t="array" ref="C22">MMULT(TRANSPOSE(w_mvp),TRANSPOSE('II. Univ Stats'!C16:Z16))</f>
        <v>-1.3685785900947964E-3</v>
      </c>
      <c r="D22" s="10">
        <f>'VI. SP 500'!D10</f>
        <v>1.312819536603934E-2</v>
      </c>
      <c r="E22" s="1">
        <f t="shared" si="0"/>
        <v>-1.4496773956134136E-2</v>
      </c>
      <c r="H22" s="93" t="s">
        <v>73</v>
      </c>
      <c r="I22" s="105">
        <v>4.555448845059343E-3</v>
      </c>
    </row>
    <row r="23" spans="2:9" ht="14.25" customHeight="1" x14ac:dyDescent="0.2">
      <c r="B23" s="64">
        <v>43678</v>
      </c>
      <c r="C23" s="1" cm="1">
        <f t="array" ref="C23">MMULT(TRANSPOSE(w_mvp),TRANSPOSE('II. Univ Stats'!C17:Z17))</f>
        <v>-1.2004753571982251E-2</v>
      </c>
      <c r="D23" s="10">
        <f>'VI. SP 500'!D11</f>
        <v>-1.8091652742267789E-2</v>
      </c>
      <c r="E23" s="1">
        <f t="shared" si="0"/>
        <v>6.0868991702855372E-3</v>
      </c>
      <c r="H23" s="93" t="s">
        <v>74</v>
      </c>
      <c r="I23" s="105">
        <v>3.4202440900979554E-3</v>
      </c>
    </row>
    <row r="24" spans="2:9" ht="14.25" customHeight="1" x14ac:dyDescent="0.2">
      <c r="B24" s="64">
        <v>43709</v>
      </c>
      <c r="C24" s="1" cm="1">
        <f t="array" ref="C24">MMULT(TRANSPOSE(w_mvp),TRANSPOSE('II. Univ Stats'!C18:Z18))</f>
        <v>2.6532626475899462E-2</v>
      </c>
      <c r="D24" s="10">
        <f>'VI. SP 500'!D12</f>
        <v>1.7181167690656883E-2</v>
      </c>
      <c r="E24" s="1">
        <f t="shared" si="0"/>
        <v>9.3514587852425793E-3</v>
      </c>
      <c r="H24" s="93" t="s">
        <v>75</v>
      </c>
      <c r="I24" s="105">
        <v>1.8085298809306957E-3</v>
      </c>
    </row>
    <row r="25" spans="2:9" ht="14.25" customHeight="1" x14ac:dyDescent="0.2">
      <c r="B25" s="64">
        <v>43739</v>
      </c>
      <c r="C25" s="1" cm="1">
        <f t="array" ref="C25">MMULT(TRANSPOSE(w_mvp),TRANSPOSE('II. Univ Stats'!C19:Z19))</f>
        <v>-6.3507045539723875E-4</v>
      </c>
      <c r="D25" s="10">
        <f>'VI. SP 500'!D13</f>
        <v>2.0431747482144953E-2</v>
      </c>
      <c r="E25" s="1">
        <f t="shared" si="0"/>
        <v>-2.1066817937542191E-2</v>
      </c>
      <c r="H25" s="93" t="s">
        <v>76</v>
      </c>
      <c r="I25" s="105">
        <v>3.4291762146289985E-3</v>
      </c>
    </row>
    <row r="26" spans="2:9" ht="14.25" customHeight="1" x14ac:dyDescent="0.2">
      <c r="B26" s="64">
        <v>43770</v>
      </c>
      <c r="C26" s="1" cm="1">
        <f t="array" ref="C26">MMULT(TRANSPOSE(w_mvp),TRANSPOSE('II. Univ Stats'!C20:Z20))</f>
        <v>4.9012944505377173E-2</v>
      </c>
      <c r="D26" s="10">
        <f>'VI. SP 500'!D14</f>
        <v>3.4047064090915104E-2</v>
      </c>
      <c r="E26" s="1">
        <f t="shared" si="0"/>
        <v>1.496588041446207E-2</v>
      </c>
      <c r="H26" s="93" t="s">
        <v>77</v>
      </c>
      <c r="I26" s="105">
        <v>1.3313795672590879E-3</v>
      </c>
    </row>
    <row r="27" spans="2:9" ht="14.25" customHeight="1" x14ac:dyDescent="0.2">
      <c r="B27" s="64">
        <v>43800</v>
      </c>
      <c r="C27" s="1" cm="1">
        <f t="array" ref="C27">MMULT(TRANSPOSE(w_mvp),TRANSPOSE('II. Univ Stats'!C21:Z21))</f>
        <v>1.7542139459183707E-3</v>
      </c>
      <c r="D27" s="10">
        <f>'VI. SP 500'!D15</f>
        <v>2.8589803182446302E-2</v>
      </c>
      <c r="E27" s="1">
        <f t="shared" si="0"/>
        <v>-2.6835589236527929E-2</v>
      </c>
      <c r="H27" s="93" t="s">
        <v>78</v>
      </c>
      <c r="I27" s="105">
        <v>3.5216951071518165E-3</v>
      </c>
    </row>
    <row r="28" spans="2:9" ht="14.25" customHeight="1" x14ac:dyDescent="0.2">
      <c r="B28" s="64">
        <v>43831</v>
      </c>
      <c r="C28" s="1" cm="1">
        <f t="array" ref="C28">MMULT(TRANSPOSE(w_mvp),TRANSPOSE('II. Univ Stats'!C22:Z22))</f>
        <v>2.8431606575537446E-2</v>
      </c>
      <c r="D28" s="10">
        <f>'VI. SP 500'!D16</f>
        <v>-1.6280898111292685E-3</v>
      </c>
      <c r="E28" s="1">
        <f t="shared" si="0"/>
        <v>3.0059696386666713E-2</v>
      </c>
      <c r="H28" s="93" t="s">
        <v>42</v>
      </c>
      <c r="I28" s="105">
        <v>2.1792094752123509E-3</v>
      </c>
    </row>
    <row r="29" spans="2:9" ht="14.25" customHeight="1" x14ac:dyDescent="0.2">
      <c r="B29" s="64">
        <v>43862</v>
      </c>
      <c r="C29" s="1" cm="1">
        <f t="array" ref="C29">MMULT(TRANSPOSE(w_mvp),TRANSPOSE('II. Univ Stats'!C23:Z23))</f>
        <v>-3.8405730743045319E-2</v>
      </c>
      <c r="D29" s="10">
        <f>'VI. SP 500'!D17</f>
        <v>-8.4110469009648109E-2</v>
      </c>
      <c r="E29" s="1">
        <f t="shared" si="0"/>
        <v>4.570473826660279E-2</v>
      </c>
      <c r="H29" s="93" t="s">
        <v>79</v>
      </c>
      <c r="I29" s="105">
        <v>1.5369010776905417E-3</v>
      </c>
    </row>
    <row r="30" spans="2:9" ht="14.25" customHeight="1" x14ac:dyDescent="0.2">
      <c r="B30" s="64">
        <v>43891</v>
      </c>
      <c r="C30" s="1" cm="1">
        <f t="array" ref="C30">MMULT(TRANSPOSE(w_mvp),TRANSPOSE('II. Univ Stats'!C24:Z24))</f>
        <v>-7.0528640385080263E-2</v>
      </c>
      <c r="D30" s="10">
        <f>'VI. SP 500'!D18</f>
        <v>-0.12511932083595659</v>
      </c>
      <c r="E30" s="1">
        <f t="shared" si="0"/>
        <v>5.4590680450876325E-2</v>
      </c>
      <c r="H30" s="93" t="s">
        <v>80</v>
      </c>
      <c r="I30" s="105">
        <v>2.6235804145478218E-3</v>
      </c>
    </row>
    <row r="31" spans="2:9" ht="14.25" customHeight="1" x14ac:dyDescent="0.2">
      <c r="B31" s="64">
        <v>43922</v>
      </c>
      <c r="C31" s="1" cm="1">
        <f t="array" ref="C31">MMULT(TRANSPOSE(w_mvp),TRANSPOSE('II. Univ Stats'!C25:Z25))</f>
        <v>5.740369001957131E-2</v>
      </c>
      <c r="D31" s="10">
        <f>'VI. SP 500'!D19</f>
        <v>0.12684410293315368</v>
      </c>
      <c r="E31" s="1">
        <f t="shared" si="0"/>
        <v>-6.9440412913582369E-2</v>
      </c>
      <c r="H31" s="93" t="s">
        <v>81</v>
      </c>
      <c r="I31" s="105">
        <v>6.7375498308253987E-3</v>
      </c>
    </row>
    <row r="32" spans="2:9" ht="14.25" customHeight="1" x14ac:dyDescent="0.2">
      <c r="B32" s="64">
        <v>43952</v>
      </c>
      <c r="C32" s="1" cm="1">
        <f t="array" ref="C32">MMULT(TRANSPOSE(w_mvp),TRANSPOSE('II. Univ Stats'!C26:Z26))</f>
        <v>7.7477478982657E-2</v>
      </c>
      <c r="D32" s="10">
        <f>'VI. SP 500'!D20</f>
        <v>4.5281775012618368E-2</v>
      </c>
      <c r="E32" s="1">
        <f t="shared" si="0"/>
        <v>3.2195703970038632E-2</v>
      </c>
      <c r="H32" s="93" t="s">
        <v>82</v>
      </c>
      <c r="I32" s="105">
        <v>4.3876366333472569E-3</v>
      </c>
    </row>
    <row r="33" spans="2:9" ht="14.25" customHeight="1" x14ac:dyDescent="0.2">
      <c r="B33" s="64">
        <v>43983</v>
      </c>
      <c r="C33" s="1" cm="1">
        <f t="array" ref="C33">MMULT(TRANSPOSE(w_mvp),TRANSPOSE('II. Univ Stats'!C27:Z27))</f>
        <v>2.3578372589640843E-3</v>
      </c>
      <c r="D33" s="10">
        <f>'VI. SP 500'!D21</f>
        <v>1.838840328350267E-2</v>
      </c>
      <c r="E33" s="1">
        <f t="shared" si="0"/>
        <v>-1.6030566024538586E-2</v>
      </c>
      <c r="H33" s="93" t="s">
        <v>83</v>
      </c>
      <c r="I33" s="105">
        <v>7.9937193157873301E-3</v>
      </c>
    </row>
    <row r="34" spans="2:9" ht="14.25" customHeight="1" x14ac:dyDescent="0.2">
      <c r="B34" s="64">
        <v>44013</v>
      </c>
      <c r="C34" s="1" cm="1">
        <f t="array" ref="C34">MMULT(TRANSPOSE(w_mvp),TRANSPOSE('II. Univ Stats'!C28:Z28))</f>
        <v>3.4020514555272767E-2</v>
      </c>
      <c r="D34" s="10">
        <f>'VI. SP 500'!D22</f>
        <v>5.5101296975444213E-2</v>
      </c>
      <c r="E34" s="1">
        <f t="shared" si="0"/>
        <v>-2.1080782420171446E-2</v>
      </c>
      <c r="H34" s="93" t="s">
        <v>49</v>
      </c>
      <c r="I34" s="105">
        <v>3.4094317143491398E-2</v>
      </c>
    </row>
    <row r="35" spans="2:9" ht="14.25" customHeight="1" x14ac:dyDescent="0.2">
      <c r="B35" s="64">
        <v>44044</v>
      </c>
      <c r="C35" s="1" cm="1">
        <f t="array" ref="C35">MMULT(TRANSPOSE(w_mvp),TRANSPOSE('II. Univ Stats'!C29:Z29))</f>
        <v>2.0423809541383856E-2</v>
      </c>
      <c r="D35" s="10">
        <f>'VI. SP 500'!D23</f>
        <v>7.0064687324219249E-2</v>
      </c>
      <c r="E35" s="1">
        <f t="shared" si="0"/>
        <v>-4.9640877782835394E-2</v>
      </c>
      <c r="H35" s="93" t="s">
        <v>84</v>
      </c>
      <c r="I35" s="105">
        <v>2.6657792839245274E-2</v>
      </c>
    </row>
    <row r="36" spans="2:9" ht="14.25" customHeight="1" x14ac:dyDescent="0.2">
      <c r="B36" s="64">
        <v>44075</v>
      </c>
      <c r="C36" s="1" cm="1">
        <f t="array" ref="C36">MMULT(TRANSPOSE(w_mvp),TRANSPOSE('II. Univ Stats'!C30:Z30))</f>
        <v>-7.8003016179258006E-2</v>
      </c>
      <c r="D36" s="10">
        <f>'VI. SP 500'!D24</f>
        <v>-3.9227954095494386E-2</v>
      </c>
      <c r="E36" s="1">
        <f t="shared" si="0"/>
        <v>-3.877506208376362E-2</v>
      </c>
      <c r="H36" s="93" t="s">
        <v>85</v>
      </c>
      <c r="I36" s="105">
        <v>1.0831764961063764E-3</v>
      </c>
    </row>
    <row r="37" spans="2:9" ht="14.25" customHeight="1" x14ac:dyDescent="0.2">
      <c r="B37" s="64">
        <v>44105</v>
      </c>
      <c r="C37" s="1" cm="1">
        <f t="array" ref="C37">MMULT(TRANSPOSE(w_mvp),TRANSPOSE('II. Univ Stats'!C31:Z31))</f>
        <v>-3.0465140401326238E-2</v>
      </c>
      <c r="D37" s="10">
        <f>'VI. SP 500'!D25</f>
        <v>-2.766577460600653E-2</v>
      </c>
      <c r="E37" s="1">
        <f t="shared" si="0"/>
        <v>-2.7993657953197075E-3</v>
      </c>
      <c r="H37" s="93" t="s">
        <v>86</v>
      </c>
      <c r="I37" s="105">
        <v>3.8116834011855155E-3</v>
      </c>
    </row>
    <row r="38" spans="2:9" ht="14.25" customHeight="1" thickBot="1" x14ac:dyDescent="0.25">
      <c r="B38" s="64">
        <v>44136</v>
      </c>
      <c r="C38" s="1" cm="1">
        <f t="array" ref="C38">MMULT(TRANSPOSE(w_mvp),TRANSPOSE('II. Univ Stats'!C32:Z32))</f>
        <v>3.0359700633039433E-2</v>
      </c>
      <c r="D38" s="10">
        <f>'VI. SP 500'!D26</f>
        <v>0.10754565805086302</v>
      </c>
      <c r="E38" s="1">
        <f t="shared" si="0"/>
        <v>-7.7185957417823595E-2</v>
      </c>
      <c r="H38" s="94" t="s">
        <v>115</v>
      </c>
      <c r="I38" s="106">
        <v>2.1280134274006709E-2</v>
      </c>
    </row>
    <row r="39" spans="2:9" ht="14.25" customHeight="1" x14ac:dyDescent="0.2">
      <c r="B39" s="64">
        <v>44166</v>
      </c>
      <c r="C39" s="1" cm="1">
        <f t="array" ref="C39">MMULT(TRANSPOSE(w_mvp),TRANSPOSE('II. Univ Stats'!C33:Z33))</f>
        <v>-5.7901591438852176E-3</v>
      </c>
      <c r="D39" s="10">
        <f>'VI. SP 500'!D27</f>
        <v>3.7121406659432372E-2</v>
      </c>
      <c r="E39" s="1">
        <f t="shared" si="0"/>
        <v>-4.2911565803317592E-2</v>
      </c>
    </row>
    <row r="40" spans="2:9" ht="14.25" customHeight="1" x14ac:dyDescent="0.2">
      <c r="B40" s="64">
        <v>44197</v>
      </c>
      <c r="C40" s="1" cm="1">
        <f t="array" ref="C40">MMULT(TRANSPOSE(w_mvp),TRANSPOSE('II. Univ Stats'!C34:Z34))</f>
        <v>2.2847378454178235E-2</v>
      </c>
      <c r="D40" s="10">
        <f>'VI. SP 500'!D28</f>
        <v>-1.1136640158463601E-2</v>
      </c>
      <c r="E40" s="1">
        <f t="shared" si="0"/>
        <v>3.3984018612641838E-2</v>
      </c>
    </row>
    <row r="41" spans="2:9" ht="14.25" customHeight="1" x14ac:dyDescent="0.2">
      <c r="B41" s="64">
        <v>44228</v>
      </c>
      <c r="C41" s="1" cm="1">
        <f t="array" ref="C41">MMULT(TRANSPOSE(w_mvp),TRANSPOSE('II. Univ Stats'!C35:Z35))</f>
        <v>-5.7763781118799172E-3</v>
      </c>
      <c r="D41" s="10">
        <f>'VI. SP 500'!D29</f>
        <v>2.6091474971999741E-2</v>
      </c>
      <c r="E41" s="1">
        <f t="shared" si="0"/>
        <v>-3.1867853083879655E-2</v>
      </c>
    </row>
    <row r="42" spans="2:9" ht="14.25" customHeight="1" x14ac:dyDescent="0.2">
      <c r="B42" s="64">
        <v>44256</v>
      </c>
      <c r="C42" s="1" cm="1">
        <f t="array" ref="C42">MMULT(TRANSPOSE(w_mvp),TRANSPOSE('II. Univ Stats'!C36:Z36))</f>
        <v>1.7136761073467205E-2</v>
      </c>
      <c r="D42" s="10">
        <f>'VI. SP 500'!D30</f>
        <v>4.2438634008107733E-2</v>
      </c>
      <c r="E42" s="1">
        <f t="shared" si="0"/>
        <v>-2.5301872934640528E-2</v>
      </c>
    </row>
    <row r="43" spans="2:9" ht="14.25" customHeight="1" x14ac:dyDescent="0.2">
      <c r="B43" s="64">
        <v>44287</v>
      </c>
      <c r="C43" s="1" cm="1">
        <f t="array" ref="C43">MMULT(TRANSPOSE(w_mvp),TRANSPOSE('II. Univ Stats'!C37:Z37))</f>
        <v>1.4791784447343076E-2</v>
      </c>
      <c r="D43" s="10">
        <f>'VI. SP 500'!D31</f>
        <v>5.2425312555847307E-2</v>
      </c>
      <c r="E43" s="1">
        <f t="shared" si="0"/>
        <v>-3.7633528108504233E-2</v>
      </c>
    </row>
    <row r="44" spans="2:9" ht="14.25" customHeight="1" x14ac:dyDescent="0.2">
      <c r="B44" s="64">
        <v>44317</v>
      </c>
      <c r="C44" s="1" cm="1">
        <f t="array" ref="C44">MMULT(TRANSPOSE(w_mvp),TRANSPOSE('II. Univ Stats'!C38:Z38))</f>
        <v>4.2106107586170331E-2</v>
      </c>
      <c r="D44" s="10">
        <f>'VI. SP 500'!D32</f>
        <v>5.4865025818131288E-3</v>
      </c>
      <c r="E44" s="1">
        <f t="shared" si="0"/>
        <v>3.6619605004357202E-2</v>
      </c>
    </row>
    <row r="45" spans="2:9" ht="14.25" customHeight="1" x14ac:dyDescent="0.2">
      <c r="B45" s="64">
        <v>44348</v>
      </c>
      <c r="C45" s="1" cm="1">
        <f t="array" ref="C45">MMULT(TRANSPOSE(w_mvp),TRANSPOSE('II. Univ Stats'!C39:Z39))</f>
        <v>4.8388330471268531E-2</v>
      </c>
      <c r="D45" s="10">
        <f>'VI. SP 500'!D33</f>
        <v>2.221397632316955E-2</v>
      </c>
      <c r="E45" s="1">
        <f t="shared" si="0"/>
        <v>2.6174354148098981E-2</v>
      </c>
    </row>
    <row r="46" spans="2:9" ht="14.25" customHeight="1" x14ac:dyDescent="0.2">
      <c r="B46" s="64">
        <v>44378</v>
      </c>
      <c r="C46" s="1" cm="1">
        <f t="array" ref="C46">MMULT(TRANSPOSE(w_mvp),TRANSPOSE('II. Univ Stats'!C40:Z40))</f>
        <v>2.1201115167529632E-2</v>
      </c>
      <c r="D46" s="10">
        <f>'VI. SP 500'!D34</f>
        <v>2.2748109365910464E-2</v>
      </c>
      <c r="E46" s="1">
        <f t="shared" si="0"/>
        <v>-1.546994198380832E-3</v>
      </c>
    </row>
    <row r="47" spans="2:9" ht="14.25" customHeight="1" x14ac:dyDescent="0.2">
      <c r="B47" s="64">
        <v>44409</v>
      </c>
      <c r="C47" s="1" cm="1">
        <f t="array" ref="C47">MMULT(TRANSPOSE(w_mvp),TRANSPOSE('II. Univ Stats'!C41:Z41))</f>
        <v>4.1844356455724048E-2</v>
      </c>
      <c r="D47" s="10">
        <f>'VI. SP 500'!D35</f>
        <v>2.8990321391681052E-2</v>
      </c>
      <c r="E47" s="1">
        <f t="shared" si="0"/>
        <v>1.2854035064042996E-2</v>
      </c>
    </row>
    <row r="48" spans="2:9" ht="14.25" customHeight="1" x14ac:dyDescent="0.2">
      <c r="B48" s="64">
        <v>44440</v>
      </c>
      <c r="C48" s="1" cm="1">
        <f t="array" ref="C48">MMULT(TRANSPOSE(w_mvp),TRANSPOSE('II. Univ Stats'!C42:Z42))</f>
        <v>-5.0261563423453254E-2</v>
      </c>
      <c r="D48" s="10">
        <f>'VI. SP 500'!D36</f>
        <v>-4.7569140421166278E-2</v>
      </c>
      <c r="E48" s="1">
        <f t="shared" si="0"/>
        <v>-2.6924230022869755E-3</v>
      </c>
    </row>
    <row r="49" spans="2:5" ht="14.25" customHeight="1" x14ac:dyDescent="0.2">
      <c r="B49" s="64">
        <v>44470</v>
      </c>
      <c r="C49" s="1" cm="1">
        <f t="array" ref="C49">MMULT(TRANSPOSE(w_mvp),TRANSPOSE('II. Univ Stats'!C43:Z43))</f>
        <v>-1.2492430455065713E-2</v>
      </c>
      <c r="D49" s="10">
        <f>'VI. SP 500'!D37</f>
        <v>6.9143873301234615E-2</v>
      </c>
      <c r="E49" s="1">
        <f t="shared" si="0"/>
        <v>-8.1636303756300321E-2</v>
      </c>
    </row>
    <row r="50" spans="2:5" ht="14.25" customHeight="1" x14ac:dyDescent="0.2">
      <c r="B50" s="64">
        <v>44501</v>
      </c>
      <c r="C50" s="1" cm="1">
        <f t="array" ref="C50">MMULT(TRANSPOSE(w_mvp),TRANSPOSE('II. Univ Stats'!C44:Z44))</f>
        <v>-3.0372432626182357E-2</v>
      </c>
      <c r="D50" s="10">
        <f>'VI. SP 500'!D38</f>
        <v>-8.3337314184714628E-3</v>
      </c>
      <c r="E50" s="1">
        <f t="shared" si="0"/>
        <v>-2.2038701207710894E-2</v>
      </c>
    </row>
    <row r="51" spans="2:5" ht="14.25" customHeight="1" x14ac:dyDescent="0.2">
      <c r="B51" s="64">
        <v>44531</v>
      </c>
      <c r="C51" s="1" cm="1">
        <f t="array" ref="C51">MMULT(TRANSPOSE(w_mvp),TRANSPOSE('II. Univ Stats'!C45:Z45))</f>
        <v>1.8313956267351859E-2</v>
      </c>
      <c r="D51" s="10">
        <f>'VI. SP 500'!D39</f>
        <v>4.3612874972629799E-2</v>
      </c>
      <c r="E51" s="1">
        <f t="shared" si="0"/>
        <v>-2.529891870527794E-2</v>
      </c>
    </row>
    <row r="52" spans="2:5" ht="14.25" customHeight="1" x14ac:dyDescent="0.2">
      <c r="B52" s="64">
        <v>44562</v>
      </c>
      <c r="C52" s="1" cm="1">
        <f t="array" ref="C52">MMULT(TRANSPOSE(w_mvp),TRANSPOSE('II. Univ Stats'!C46:Z46))</f>
        <v>-8.4588147766591175E-4</v>
      </c>
      <c r="D52" s="10">
        <f>'VI. SP 500'!D40</f>
        <v>-5.2585089106999758E-2</v>
      </c>
      <c r="E52" s="1">
        <f t="shared" si="0"/>
        <v>5.1739207629333844E-2</v>
      </c>
    </row>
    <row r="53" spans="2:5" ht="14.25" customHeight="1" x14ac:dyDescent="0.2">
      <c r="B53" s="64">
        <v>44593</v>
      </c>
      <c r="C53" s="1" cm="1">
        <f t="array" ref="C53">MMULT(TRANSPOSE(w_mvp),TRANSPOSE('II. Univ Stats'!C47:Z47))</f>
        <v>-8.3127942409795652E-2</v>
      </c>
      <c r="D53" s="10">
        <f>'VI. SP 500'!D41</f>
        <v>-3.136052086678269E-2</v>
      </c>
      <c r="E53" s="1">
        <f t="shared" si="0"/>
        <v>-5.1767421543012962E-2</v>
      </c>
    </row>
    <row r="54" spans="2:5" ht="14.25" customHeight="1" x14ac:dyDescent="0.2">
      <c r="B54" s="64">
        <v>44621</v>
      </c>
      <c r="C54" s="1" cm="1">
        <f t="array" ref="C54">MMULT(TRANSPOSE(w_mvp),TRANSPOSE('II. Univ Stats'!C48:Z48))</f>
        <v>3.2984080211309004E-2</v>
      </c>
      <c r="D54" s="10">
        <f>'VI. SP 500'!D42</f>
        <v>3.5773238773279988E-2</v>
      </c>
      <c r="E54" s="1">
        <f t="shared" si="0"/>
        <v>-2.7891585619709836E-3</v>
      </c>
    </row>
    <row r="55" spans="2:5" ht="14.25" customHeight="1" x14ac:dyDescent="0.2">
      <c r="B55" s="64">
        <v>44652</v>
      </c>
      <c r="C55" s="1" cm="1">
        <f t="array" ref="C55">MMULT(TRANSPOSE(w_mvp),TRANSPOSE('II. Univ Stats'!C49:Z49))</f>
        <v>-4.8842673769359767E-2</v>
      </c>
      <c r="D55" s="10">
        <f>'VI. SP 500'!D43</f>
        <v>-8.7956719149039395E-2</v>
      </c>
      <c r="E55" s="1">
        <f t="shared" si="0"/>
        <v>3.9114045379679628E-2</v>
      </c>
    </row>
    <row r="56" spans="2:5" ht="14.25" customHeight="1" x14ac:dyDescent="0.2">
      <c r="B56" s="64">
        <v>44682</v>
      </c>
      <c r="C56" s="1" cm="1">
        <f t="array" ref="C56">MMULT(TRANSPOSE(w_mvp),TRANSPOSE('II. Univ Stats'!C50:Z50))</f>
        <v>4.8678009421887415E-2</v>
      </c>
      <c r="D56" s="10">
        <f>'VI. SP 500'!D44</f>
        <v>5.3243883608711947E-5</v>
      </c>
      <c r="E56" s="1">
        <f t="shared" si="0"/>
        <v>4.86247655382787E-2</v>
      </c>
    </row>
    <row r="57" spans="2:5" ht="14.25" customHeight="1" x14ac:dyDescent="0.2">
      <c r="B57" s="64">
        <v>44713</v>
      </c>
      <c r="C57" s="1" cm="1">
        <f t="array" ref="C57">MMULT(TRANSPOSE(w_mvp),TRANSPOSE('II. Univ Stats'!C51:Z51))</f>
        <v>-4.5242983765619652E-2</v>
      </c>
      <c r="D57" s="10">
        <f>'VI. SP 500'!D45</f>
        <v>-8.391999322386641E-2</v>
      </c>
      <c r="E57" s="1">
        <f t="shared" si="0"/>
        <v>3.8677009458246758E-2</v>
      </c>
    </row>
    <row r="58" spans="2:5" ht="14.25" customHeight="1" x14ac:dyDescent="0.2">
      <c r="B58" s="64">
        <v>44743</v>
      </c>
      <c r="C58" s="1" cm="1">
        <f t="array" ref="C58">MMULT(TRANSPOSE(w_mvp),TRANSPOSE('II. Univ Stats'!C52:Z52))</f>
        <v>6.4260867305181282E-2</v>
      </c>
      <c r="D58" s="10">
        <f>'VI. SP 500'!D46</f>
        <v>9.1116347632205968E-2</v>
      </c>
      <c r="E58" s="1">
        <f t="shared" si="0"/>
        <v>-2.6855480327024686E-2</v>
      </c>
    </row>
    <row r="59" spans="2:5" ht="14.25" customHeight="1" x14ac:dyDescent="0.2">
      <c r="B59" s="64">
        <v>44774</v>
      </c>
      <c r="C59" s="1" cm="1">
        <f t="array" ref="C59">MMULT(TRANSPOSE(w_mvp),TRANSPOSE('II. Univ Stats'!C53:Z53))</f>
        <v>6.7865361900316772E-4</v>
      </c>
      <c r="D59" s="10">
        <f>'VI. SP 500'!D47</f>
        <v>-4.2440119216810436E-2</v>
      </c>
      <c r="E59" s="1">
        <f t="shared" si="0"/>
        <v>4.3118772835813605E-2</v>
      </c>
    </row>
    <row r="60" spans="2:5" ht="14.25" customHeight="1" x14ac:dyDescent="0.2">
      <c r="B60" s="64">
        <v>44805</v>
      </c>
      <c r="C60" s="1" cm="1">
        <f t="array" ref="C60">MMULT(TRANSPOSE(w_mvp),TRANSPOSE('II. Univ Stats'!C54:Z54))</f>
        <v>9.8360417987897325E-2</v>
      </c>
      <c r="D60" s="10">
        <f>'VI. SP 500'!D48</f>
        <v>-9.3395701643489287E-2</v>
      </c>
      <c r="E60" s="1">
        <f t="shared" si="0"/>
        <v>0.19175611963138661</v>
      </c>
    </row>
    <row r="61" spans="2:5" ht="14.25" customHeight="1" x14ac:dyDescent="0.2">
      <c r="B61" s="64">
        <v>44835</v>
      </c>
      <c r="C61" s="1" cm="1">
        <f t="array" ref="C61">MMULT(TRANSPOSE(w_mvp),TRANSPOSE('II. Univ Stats'!C55:Z55))</f>
        <v>0.11820884411909555</v>
      </c>
      <c r="D61" s="10">
        <f>'VI. SP 500'!D49</f>
        <v>7.9863454576893297E-2</v>
      </c>
      <c r="E61" s="1">
        <f t="shared" si="0"/>
        <v>3.8345389542202249E-2</v>
      </c>
    </row>
    <row r="62" spans="2:5" ht="14.25" customHeight="1" x14ac:dyDescent="0.2">
      <c r="B62" s="64">
        <v>44866</v>
      </c>
      <c r="C62" s="1" cm="1">
        <f t="array" ref="C62">MMULT(TRANSPOSE(w_mvp),TRANSPOSE('II. Univ Stats'!C56:Z56))</f>
        <v>0.21871292520902197</v>
      </c>
      <c r="D62" s="10">
        <f>'VI. SP 500'!D50</f>
        <v>5.375286029369989E-2</v>
      </c>
      <c r="E62" s="1">
        <f t="shared" si="0"/>
        <v>0.16496006491532209</v>
      </c>
    </row>
    <row r="63" spans="2:5" ht="14.25" customHeight="1" x14ac:dyDescent="0.2">
      <c r="B63" s="64">
        <v>44896</v>
      </c>
      <c r="C63" s="1" cm="1">
        <f t="array" ref="C63">MMULT(TRANSPOSE(w_mvp),TRANSPOSE('II. Univ Stats'!C57:Z57))</f>
        <v>-5.8821698158856406E-2</v>
      </c>
      <c r="D63" s="10">
        <f>'VI. SP 500'!D51</f>
        <v>-5.897144929916108E-2</v>
      </c>
      <c r="E63" s="1">
        <f t="shared" si="0"/>
        <v>1.4975114030467418E-4</v>
      </c>
    </row>
    <row r="64" spans="2:5" ht="14.25" customHeight="1" x14ac:dyDescent="0.2">
      <c r="B64" s="64">
        <v>44927</v>
      </c>
      <c r="C64" s="1" cm="1">
        <f t="array" ref="C64">MMULT(TRANSPOSE(w_mvp),TRANSPOSE('II. Univ Stats'!C58:Z58))</f>
        <v>6.675616863272827E-3</v>
      </c>
      <c r="D64" s="10">
        <f>'VI. SP 500'!D52</f>
        <v>6.1752832400052068E-2</v>
      </c>
      <c r="E64" s="1">
        <f t="shared" si="0"/>
        <v>-5.5077215536779245E-2</v>
      </c>
    </row>
    <row r="65" spans="2:5" ht="14.25" customHeight="1" x14ac:dyDescent="0.2">
      <c r="B65" s="64">
        <v>44958</v>
      </c>
      <c r="C65" s="1" cm="1">
        <f t="array" ref="C65">MMULT(TRANSPOSE(w_mvp),TRANSPOSE('II. Univ Stats'!C59:Z59))</f>
        <v>1.4540881923800052E-3</v>
      </c>
      <c r="D65" s="10">
        <f>'VI. SP 500'!D53</f>
        <v>-2.6112446646715356E-2</v>
      </c>
      <c r="E65" s="1">
        <f t="shared" si="0"/>
        <v>2.7566534839095359E-2</v>
      </c>
    </row>
    <row r="66" spans="2:5" ht="14.25" customHeight="1" x14ac:dyDescent="0.2">
      <c r="B66" s="64">
        <v>44986</v>
      </c>
      <c r="C66" s="1" cm="1">
        <f t="array" ref="C66">MMULT(TRANSPOSE(w_mvp),TRANSPOSE('II. Univ Stats'!C60:Z60))</f>
        <v>7.9795898103427153E-3</v>
      </c>
      <c r="D66" s="10">
        <f>'VI. SP 500'!D54</f>
        <v>3.5051572358727079E-2</v>
      </c>
      <c r="E66" s="1">
        <f t="shared" si="0"/>
        <v>-2.7071982548384364E-2</v>
      </c>
    </row>
    <row r="67" spans="2:5" ht="14.25" customHeight="1" x14ac:dyDescent="0.2">
      <c r="B67" s="64">
        <v>45017</v>
      </c>
      <c r="C67" s="1" cm="1">
        <f t="array" ref="C67">MMULT(TRANSPOSE(w_mvp),TRANSPOSE('II. Univ Stats'!C61:Z61))</f>
        <v>9.2578579154427215E-2</v>
      </c>
      <c r="D67" s="10">
        <f>'VI. SP 500'!D55</f>
        <v>1.4642360882970416E-2</v>
      </c>
      <c r="E67" s="1">
        <f t="shared" si="0"/>
        <v>7.7936218271456803E-2</v>
      </c>
    </row>
    <row r="68" spans="2:5" ht="14.25" customHeight="1" x14ac:dyDescent="0.2">
      <c r="B68" s="64">
        <v>45047</v>
      </c>
      <c r="C68" s="1" cm="1">
        <f t="array" ref="C68">MMULT(TRANSPOSE(w_mvp),TRANSPOSE('II. Univ Stats'!C62:Z62))</f>
        <v>-1.6149074680846195E-2</v>
      </c>
      <c r="D68" s="10">
        <f>'VI. SP 500'!D56</f>
        <v>2.4823239348792572E-3</v>
      </c>
      <c r="E68" s="1">
        <f t="shared" si="0"/>
        <v>-1.863139861572545E-2</v>
      </c>
    </row>
    <row r="69" spans="2:5" ht="14.25" customHeight="1" x14ac:dyDescent="0.2">
      <c r="B69" s="64">
        <v>45078</v>
      </c>
      <c r="C69" s="1" cm="1">
        <f t="array" ref="C69">MMULT(TRANSPOSE(w_mvp),TRANSPOSE('II. Univ Stats'!C63:Z63))</f>
        <v>3.9333256165396173E-2</v>
      </c>
      <c r="D69" s="10">
        <f>'VI. SP 500'!D57</f>
        <v>6.4727512841431398E-2</v>
      </c>
      <c r="E69" s="1">
        <f t="shared" si="0"/>
        <v>-2.5394256676035225E-2</v>
      </c>
    </row>
    <row r="70" spans="2:5" ht="14.25" customHeight="1" x14ac:dyDescent="0.2">
      <c r="B70" s="64">
        <v>45108</v>
      </c>
      <c r="C70" s="1" cm="1">
        <f t="array" ref="C70">MMULT(TRANSPOSE(w_mvp),TRANSPOSE('II. Univ Stats'!C64:Z64))</f>
        <v>3.7749358813067228E-2</v>
      </c>
      <c r="D70" s="10">
        <f>'VI. SP 500'!D58</f>
        <v>3.1138913980379185E-2</v>
      </c>
      <c r="E70" s="1">
        <f t="shared" si="0"/>
        <v>6.6104448326880436E-3</v>
      </c>
    </row>
    <row r="71" spans="2:5" ht="14.25" customHeight="1" x14ac:dyDescent="0.2">
      <c r="B71" s="64">
        <v>45139</v>
      </c>
      <c r="C71" s="1" cm="1">
        <f t="array" ref="C71">MMULT(TRANSPOSE(w_mvp),TRANSPOSE('II. Univ Stats'!C65:Z65))</f>
        <v>-1.7559041043891253E-2</v>
      </c>
      <c r="D71" s="10">
        <f>'VI. SP 500'!D59</f>
        <v>-1.7716432481433741E-2</v>
      </c>
      <c r="E71" s="1">
        <f t="shared" si="0"/>
        <v>1.5739143754248813E-4</v>
      </c>
    </row>
    <row r="72" spans="2:5" ht="14.25" customHeight="1" x14ac:dyDescent="0.2">
      <c r="B72" s="64">
        <v>45170</v>
      </c>
      <c r="C72" s="1" cm="1">
        <f t="array" ref="C72">MMULT(TRANSPOSE(w_mvp),TRANSPOSE('II. Univ Stats'!C66:Z66))</f>
        <v>-1.3895134298710581E-2</v>
      </c>
      <c r="D72" s="10">
        <f>'VI. SP 500'!D60</f>
        <v>-4.8719291162155016E-2</v>
      </c>
      <c r="E72" s="1">
        <f t="shared" si="0"/>
        <v>3.4824156863444436E-2</v>
      </c>
    </row>
    <row r="73" spans="2:5" ht="14.25" customHeight="1" x14ac:dyDescent="0.2">
      <c r="B73" s="64">
        <v>45200</v>
      </c>
      <c r="C73" s="1" cm="1">
        <f t="array" ref="C73">MMULT(TRANSPOSE(w_mvp),TRANSPOSE('II. Univ Stats'!C67:Z67))</f>
        <v>-6.132981791906222E-3</v>
      </c>
      <c r="D73" s="10">
        <f>'VI. SP 500'!D61</f>
        <v>-2.1979687736850082E-2</v>
      </c>
      <c r="E73" s="1">
        <f t="shared" si="0"/>
        <v>1.5846705944943862E-2</v>
      </c>
    </row>
    <row r="74" spans="2:5" ht="14.25" customHeight="1" thickBot="1" x14ac:dyDescent="0.25">
      <c r="B74" s="65">
        <v>45231</v>
      </c>
      <c r="C74" s="1" cm="1">
        <f t="array" ref="C74">MMULT(TRANSPOSE(w_mvp),TRANSPOSE('II. Univ Stats'!C68:Z68))</f>
        <v>2.6342819670266825E-2</v>
      </c>
      <c r="D74" s="187">
        <f>'VI. SP 500'!D62</f>
        <v>2.9562687777194802E-2</v>
      </c>
      <c r="E74" s="38">
        <f t="shared" si="0"/>
        <v>-3.2198681069279776E-3</v>
      </c>
    </row>
    <row r="75" spans="2:5" ht="14.25" customHeight="1" x14ac:dyDescent="0.2"/>
    <row r="76" spans="2:5" ht="14.25" customHeight="1" x14ac:dyDescent="0.2"/>
    <row r="77" spans="2:5" ht="14.25" customHeight="1" x14ac:dyDescent="0.2"/>
    <row r="78" spans="2:5" ht="14.25" customHeight="1" x14ac:dyDescent="0.2"/>
    <row r="79" spans="2:5" ht="14.25" customHeight="1" x14ac:dyDescent="0.2"/>
    <row r="80" spans="2:5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">
    <mergeCell ref="F1:H1"/>
    <mergeCell ref="I12:AG12"/>
    <mergeCell ref="B13:E13"/>
  </mergeCells>
  <phoneticPr fontId="11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>
      <selection activeCell="A4" sqref="A4"/>
    </sheetView>
  </sheetViews>
  <sheetFormatPr baseColWidth="10" defaultColWidth="14.5" defaultRowHeight="15" customHeight="1" x14ac:dyDescent="0.2"/>
  <cols>
    <col min="1" max="1" width="63.1640625" customWidth="1"/>
    <col min="2" max="2" width="30.83203125" customWidth="1"/>
    <col min="3" max="26" width="10.6640625" customWidth="1"/>
  </cols>
  <sheetData>
    <row r="1" spans="1:2" ht="14.25" customHeight="1" x14ac:dyDescent="0.2"/>
    <row r="2" spans="1:2" ht="14.25" customHeight="1" x14ac:dyDescent="0.2"/>
    <row r="3" spans="1:2" ht="14.25" customHeight="1" x14ac:dyDescent="0.2">
      <c r="A3" s="3" t="s">
        <v>161</v>
      </c>
    </row>
    <row r="4" spans="1:2" ht="14.25" customHeight="1" x14ac:dyDescent="0.2">
      <c r="A4" s="43" t="s">
        <v>162</v>
      </c>
      <c r="B4" s="3" t="s">
        <v>163</v>
      </c>
    </row>
    <row r="5" spans="1:2" ht="14.25" customHeight="1" x14ac:dyDescent="0.2">
      <c r="A5" s="124" t="s">
        <v>164</v>
      </c>
      <c r="B5" s="108" t="s">
        <v>165</v>
      </c>
    </row>
    <row r="6" spans="1:2" ht="14.25" customHeight="1" x14ac:dyDescent="0.2">
      <c r="A6" s="108" t="s">
        <v>166</v>
      </c>
      <c r="B6" s="108" t="s">
        <v>167</v>
      </c>
    </row>
    <row r="7" spans="1:2" ht="14.25" customHeight="1" x14ac:dyDescent="0.2">
      <c r="A7" s="108" t="s">
        <v>168</v>
      </c>
      <c r="B7" s="108" t="s">
        <v>169</v>
      </c>
    </row>
    <row r="8" spans="1:2" ht="14.25" customHeight="1" x14ac:dyDescent="0.2">
      <c r="A8" s="43" t="s">
        <v>170</v>
      </c>
      <c r="B8" s="3" t="s">
        <v>171</v>
      </c>
    </row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11" type="noConversion"/>
  <hyperlinks>
    <hyperlink ref="A4" r:id="rId1" xr:uid="{00000000-0004-0000-0B00-000000000000}"/>
    <hyperlink ref="A8" r:id="rId2" xr:uid="{53AE6636-4B92-46B3-8FE0-4B0B4DAC343B}"/>
    <hyperlink ref="A5" r:id="rId3" xr:uid="{B20DF3D9-49C0-BC4C-8997-501E52E85A0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34</vt:i4>
      </vt:variant>
    </vt:vector>
  </HeadingPairs>
  <TitlesOfParts>
    <vt:vector size="43" baseType="lpstr">
      <vt:lpstr>0. Sélection des titres</vt:lpstr>
      <vt:lpstr>I. Data</vt:lpstr>
      <vt:lpstr>II. Univ Stats</vt:lpstr>
      <vt:lpstr>III. Covariance</vt:lpstr>
      <vt:lpstr>IV. Corrélation</vt:lpstr>
      <vt:lpstr>V. MVP</vt:lpstr>
      <vt:lpstr>VI. SP 500</vt:lpstr>
      <vt:lpstr>VII. Indicateurs </vt:lpstr>
      <vt:lpstr>VIII. Sources</vt:lpstr>
      <vt:lpstr>Average_return</vt:lpstr>
      <vt:lpstr>covariance</vt:lpstr>
      <vt:lpstr>Quantité</vt:lpstr>
      <vt:lpstr>r_AEEM</vt:lpstr>
      <vt:lpstr>r_Airbus</vt:lpstr>
      <vt:lpstr>r_altria</vt:lpstr>
      <vt:lpstr>r_apple</vt:lpstr>
      <vt:lpstr>r_bons</vt:lpstr>
      <vt:lpstr>r_coca</vt:lpstr>
      <vt:lpstr>r_Deere</vt:lpstr>
      <vt:lpstr>r_ebay</vt:lpstr>
      <vt:lpstr>r_ecolab</vt:lpstr>
      <vt:lpstr>r_Gass</vt:lpstr>
      <vt:lpstr>r_General</vt:lpstr>
      <vt:lpstr>r_Gilead</vt:lpstr>
      <vt:lpstr>r_golgate</vt:lpstr>
      <vt:lpstr>r_IBM</vt:lpstr>
      <vt:lpstr>r_LVMH</vt:lpstr>
      <vt:lpstr>r_MCO</vt:lpstr>
      <vt:lpstr>r_MEH</vt:lpstr>
      <vt:lpstr>r_microsoft</vt:lpstr>
      <vt:lpstr>r_monster</vt:lpstr>
      <vt:lpstr>r_nvidia</vt:lpstr>
      <vt:lpstr>r_pepsi</vt:lpstr>
      <vt:lpstr>r_sp</vt:lpstr>
      <vt:lpstr>r_tesla</vt:lpstr>
      <vt:lpstr>r_tractor</vt:lpstr>
      <vt:lpstr>r_Tractor_Supply_Co</vt:lpstr>
      <vt:lpstr>return_m</vt:lpstr>
      <vt:lpstr>return_sp</vt:lpstr>
      <vt:lpstr>sd_m</vt:lpstr>
      <vt:lpstr>sd_sp</vt:lpstr>
      <vt:lpstr>var_m</vt:lpstr>
      <vt:lpstr>w_mvp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Solène Pietu</dc:creator>
  <cp:keywords/>
  <dc:description/>
  <cp:lastModifiedBy>友铭 马</cp:lastModifiedBy>
  <cp:revision/>
  <dcterms:created xsi:type="dcterms:W3CDTF">2021-11-12T19:09:56Z</dcterms:created>
  <dcterms:modified xsi:type="dcterms:W3CDTF">2023-11-05T15:12:04Z</dcterms:modified>
  <cp:category/>
  <cp:contentStatus/>
</cp:coreProperties>
</file>