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alid/Documents/Onedrive/SwpDocs/UNAB/Docencia/Investigacion de Operaciones/Investigacion_de_Operaciones_2020-25/"/>
    </mc:Choice>
  </mc:AlternateContent>
  <xr:revisionPtr revIDLastSave="0" documentId="13_ncr:1_{BB9679D9-E047-FE44-B49A-353BFD11504B}" xr6:coauthVersionLast="45" xr6:coauthVersionMax="45" xr10:uidLastSave="{00000000-0000-0000-0000-000000000000}"/>
  <bookViews>
    <workbookView xWindow="-19180" yWindow="480" windowWidth="19200" windowHeight="21140" activeTab="7" xr2:uid="{9248E01D-968A-41A8-8BE1-461FE2B21942}"/>
  </bookViews>
  <sheets>
    <sheet name="Control1" sheetId="1" r:id="rId1"/>
    <sheet name="Control2" sheetId="2" r:id="rId2"/>
    <sheet name="Control 3" sheetId="5" r:id="rId3"/>
    <sheet name="Control 4" sheetId="6" r:id="rId4"/>
    <sheet name="Solemne1" sheetId="3" r:id="rId5"/>
    <sheet name="Solemne 2" sheetId="7" r:id="rId6"/>
    <sheet name="Examen" sheetId="8" r:id="rId7"/>
    <sheet name="Consolidado"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8" l="1"/>
  <c r="F16" i="8"/>
  <c r="F13" i="8"/>
  <c r="L9" i="4"/>
  <c r="M9" i="4"/>
  <c r="F9" i="8"/>
  <c r="L3" i="4"/>
  <c r="L4" i="4"/>
  <c r="L5" i="4"/>
  <c r="L6" i="4"/>
  <c r="L7" i="4"/>
  <c r="L8" i="4"/>
  <c r="L10" i="4"/>
  <c r="L11" i="4"/>
  <c r="L12" i="4"/>
  <c r="L14" i="4"/>
  <c r="L15" i="4"/>
  <c r="L17" i="4"/>
  <c r="L19" i="4"/>
  <c r="L20" i="4"/>
  <c r="L21" i="4"/>
  <c r="L22" i="4"/>
  <c r="L23" i="4"/>
  <c r="L24" i="4"/>
  <c r="L2" i="4"/>
  <c r="M3" i="4"/>
  <c r="M15" i="4"/>
  <c r="K3" i="4"/>
  <c r="K4" i="4"/>
  <c r="K5" i="4"/>
  <c r="M5" i="4" s="1"/>
  <c r="K6" i="4"/>
  <c r="K7" i="4"/>
  <c r="K8" i="4"/>
  <c r="M8" i="4" s="1"/>
  <c r="K9" i="4"/>
  <c r="K10" i="4"/>
  <c r="M10" i="4" s="1"/>
  <c r="K11" i="4"/>
  <c r="K12" i="4"/>
  <c r="K14" i="4"/>
  <c r="M14" i="4" s="1"/>
  <c r="K15" i="4"/>
  <c r="K16" i="4"/>
  <c r="K17" i="4"/>
  <c r="M17" i="4" s="1"/>
  <c r="K18" i="4"/>
  <c r="K19" i="4"/>
  <c r="K20" i="4"/>
  <c r="K21" i="4"/>
  <c r="K22" i="4"/>
  <c r="K23" i="4"/>
  <c r="K24" i="4"/>
  <c r="M24" i="4" s="1"/>
  <c r="M21" i="4"/>
  <c r="M22" i="4"/>
  <c r="K2" i="4"/>
  <c r="M4" i="4"/>
  <c r="M7" i="4"/>
  <c r="M11" i="4"/>
  <c r="M12" i="4"/>
  <c r="M19" i="4"/>
  <c r="M20" i="4"/>
  <c r="M23" i="4"/>
  <c r="X3" i="8"/>
  <c r="X4" i="8"/>
  <c r="X5" i="8"/>
  <c r="X6" i="8"/>
  <c r="Y6" i="8" s="1"/>
  <c r="X7" i="8"/>
  <c r="X8" i="8"/>
  <c r="Y8" i="8" s="1"/>
  <c r="X9" i="8"/>
  <c r="Y9" i="8" s="1"/>
  <c r="X10" i="8"/>
  <c r="Y10" i="8" s="1"/>
  <c r="X11" i="8"/>
  <c r="X12" i="8"/>
  <c r="X13" i="8"/>
  <c r="Y13" i="8" s="1"/>
  <c r="X14" i="8"/>
  <c r="X15" i="8"/>
  <c r="X16" i="8"/>
  <c r="Y16" i="8" s="1"/>
  <c r="X17" i="8"/>
  <c r="Y17" i="8" s="1"/>
  <c r="X18" i="8"/>
  <c r="Y18" i="8" s="1"/>
  <c r="L18" i="4" s="1"/>
  <c r="X19" i="8"/>
  <c r="X20" i="8"/>
  <c r="X21" i="8"/>
  <c r="X22" i="8"/>
  <c r="Y22" i="8" s="1"/>
  <c r="X23" i="8"/>
  <c r="X24" i="8"/>
  <c r="Y24" i="8" s="1"/>
  <c r="Y14" i="8"/>
  <c r="X2" i="8"/>
  <c r="Y2" i="8" s="1"/>
  <c r="Y23" i="8"/>
  <c r="Y21" i="8"/>
  <c r="Y20" i="8"/>
  <c r="Y19" i="8"/>
  <c r="Y15" i="8"/>
  <c r="Y12" i="8"/>
  <c r="Y11" i="8"/>
  <c r="Y7" i="8"/>
  <c r="Y5" i="8"/>
  <c r="Y4" i="8"/>
  <c r="Y3" i="8"/>
  <c r="L16" i="4" l="1"/>
  <c r="M16" i="4" s="1"/>
  <c r="M2" i="4"/>
  <c r="M6" i="4"/>
  <c r="M18" i="4"/>
  <c r="T2" i="3"/>
  <c r="T3" i="3"/>
  <c r="T5" i="3"/>
  <c r="T4" i="3"/>
  <c r="H10" i="7" l="1"/>
  <c r="D24" i="6" l="1"/>
  <c r="D21" i="6"/>
  <c r="D18" i="6"/>
  <c r="D17" i="6"/>
  <c r="D11" i="6"/>
  <c r="D9" i="6"/>
  <c r="D23" i="6"/>
  <c r="D22" i="6"/>
  <c r="E3" i="6" l="1"/>
  <c r="E4" i="6"/>
  <c r="E5" i="6"/>
  <c r="E6" i="6"/>
  <c r="E7" i="6"/>
  <c r="E8" i="6"/>
  <c r="E9" i="6"/>
  <c r="E10" i="6"/>
  <c r="E11" i="6"/>
  <c r="E12" i="6"/>
  <c r="E13" i="6"/>
  <c r="E14" i="6"/>
  <c r="E15" i="6"/>
  <c r="E16" i="6"/>
  <c r="E17" i="6"/>
  <c r="E18" i="6"/>
  <c r="E19" i="6"/>
  <c r="E20" i="6"/>
  <c r="E21" i="6"/>
  <c r="E22" i="6"/>
  <c r="E23" i="6"/>
  <c r="E24" i="6"/>
  <c r="E2" i="6"/>
  <c r="D9" i="5"/>
  <c r="D21" i="5"/>
  <c r="D18" i="5"/>
  <c r="E18" i="5" s="1"/>
  <c r="D17" i="5"/>
  <c r="D11" i="5"/>
  <c r="E11" i="5" s="1"/>
  <c r="E3" i="5"/>
  <c r="E4" i="5"/>
  <c r="E5" i="5"/>
  <c r="E6" i="5"/>
  <c r="E7" i="5"/>
  <c r="E8" i="5"/>
  <c r="E9" i="5"/>
  <c r="E10" i="5"/>
  <c r="E12" i="5"/>
  <c r="E13" i="5"/>
  <c r="E14" i="5"/>
  <c r="E15" i="5"/>
  <c r="E16" i="5"/>
  <c r="E17" i="5"/>
  <c r="E19" i="5"/>
  <c r="E20" i="5"/>
  <c r="E21" i="5"/>
  <c r="E22" i="5"/>
  <c r="E23" i="5"/>
  <c r="E24" i="5"/>
  <c r="E2" i="5"/>
  <c r="D23" i="5"/>
  <c r="D22" i="5"/>
  <c r="J4" i="4" l="1"/>
  <c r="J6" i="4"/>
  <c r="J12" i="4"/>
  <c r="J13" i="4"/>
  <c r="J15" i="4"/>
  <c r="J2" i="4"/>
  <c r="G24" i="7"/>
  <c r="H24" i="7" s="1"/>
  <c r="J24" i="4" s="1"/>
  <c r="G23" i="7"/>
  <c r="H23" i="7" s="1"/>
  <c r="J23" i="4" s="1"/>
  <c r="G22" i="7"/>
  <c r="H22" i="7" s="1"/>
  <c r="J22" i="4" s="1"/>
  <c r="G21" i="7"/>
  <c r="H21" i="7" s="1"/>
  <c r="J21" i="4" s="1"/>
  <c r="G20" i="7"/>
  <c r="H20" i="7" s="1"/>
  <c r="J20" i="4" s="1"/>
  <c r="G19" i="7"/>
  <c r="H19" i="7" s="1"/>
  <c r="J19" i="4" s="1"/>
  <c r="G18" i="7"/>
  <c r="H18" i="7" s="1"/>
  <c r="J18" i="4" s="1"/>
  <c r="G17" i="7"/>
  <c r="H17" i="7" s="1"/>
  <c r="J17" i="4" s="1"/>
  <c r="G16" i="7"/>
  <c r="H16" i="7" s="1"/>
  <c r="J16" i="4" s="1"/>
  <c r="G15" i="7"/>
  <c r="H15" i="7" s="1"/>
  <c r="G14" i="7"/>
  <c r="H14" i="7" s="1"/>
  <c r="J14" i="4" s="1"/>
  <c r="G13" i="7"/>
  <c r="H13" i="7" s="1"/>
  <c r="G12" i="7"/>
  <c r="H12" i="7" s="1"/>
  <c r="G11" i="7"/>
  <c r="H11" i="7" s="1"/>
  <c r="J11" i="4" s="1"/>
  <c r="G10" i="7"/>
  <c r="J10" i="4" s="1"/>
  <c r="G9" i="7"/>
  <c r="H9" i="7" s="1"/>
  <c r="J9" i="4" s="1"/>
  <c r="G8" i="7"/>
  <c r="H8" i="7" s="1"/>
  <c r="J8" i="4" s="1"/>
  <c r="G7" i="7"/>
  <c r="H7" i="7" s="1"/>
  <c r="J7" i="4" s="1"/>
  <c r="G6" i="7"/>
  <c r="H6" i="7" s="1"/>
  <c r="G5" i="7"/>
  <c r="H5" i="7" s="1"/>
  <c r="J5" i="4" s="1"/>
  <c r="H4" i="7"/>
  <c r="G4" i="7"/>
  <c r="G3" i="7"/>
  <c r="H3" i="7" s="1"/>
  <c r="J3" i="4" s="1"/>
  <c r="H2" i="7"/>
  <c r="G2" i="7"/>
  <c r="I3" i="4"/>
  <c r="I4" i="4"/>
  <c r="I5" i="4"/>
  <c r="I6" i="4"/>
  <c r="I7" i="4"/>
  <c r="I8" i="4"/>
  <c r="I10" i="4"/>
  <c r="I11" i="4"/>
  <c r="I12" i="4"/>
  <c r="I13" i="4"/>
  <c r="I14" i="4"/>
  <c r="I15" i="4"/>
  <c r="I17" i="4"/>
  <c r="I18" i="4"/>
  <c r="I19" i="4"/>
  <c r="I20" i="4"/>
  <c r="I21" i="4"/>
  <c r="I22" i="4"/>
  <c r="I23" i="4"/>
  <c r="I24" i="4"/>
  <c r="I2" i="4"/>
  <c r="F24" i="6"/>
  <c r="G24" i="4" s="1"/>
  <c r="F23" i="6"/>
  <c r="G23" i="4" s="1"/>
  <c r="F22" i="6"/>
  <c r="G22" i="4" s="1"/>
  <c r="F21" i="6"/>
  <c r="G21" i="4" s="1"/>
  <c r="F20" i="6"/>
  <c r="G20" i="4" s="1"/>
  <c r="F19" i="6"/>
  <c r="G19" i="4" s="1"/>
  <c r="F18" i="6"/>
  <c r="G18" i="4" s="1"/>
  <c r="F17" i="6"/>
  <c r="G17" i="4" s="1"/>
  <c r="F16" i="6"/>
  <c r="G16" i="4" s="1"/>
  <c r="F15" i="6"/>
  <c r="G15" i="4" s="1"/>
  <c r="F14" i="6"/>
  <c r="G14" i="4" s="1"/>
  <c r="F13" i="6"/>
  <c r="F12" i="6"/>
  <c r="G12" i="4" s="1"/>
  <c r="F11" i="6"/>
  <c r="G11" i="4" s="1"/>
  <c r="F10" i="6"/>
  <c r="G10" i="4" s="1"/>
  <c r="F9" i="6"/>
  <c r="G9" i="4" s="1"/>
  <c r="F8" i="6"/>
  <c r="G8" i="4" s="1"/>
  <c r="F7" i="6"/>
  <c r="G7" i="4" s="1"/>
  <c r="F6" i="6"/>
  <c r="G6" i="4" s="1"/>
  <c r="F5" i="6"/>
  <c r="G5" i="4" s="1"/>
  <c r="F4" i="6"/>
  <c r="G4" i="4" s="1"/>
  <c r="F3" i="6"/>
  <c r="G3" i="4" s="1"/>
  <c r="F2" i="6"/>
  <c r="G2" i="4" s="1"/>
  <c r="F10" i="5"/>
  <c r="F10" i="4" s="1"/>
  <c r="F19" i="5"/>
  <c r="F19" i="4" s="1"/>
  <c r="F21" i="5"/>
  <c r="F21" i="4" s="1"/>
  <c r="F24" i="5"/>
  <c r="F14" i="5"/>
  <c r="F14" i="4" s="1"/>
  <c r="F12" i="5"/>
  <c r="F12" i="4" s="1"/>
  <c r="F6" i="5"/>
  <c r="F6" i="4" s="1"/>
  <c r="F4" i="5"/>
  <c r="F4" i="4" s="1"/>
  <c r="F3" i="5"/>
  <c r="F3" i="4" s="1"/>
  <c r="F2" i="5"/>
  <c r="F2" i="4" s="1"/>
  <c r="E3" i="4"/>
  <c r="E4" i="4"/>
  <c r="E5" i="4"/>
  <c r="E6" i="4"/>
  <c r="E7" i="4"/>
  <c r="E8" i="4"/>
  <c r="E9" i="4"/>
  <c r="E10" i="4"/>
  <c r="E11" i="4"/>
  <c r="E12" i="4"/>
  <c r="E13" i="4"/>
  <c r="E14" i="4"/>
  <c r="E15" i="4"/>
  <c r="E16" i="4"/>
  <c r="E17" i="4"/>
  <c r="E18" i="4"/>
  <c r="E19" i="4"/>
  <c r="E20" i="4"/>
  <c r="E21" i="4"/>
  <c r="E22" i="4"/>
  <c r="E23" i="4"/>
  <c r="E24" i="4"/>
  <c r="E2" i="4"/>
  <c r="D3" i="4"/>
  <c r="D4" i="4"/>
  <c r="D5" i="4"/>
  <c r="H5" i="4" s="1"/>
  <c r="D6" i="4"/>
  <c r="D7" i="4"/>
  <c r="D8" i="4"/>
  <c r="D9" i="4"/>
  <c r="D10" i="4"/>
  <c r="D11" i="4"/>
  <c r="D12" i="4"/>
  <c r="D13" i="4"/>
  <c r="D15" i="4"/>
  <c r="D16" i="4"/>
  <c r="D17" i="4"/>
  <c r="D18" i="4"/>
  <c r="D19" i="4"/>
  <c r="D20" i="4"/>
  <c r="D21" i="4"/>
  <c r="D22" i="4"/>
  <c r="D23" i="4"/>
  <c r="D24" i="4"/>
  <c r="D2" i="4"/>
  <c r="H3" i="4" l="1"/>
  <c r="H14" i="4"/>
  <c r="H12" i="4"/>
  <c r="H2" i="4"/>
  <c r="H19" i="4"/>
  <c r="H10" i="4"/>
  <c r="H4" i="4"/>
  <c r="H24" i="4"/>
  <c r="H6" i="4"/>
  <c r="H21" i="4"/>
  <c r="F11" i="5"/>
  <c r="F11" i="4" s="1"/>
  <c r="H11" i="4" s="1"/>
  <c r="F7" i="5"/>
  <c r="F7" i="4" s="1"/>
  <c r="H7" i="4" s="1"/>
  <c r="F22" i="5"/>
  <c r="F22" i="4" s="1"/>
  <c r="H22" i="4" s="1"/>
  <c r="F15" i="5"/>
  <c r="F15" i="4" s="1"/>
  <c r="H15" i="4" s="1"/>
  <c r="F20" i="5"/>
  <c r="F20" i="4" s="1"/>
  <c r="H20" i="4" s="1"/>
  <c r="F9" i="5"/>
  <c r="F9" i="4" s="1"/>
  <c r="H9" i="4" s="1"/>
  <c r="F17" i="5"/>
  <c r="F17" i="4" s="1"/>
  <c r="H17" i="4" s="1"/>
  <c r="F8" i="5"/>
  <c r="F8" i="4" s="1"/>
  <c r="H8" i="4" s="1"/>
  <c r="F13" i="5"/>
  <c r="F13" i="4" s="1"/>
  <c r="H13" i="4" s="1"/>
  <c r="K13" i="4" s="1"/>
  <c r="L13" i="4" s="1"/>
  <c r="M13" i="4" s="1"/>
  <c r="F18" i="5"/>
  <c r="F18" i="4" s="1"/>
  <c r="H18" i="4" s="1"/>
  <c r="F23" i="5"/>
  <c r="F23" i="4" s="1"/>
  <c r="H23" i="4" s="1"/>
  <c r="F5" i="5"/>
  <c r="F5" i="3"/>
  <c r="E5" i="3"/>
  <c r="D5" i="3"/>
  <c r="F7" i="3"/>
  <c r="E7" i="3"/>
  <c r="D7" i="3"/>
  <c r="F8" i="3"/>
  <c r="E8" i="3"/>
  <c r="D8" i="3"/>
  <c r="G8" i="3" s="1"/>
  <c r="H8" i="3" s="1"/>
  <c r="F10" i="3"/>
  <c r="E10" i="3"/>
  <c r="D10" i="3"/>
  <c r="F11" i="3"/>
  <c r="F13" i="3"/>
  <c r="E11" i="3"/>
  <c r="E13" i="3"/>
  <c r="D11" i="3"/>
  <c r="D13" i="3"/>
  <c r="F14" i="3"/>
  <c r="E14" i="3"/>
  <c r="D14" i="3"/>
  <c r="F17" i="3"/>
  <c r="E17" i="3"/>
  <c r="D17" i="3"/>
  <c r="F18" i="3"/>
  <c r="E18" i="3"/>
  <c r="D18" i="3"/>
  <c r="G18" i="3" s="1"/>
  <c r="H18" i="3" s="1"/>
  <c r="F19" i="3"/>
  <c r="E19" i="3"/>
  <c r="D19" i="3"/>
  <c r="F20" i="3"/>
  <c r="F21" i="3"/>
  <c r="E20" i="3"/>
  <c r="D20" i="3"/>
  <c r="E21" i="3"/>
  <c r="D21" i="3"/>
  <c r="F23" i="3"/>
  <c r="E23" i="3"/>
  <c r="D23" i="3"/>
  <c r="F22" i="3"/>
  <c r="E22" i="3"/>
  <c r="D22" i="3"/>
  <c r="F24" i="3"/>
  <c r="E24" i="3"/>
  <c r="D24" i="3"/>
  <c r="P7" i="3"/>
  <c r="P6" i="3"/>
  <c r="M6" i="3"/>
  <c r="P5" i="3"/>
  <c r="P4" i="3"/>
  <c r="P3" i="3"/>
  <c r="P2" i="3"/>
  <c r="P1" i="3" s="1"/>
  <c r="L1" i="3"/>
  <c r="M7" i="3" s="1"/>
  <c r="G15" i="3"/>
  <c r="H15" i="3" s="1"/>
  <c r="G12" i="3"/>
  <c r="H12" i="3" s="1"/>
  <c r="G6" i="3"/>
  <c r="H6" i="3" s="1"/>
  <c r="G4" i="3"/>
  <c r="H4" i="3" s="1"/>
  <c r="G3" i="3"/>
  <c r="H3" i="3" s="1"/>
  <c r="G2" i="3"/>
  <c r="H2" i="3" s="1"/>
  <c r="F16" i="5" l="1"/>
  <c r="F16" i="4" s="1"/>
  <c r="H16" i="4" s="1"/>
  <c r="G11" i="3"/>
  <c r="H11" i="3" s="1"/>
  <c r="G14" i="3"/>
  <c r="H14" i="3" s="1"/>
  <c r="G17" i="3"/>
  <c r="H17" i="3" s="1"/>
  <c r="G19" i="3"/>
  <c r="H19" i="3" s="1"/>
  <c r="G21" i="3"/>
  <c r="H21" i="3" s="1"/>
  <c r="G24" i="3"/>
  <c r="H24" i="3" s="1"/>
  <c r="M2" i="3"/>
  <c r="M5" i="3"/>
  <c r="Q13" i="3"/>
  <c r="Q9" i="3"/>
  <c r="Q12" i="3"/>
  <c r="Q8" i="3"/>
  <c r="Q11" i="3"/>
  <c r="Q10" i="3"/>
  <c r="Q4" i="3"/>
  <c r="Q5" i="3"/>
  <c r="Q3" i="3"/>
  <c r="Q6" i="3"/>
  <c r="Q7" i="3"/>
  <c r="Q2" i="3"/>
  <c r="M4" i="3"/>
  <c r="M3" i="3"/>
  <c r="G20" i="3"/>
  <c r="H20" i="3" s="1"/>
  <c r="G16" i="3"/>
  <c r="H16" i="3" s="1"/>
  <c r="G22" i="3"/>
  <c r="H22" i="3" s="1"/>
  <c r="G10" i="3"/>
  <c r="H10" i="3" s="1"/>
  <c r="G5" i="3"/>
  <c r="H5" i="3" s="1"/>
  <c r="G9" i="3"/>
  <c r="H9" i="3" s="1"/>
  <c r="G13" i="3"/>
  <c r="H13" i="3" s="1"/>
  <c r="G23" i="3"/>
  <c r="H23" i="3" s="1"/>
  <c r="G7" i="3"/>
  <c r="H7" i="3" s="1"/>
  <c r="F14" i="2"/>
  <c r="E14" i="2"/>
  <c r="D14" i="2"/>
  <c r="G14" i="2" s="1"/>
  <c r="H14" i="2" s="1"/>
  <c r="I5" i="2"/>
  <c r="F5" i="2"/>
  <c r="D5" i="2"/>
  <c r="F24" i="2"/>
  <c r="E24" i="2"/>
  <c r="E5" i="2" s="1"/>
  <c r="D24" i="2"/>
  <c r="F21" i="2"/>
  <c r="E21" i="2"/>
  <c r="D21" i="2"/>
  <c r="F13" i="2"/>
  <c r="F20" i="2" s="1"/>
  <c r="F7" i="2"/>
  <c r="F23" i="2" s="1"/>
  <c r="E13" i="2"/>
  <c r="E20" i="2" s="1"/>
  <c r="D13" i="2"/>
  <c r="D20" i="2" s="1"/>
  <c r="I20" i="2"/>
  <c r="F19" i="2"/>
  <c r="E19" i="2"/>
  <c r="D19" i="2"/>
  <c r="F15" i="2"/>
  <c r="F16" i="2" s="1"/>
  <c r="E15" i="2"/>
  <c r="E16" i="2" s="1"/>
  <c r="D15" i="2"/>
  <c r="D16" i="2" s="1"/>
  <c r="I18" i="2"/>
  <c r="I16" i="2"/>
  <c r="F3" i="2"/>
  <c r="F17" i="2" s="1"/>
  <c r="E3" i="2"/>
  <c r="E17" i="2" s="1"/>
  <c r="D3" i="2"/>
  <c r="D17" i="2" s="1"/>
  <c r="I17" i="2"/>
  <c r="F10" i="2"/>
  <c r="F11" i="2" s="1"/>
  <c r="F8" i="2"/>
  <c r="E10" i="2"/>
  <c r="E11" i="2" s="1"/>
  <c r="D10" i="2"/>
  <c r="I11" i="2"/>
  <c r="D7" i="2"/>
  <c r="E7" i="2"/>
  <c r="E23" i="2" s="1"/>
  <c r="F9" i="2"/>
  <c r="D8" i="2"/>
  <c r="E8" i="2"/>
  <c r="E9" i="2" s="1"/>
  <c r="D9" i="2"/>
  <c r="I9" i="2"/>
  <c r="I23" i="2"/>
  <c r="I22" i="2"/>
  <c r="G12" i="2"/>
  <c r="H12" i="2" s="1"/>
  <c r="G6" i="2"/>
  <c r="H6" i="2" s="1"/>
  <c r="G4" i="2"/>
  <c r="H4" i="2" s="1"/>
  <c r="G2" i="2"/>
  <c r="H2" i="2" s="1"/>
  <c r="D24" i="1"/>
  <c r="E24" i="1"/>
  <c r="E19" i="1"/>
  <c r="E21" i="1" s="1"/>
  <c r="E13" i="1"/>
  <c r="E20" i="1" s="1"/>
  <c r="D13" i="1"/>
  <c r="D20" i="1" s="1"/>
  <c r="D19" i="1"/>
  <c r="I20" i="1"/>
  <c r="D21" i="1"/>
  <c r="I21" i="1"/>
  <c r="D15" i="1"/>
  <c r="D18" i="1"/>
  <c r="E15" i="1"/>
  <c r="E16" i="1" s="1"/>
  <c r="I18" i="1"/>
  <c r="E18" i="1"/>
  <c r="I16" i="1"/>
  <c r="G4" i="1"/>
  <c r="G6" i="1"/>
  <c r="G8" i="1"/>
  <c r="G12" i="1"/>
  <c r="G14" i="1"/>
  <c r="E3" i="1"/>
  <c r="E17" i="1" s="1"/>
  <c r="E9" i="1"/>
  <c r="D3" i="1"/>
  <c r="I17" i="1"/>
  <c r="D10" i="1"/>
  <c r="D11" i="1" s="1"/>
  <c r="D9" i="1"/>
  <c r="E10" i="1"/>
  <c r="I11" i="1"/>
  <c r="E11" i="1"/>
  <c r="E5" i="1"/>
  <c r="E7" i="1"/>
  <c r="E22" i="1"/>
  <c r="D7" i="1"/>
  <c r="D22" i="1" s="1"/>
  <c r="I23" i="1"/>
  <c r="I22" i="1"/>
  <c r="D5" i="1"/>
  <c r="N1" i="2"/>
  <c r="O6" i="2" s="1"/>
  <c r="O5" i="2" l="1"/>
  <c r="D17" i="1"/>
  <c r="O8" i="2"/>
  <c r="O4" i="2"/>
  <c r="G5" i="2"/>
  <c r="H5" i="2" s="1"/>
  <c r="O2" i="2"/>
  <c r="O7" i="2"/>
  <c r="O3" i="2"/>
  <c r="G24" i="2"/>
  <c r="H24" i="2" s="1"/>
  <c r="F18" i="2"/>
  <c r="G3" i="2"/>
  <c r="H3" i="2" s="1"/>
  <c r="G10" i="2"/>
  <c r="H10" i="2" s="1"/>
  <c r="G9" i="2"/>
  <c r="H9" i="2" s="1"/>
  <c r="G8" i="2"/>
  <c r="H8" i="2" s="1"/>
  <c r="F22" i="2"/>
  <c r="G7" i="2"/>
  <c r="H7" i="2" s="1"/>
  <c r="E22" i="2"/>
  <c r="D22" i="2"/>
  <c r="G21" i="2"/>
  <c r="H21" i="2" s="1"/>
  <c r="G16" i="2"/>
  <c r="H16" i="2" s="1"/>
  <c r="G20" i="2"/>
  <c r="H20" i="2" s="1"/>
  <c r="G17" i="2"/>
  <c r="H17" i="2" s="1"/>
  <c r="G13" i="2"/>
  <c r="H13" i="2" s="1"/>
  <c r="D23" i="2"/>
  <c r="G23" i="2" s="1"/>
  <c r="H23" i="2" s="1"/>
  <c r="G19" i="2"/>
  <c r="H19" i="2" s="1"/>
  <c r="D11" i="2"/>
  <c r="G11" i="2" s="1"/>
  <c r="H11" i="2" s="1"/>
  <c r="D18" i="2"/>
  <c r="E18" i="2"/>
  <c r="G15" i="2"/>
  <c r="H15" i="2" s="1"/>
  <c r="D16" i="1"/>
  <c r="E23" i="1"/>
  <c r="D23" i="1"/>
  <c r="G22" i="2" l="1"/>
  <c r="H22" i="2" s="1"/>
  <c r="G18" i="2"/>
  <c r="H18" i="2" s="1"/>
  <c r="H8" i="1"/>
  <c r="P5" i="1"/>
  <c r="P4" i="1"/>
  <c r="M4" i="1"/>
  <c r="P3" i="1"/>
  <c r="P2" i="1"/>
  <c r="L1" i="1"/>
  <c r="Q2" i="1" s="1"/>
  <c r="F24" i="1" l="1"/>
  <c r="G24" i="1" s="1"/>
  <c r="H24" i="1" s="1"/>
  <c r="F15" i="1"/>
  <c r="F9" i="1"/>
  <c r="G9" i="1" s="1"/>
  <c r="F5" i="1"/>
  <c r="G5" i="1" s="1"/>
  <c r="H5" i="1" s="1"/>
  <c r="F10" i="1"/>
  <c r="F19" i="1"/>
  <c r="F7" i="1"/>
  <c r="F3" i="1"/>
  <c r="F13" i="1"/>
  <c r="Q5" i="1"/>
  <c r="M6" i="1"/>
  <c r="P1" i="1"/>
  <c r="M5" i="1"/>
  <c r="H6" i="1"/>
  <c r="Q4" i="1"/>
  <c r="M8" i="1"/>
  <c r="M3" i="1"/>
  <c r="Q3" i="1"/>
  <c r="M7" i="1"/>
  <c r="H12" i="1"/>
  <c r="M2" i="1"/>
  <c r="F17" i="1" l="1"/>
  <c r="G17" i="1" s="1"/>
  <c r="H17" i="1" s="1"/>
  <c r="G3" i="1"/>
  <c r="F23" i="1"/>
  <c r="G23" i="1" s="1"/>
  <c r="H23" i="1" s="1"/>
  <c r="F22" i="1"/>
  <c r="G22" i="1" s="1"/>
  <c r="H22" i="1" s="1"/>
  <c r="G7" i="1"/>
  <c r="H7" i="1" s="1"/>
  <c r="F21" i="1"/>
  <c r="G21" i="1" s="1"/>
  <c r="H21" i="1" s="1"/>
  <c r="G19" i="1"/>
  <c r="G15" i="1"/>
  <c r="H15" i="1" s="1"/>
  <c r="F18" i="1"/>
  <c r="G18" i="1" s="1"/>
  <c r="F16" i="1"/>
  <c r="G16" i="1" s="1"/>
  <c r="F20" i="1"/>
  <c r="G20" i="1" s="1"/>
  <c r="H20" i="1" s="1"/>
  <c r="G13" i="1"/>
  <c r="H13" i="1" s="1"/>
  <c r="F11" i="1"/>
  <c r="G11" i="1" s="1"/>
  <c r="G10" i="1"/>
  <c r="H10" i="1"/>
  <c r="H9" i="1"/>
  <c r="H11" i="1"/>
  <c r="H14" i="1"/>
  <c r="H16" i="1"/>
  <c r="H4" i="1"/>
  <c r="G2" i="1"/>
  <c r="H2" i="1" s="1"/>
  <c r="H3" i="1"/>
  <c r="H19" i="1"/>
  <c r="H18" i="1"/>
</calcChain>
</file>

<file path=xl/sharedStrings.xml><?xml version="1.0" encoding="utf-8"?>
<sst xmlns="http://schemas.openxmlformats.org/spreadsheetml/2006/main" count="763" uniqueCount="170">
  <si>
    <t>Apellido Paterno</t>
  </si>
  <si>
    <t xml:space="preserve">Apellido Materno </t>
  </si>
  <si>
    <t>Nombres</t>
  </si>
  <si>
    <t>P1</t>
  </si>
  <si>
    <t>P2</t>
  </si>
  <si>
    <t>P3</t>
  </si>
  <si>
    <t>PUNTOS</t>
  </si>
  <si>
    <t>NOTA</t>
  </si>
  <si>
    <t>OBSERVACIONES</t>
  </si>
  <si>
    <t>P1 y P2</t>
  </si>
  <si>
    <t>Tabla con informacion</t>
  </si>
  <si>
    <t>Definición Variables de decisión</t>
  </si>
  <si>
    <t>Función Objetivo</t>
  </si>
  <si>
    <t>Restricciones</t>
  </si>
  <si>
    <t>Región Factible, Puntos factibles</t>
  </si>
  <si>
    <t>Puntos Optimos, Solucion Optima</t>
  </si>
  <si>
    <t>Análisis de Utilizacion de Recursos</t>
  </si>
  <si>
    <t>Mora</t>
  </si>
  <si>
    <t>Andrea</t>
  </si>
  <si>
    <t>Guillermo</t>
  </si>
  <si>
    <t>Sanhueza</t>
  </si>
  <si>
    <t>Briones</t>
  </si>
  <si>
    <t>Baquedano</t>
  </si>
  <si>
    <t>Vladimir</t>
  </si>
  <si>
    <t>P1, P2 y P3</t>
  </si>
  <si>
    <t>Sintaxis R</t>
  </si>
  <si>
    <t>Resultados</t>
  </si>
  <si>
    <t>Interpretacion</t>
  </si>
  <si>
    <t>Aguilera</t>
  </si>
  <si>
    <t>Neira</t>
  </si>
  <si>
    <t>Manuel</t>
  </si>
  <si>
    <t>Albornoz</t>
  </si>
  <si>
    <t>Chaperon</t>
  </si>
  <si>
    <t>Gabriela</t>
  </si>
  <si>
    <t>Poblete</t>
  </si>
  <si>
    <t>Bravo</t>
  </si>
  <si>
    <t>Sepulveda</t>
  </si>
  <si>
    <t>Jaime</t>
  </si>
  <si>
    <t>Candia</t>
  </si>
  <si>
    <t>Barriga</t>
  </si>
  <si>
    <t>Rodrigo</t>
  </si>
  <si>
    <t>Charpentier</t>
  </si>
  <si>
    <t>Brevis</t>
  </si>
  <si>
    <t>Contreras</t>
  </si>
  <si>
    <t>G</t>
  </si>
  <si>
    <t>Carolina</t>
  </si>
  <si>
    <t>Manriquez</t>
  </si>
  <si>
    <t>Lara</t>
  </si>
  <si>
    <t>Lilian</t>
  </si>
  <si>
    <t>Muñoz</t>
  </si>
  <si>
    <t>Valenzuela</t>
  </si>
  <si>
    <t>Humberto</t>
  </si>
  <si>
    <t>Carcamo</t>
  </si>
  <si>
    <t>Patricio</t>
  </si>
  <si>
    <t>Cisternas</t>
  </si>
  <si>
    <t>Roberto</t>
  </si>
  <si>
    <t>Nicolas</t>
  </si>
  <si>
    <t>Truan</t>
  </si>
  <si>
    <t>David</t>
  </si>
  <si>
    <t>Ormeño</t>
  </si>
  <si>
    <t>Silva</t>
  </si>
  <si>
    <t>Pilquinao</t>
  </si>
  <si>
    <t>Parra</t>
  </si>
  <si>
    <t>Georgette</t>
  </si>
  <si>
    <t>Riveros</t>
  </si>
  <si>
    <t>Jaña</t>
  </si>
  <si>
    <t>Ricardo</t>
  </si>
  <si>
    <t>San Martin</t>
  </si>
  <si>
    <t>Saez</t>
  </si>
  <si>
    <t>Riola</t>
  </si>
  <si>
    <t>Burgos</t>
  </si>
  <si>
    <t>Alfredo</t>
  </si>
  <si>
    <t>Torres</t>
  </si>
  <si>
    <t>Fernandez</t>
  </si>
  <si>
    <t>Rosario</t>
  </si>
  <si>
    <t>Venegas</t>
  </si>
  <si>
    <t>Carrasco</t>
  </si>
  <si>
    <t>Gonzalo</t>
  </si>
  <si>
    <t>Vidal</t>
  </si>
  <si>
    <t>Ivan</t>
  </si>
  <si>
    <t>Sebastian</t>
  </si>
  <si>
    <t>Faltó resolucion grafica y analisis de utilizacion de recursos en ejercicio 1. Faltó resolucion grafica y analisis de utilizacion de recursos en ejercicio 2 y resolver segundo escenario. Definicion de variables de decision incompleta y restricciones incorrectas e incompletas en ejercicio 3.</t>
  </si>
  <si>
    <t>Falto desarrollo para encontrar solución optima, valor optimo de la funcion objetivo y analisis de utilizacion de recursos en ejercicio 1. Definicion de variables de decision incompleta, falto desarrollo para encontrar solución optima, valor optimo de la funcion objetivo y analisis de utilizacion de recursos en los dos escenarios del ejercicio 2. Restricciones incorrectas en ejercicio 3.</t>
  </si>
  <si>
    <t>*</t>
  </si>
  <si>
    <t>Segundo escenario incorrecto en ejercicio 2. Definicion de variables de decision incompleta y restricciones incorrectas e incompletas en ejercicio 3.</t>
  </si>
  <si>
    <t>Segundo escenario incorrecto en ejercicio 2.  Definicion de variables de decision incompleta y restricciones incorrectas e incompletas en ejercicio 3.</t>
  </si>
  <si>
    <t>No hay solución ni analisis de utilizacion de recursos en ejercicio 1. Region factible y, puntos factibles incorrectos, no hay solución ni analisis de utilizacion de recursos en ambos escenarios del ejercicio 2. Definicion de variables de decision incompleta y restricciones incorrectas e incompletas en ejercicio 3.</t>
  </si>
  <si>
    <t>Falto analisis de utilizacion de recursos en ejercicio 1. Falto analisis de utilizacion de recursos en ejercicio 2. Restricciones incorrectas en ejercicio 3.</t>
  </si>
  <si>
    <t>Incorrecto analisis de solucion optima en ejercicio 1. Falto analisis de utilizacion de recursos en ejercicio 2. Restricciones incorrectas en ejercicio 3.</t>
  </si>
  <si>
    <t>-</t>
  </si>
  <si>
    <t>Falto planteamiento matematico y analisis de utilizacion de recursos en ejercicio 1. Falto planteamiento matematico, analisis de utilizacion de recursos y resolver escenario 2 en ejercicio 2. Falto planteamiento matematico, analisis de utilizacion de recursos y valor de la función objetivo en ejercicio 3.</t>
  </si>
  <si>
    <t>Falto planteamiento matematico y analisis de utilizacion de recursos en ejercicio 1. Falto planteamiento matematico, resultados, interpretacion y analisis de utilizacion de recursos en ambos escenarios del ejercicio 2. Falto planteamiento matematico, resultados, interpretacion y analisis de utilizacion de recursos y valor de la función objetivo en ejercicio 3.</t>
  </si>
  <si>
    <t>Falto planteamiento matematico, resultados y analisis de utilizacion de recursos en ejercicio 1. Falto planteamiento matematico, resultados y analisis de utilizacion de recursos en ambos escenarios del ejercicio 2. Falto planteamiento matematico, resultados, interpretacion y analisis de utilizacion de recursos y valor de la función objetivo en ejercicio 3.</t>
  </si>
  <si>
    <t>Falto planteamiento matematico, resultados e interpretacion en ejercicio 1. Falto planteamiento matematico, resultados e interpretacion para ambos escenarios en ejercicio 2. Falto planteamiento matematico, resultados e interpretacion en ejercicio 3.</t>
  </si>
  <si>
    <t>Falto planteamiento matematico, resultados y analisis de utilizacion de recursos en ejercicio 1. Falto planteamiento matematico, resultados y analisis de utilizacion de recursos, falto resolver segundo escenario en ejercicio 2. Error al plantear problema 3.</t>
  </si>
  <si>
    <t>Falto analisis de utilizacion de recursos en los tres problemas. Excelente analisis e interpretación en el ejercicio 3!</t>
  </si>
  <si>
    <t>Falto definicion de las variables de decisión, resultados, interpretacion y analisis de utilizacion de recursos en los tres ejercicios.</t>
  </si>
  <si>
    <t>Falto definicion de las variables de decisión, resultados, interpretacion y analisis de utilizacion de recursos en los tres ejercicios. Falto escenario 2 en ejercicio 2.</t>
  </si>
  <si>
    <t>Error en la funcion objetivo del problema 1. Error al ingresar las direcciones de las desigualdades yfalto analisis de utilizacion de recursos  en escenario 2 del ejercicio 2. Error en la funcion objetivo del problema 3.</t>
  </si>
  <si>
    <t>P2 y P3</t>
  </si>
  <si>
    <t>a)</t>
  </si>
  <si>
    <t>b)</t>
  </si>
  <si>
    <t>c)</t>
  </si>
  <si>
    <t>d)</t>
  </si>
  <si>
    <t>e)</t>
  </si>
  <si>
    <t>f)</t>
  </si>
  <si>
    <t>g)</t>
  </si>
  <si>
    <t>h)</t>
  </si>
  <si>
    <t>i)</t>
  </si>
  <si>
    <t>j)</t>
  </si>
  <si>
    <t>k)</t>
  </si>
  <si>
    <t>l)</t>
  </si>
  <si>
    <t>Ejercicio 1: Falto interpretar utilizacion de recursos. Ejercicio 2: Falto unidades de medida de variables de decision, intervalos para b y c, letra i confusa, letra j, letra k, letra l. Ejercicio 3:  Falto unidades de medida de variables de decision, interpretar utilizacion de recursos, intervalos para b y c, letra j , letra k, letra l</t>
  </si>
  <si>
    <t>Ejercicio 1: Falto interpretar resultados y utilizacion de recursos. Ejercicio 2: Falto unidades de medida de variables de decision, interpretar resultados, intervalos para b y c, letra i, letra j incompleto el analisis, letra k, letra l. Ejercicio 3:  Falto unidades de medida de variables de decision, intervalos para b y c, letra h incorrecta, letra j , letra k, letra l</t>
  </si>
  <si>
    <t>Ejercicio 1: Faltaron valores optimos de algunas variables de decisión. Ejercicio 2: Falto unidad en deficion de variables de decision,  error en analisis de utilizacion de recursos dee la segunda restriccion, analisis poco preciso en letra j, falto resolver letra k. Ejercicio 3: Falto unidad en deficion de variables de decision, falto resolver el eescenario en letra k.</t>
  </si>
  <si>
    <t>Ejercicio 1: Faltaron valores optimos de algunas variables de decision. Ejercicio 2: falto resolver escenario en letra k. Ejercicio 3:  Falto unidades de medida de variables de decision, resolver escenario en letra k.</t>
  </si>
  <si>
    <t>Ejercicio 1: Falto interpretar resultados y utilizacion de recursos. Ejercicio 2: letra j incompleto el analisis, letra k. Ejercicio 3:  Falto unidades de medida de variables de decision, resolver escenario en letra k.</t>
  </si>
  <si>
    <t>Ejercicio 2: falto resolver escenario en letra k. Ejercicio 3:  Falto unidades de medida de variables de decision, resolver escenario en letra k.</t>
  </si>
  <si>
    <t>Ejercicio 2: falto valores de las vartiables de decision, incorrecto analisis de utilizacion de recursos, resolver escenario en letra k. Ejercicio 3:  Falto unidades de medida de variables de decision, valores de las vartiables de decision, incorrecto analisis de utilizacion de recursos, incompleta la resolucion del escenario en letra k.</t>
  </si>
  <si>
    <t>Ejercicio 1: Incorrecto planteamiento. Ejercicio 2: incompleta resolucion escenario letra k. Ejercicio 3: error en entregar resultado de la funcion objetivo, incompleta resolucion escenario letra k</t>
  </si>
  <si>
    <t>Ejercicio 1: Falto interpretar resultados y utilizacion de recursos. Ejercicio 2: letra g, letra h, letra i, letra j, letra k, letra l. Ejercicio 3:  Falto unidades de medida de variables de decision, letra k, letra l.</t>
  </si>
  <si>
    <t>Ejercicio 1: Faltaron valores optimos de algunas variables de decision. Ejercicio 2: falto resolver escenario en letra k. Ejercicio 3:  Falto unidades de medida de variables de decision, letra k, letra l.</t>
  </si>
  <si>
    <t>Ejercicio 2: error en analisis, error en intervalos de los b. Ejercicio 3: incorrecta letra h, incorrectos valores de x'* en letra k.</t>
  </si>
  <si>
    <t>Ejercicio 1: falto analisis de utilizacion de recursos. Ejercicio 2: incompleto analisis letra l. Ejercicio 3: falto unidades de las variables de decision.</t>
  </si>
  <si>
    <t>Ejercicio 1: Faltaron valores optimos de algunas variables de decision y analisis de utilizacion de recursos. Ejercicio 2: Falto unidades de medida de variables de decision, incorrecta letra i, incorrecta letra j, falto letra k y letra l. Ejercicio 3:  Falto unidades de medida de variables de decision, incorrecta letra h, falto letra j, letra k, letra l.</t>
  </si>
  <si>
    <t>Ejercicio 1: Faltaron valores optimos de algunas variables de decision. Ejercicio 2: Falto unidades de medida de variables de decision, incompleto analisis letra j, falto letra k. Ejercicio 3:  Falto unidades de medida de variables de decision, falto resolver escenario letra k.</t>
  </si>
  <si>
    <t>T1</t>
  </si>
  <si>
    <t>T2</t>
  </si>
  <si>
    <t>T3</t>
  </si>
  <si>
    <t>T4</t>
  </si>
  <si>
    <t>T</t>
  </si>
  <si>
    <t>S1</t>
  </si>
  <si>
    <t>S2</t>
  </si>
  <si>
    <t>NP</t>
  </si>
  <si>
    <t xml:space="preserve">Falto diagrama </t>
  </si>
  <si>
    <t>Error en la matriz de costos. Costo unitario c2,3 = M y no cero (ya que no está permitido ese flujo). Falto diagrama</t>
  </si>
  <si>
    <t>No entregado/rendido</t>
  </si>
  <si>
    <t>Retiro</t>
  </si>
  <si>
    <t>Ejercicio 1: No explica como se obtiene la tabla de costos.</t>
  </si>
  <si>
    <t>Ejercicio 1: No explica como se obtiene la tabla de costos y error en costos de flujos no permitidos. Ejercicio 2: error matriz de costos.</t>
  </si>
  <si>
    <t>Ejercicio 1: No explica como se obtiene la tabla de costos. Ejercicio 2: error matriz de costos.</t>
  </si>
  <si>
    <t>Ejercicio 1: No explica como se obtiene la tabla de costos y error en costos de flujos no permitidos. Ejercicio 2: error en la programación, no corre.</t>
  </si>
  <si>
    <t>Ejercicio 2: error matriz de costos.</t>
  </si>
  <si>
    <t>Ejercicio 1: No explica como se obtiene la tabla de costos. Ejercicio 2: error matriz de costos. Ejercicio 3: error en la programación, no corre.</t>
  </si>
  <si>
    <t>RECUPERATIVO ANDREA MANRIQUEZ</t>
  </si>
  <si>
    <t>NOTA (sin penalizacion por retrazo)</t>
  </si>
  <si>
    <t>a</t>
  </si>
  <si>
    <t>b</t>
  </si>
  <si>
    <t>c</t>
  </si>
  <si>
    <t>d</t>
  </si>
  <si>
    <t>e</t>
  </si>
  <si>
    <t>f</t>
  </si>
  <si>
    <t>g</t>
  </si>
  <si>
    <t>h</t>
  </si>
  <si>
    <t>i</t>
  </si>
  <si>
    <t>j</t>
  </si>
  <si>
    <t>k</t>
  </si>
  <si>
    <t>l</t>
  </si>
  <si>
    <t>m</t>
  </si>
  <si>
    <t>n</t>
  </si>
  <si>
    <t>o</t>
  </si>
  <si>
    <t>p</t>
  </si>
  <si>
    <t>q</t>
  </si>
  <si>
    <t>r</t>
  </si>
  <si>
    <t>s</t>
  </si>
  <si>
    <t>t</t>
  </si>
  <si>
    <t>EX</t>
  </si>
  <si>
    <t>NF</t>
  </si>
  <si>
    <t>RECUPERATIVO. Entrega fuera de plazo (una semana de atraso). Ejercicio 1: Error en coeficientes lado derechos al ingresar a R. Ejercicio 2: Falto analisis de sensibilidad completo. Ejercicio 3: error en las restricciones dee requerimientos de mezclas.</t>
  </si>
  <si>
    <t>RECUPERATIVO. Ejercicio 2: maximiza pero era minimizacion. Ejercicio 3: error en restricciones relacionadas con maximo de galones de las cosechas (son menor o igual, pero pone mayor o igual)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</si>
</sst>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6" x14ac:knownFonts="1">
    <font>
      <sz val="11"/>
      <color theme="1"/>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b/>
      <sz val="12"/>
      <color theme="0" tint="-0.14999847407452621"/>
      <name val="Calibri"/>
      <family val="2"/>
      <scheme val="minor"/>
    </font>
    <font>
      <sz val="12"/>
      <color theme="0" tint="-0.14999847407452621"/>
      <name val="Calibri"/>
      <family val="2"/>
      <scheme val="minor"/>
    </font>
    <font>
      <sz val="12"/>
      <color rgb="FFFF0000"/>
      <name val="Calibri"/>
      <family val="2"/>
      <scheme val="minor"/>
    </font>
    <font>
      <sz val="12"/>
      <name val="Calibri"/>
      <family val="2"/>
      <scheme val="minor"/>
    </font>
    <font>
      <sz val="12"/>
      <color theme="0"/>
      <name val="Calibri"/>
      <family val="2"/>
      <scheme val="minor"/>
    </font>
    <font>
      <b/>
      <sz val="12"/>
      <color theme="0"/>
      <name val="Calibri"/>
      <family val="2"/>
      <scheme val="minor"/>
    </font>
    <font>
      <b/>
      <sz val="12"/>
      <name val="Calibri"/>
      <family val="2"/>
      <scheme val="minor"/>
    </font>
    <font>
      <sz val="11"/>
      <name val="Calibri"/>
      <family val="2"/>
      <scheme val="minor"/>
    </font>
    <font>
      <sz val="11"/>
      <color theme="0" tint="-0.14999847407452621"/>
      <name val="Calibri"/>
      <family val="2"/>
      <scheme val="minor"/>
    </font>
    <font>
      <sz val="11"/>
      <color rgb="FFFFC0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26">
    <border>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right/>
      <top/>
      <bottom style="double">
        <color indexed="64"/>
      </bottom>
      <diagonal/>
    </border>
    <border>
      <left style="medium">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108">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164" fontId="4" fillId="0" borderId="3" xfId="0" applyNumberFormat="1" applyFont="1" applyBorder="1" applyAlignment="1">
      <alignment horizontal="center" vertical="center"/>
    </xf>
    <xf numFmtId="9" fontId="6" fillId="0" borderId="7" xfId="1" applyFont="1" applyBorder="1" applyAlignment="1">
      <alignment horizontal="center" vertical="center"/>
    </xf>
    <xf numFmtId="164" fontId="4" fillId="0" borderId="8" xfId="0" applyNumberFormat="1" applyFont="1" applyBorder="1" applyAlignment="1">
      <alignment horizontal="center" vertical="center"/>
    </xf>
    <xf numFmtId="0" fontId="0" fillId="0" borderId="0" xfId="0" applyAlignment="1">
      <alignment horizontal="center" vertical="center"/>
    </xf>
    <xf numFmtId="0" fontId="4" fillId="0" borderId="9" xfId="0" applyFont="1" applyBorder="1" applyAlignment="1">
      <alignment horizontal="center" vertical="center"/>
    </xf>
    <xf numFmtId="2" fontId="9" fillId="0" borderId="10" xfId="0" applyNumberFormat="1" applyFont="1" applyBorder="1" applyAlignment="1">
      <alignment horizontal="center" vertical="center"/>
    </xf>
    <xf numFmtId="10" fontId="7" fillId="0" borderId="0" xfId="1" applyNumberFormat="1" applyFont="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164" fontId="7" fillId="0" borderId="0" xfId="0" applyNumberFormat="1" applyFont="1" applyBorder="1" applyAlignment="1">
      <alignment horizontal="center" vertical="center"/>
    </xf>
    <xf numFmtId="164" fontId="7" fillId="0" borderId="12" xfId="0" applyNumberFormat="1"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164" fontId="7" fillId="0" borderId="14" xfId="0" applyNumberFormat="1" applyFont="1" applyBorder="1" applyAlignment="1">
      <alignment horizontal="center" vertical="center"/>
    </xf>
    <xf numFmtId="164" fontId="7" fillId="0" borderId="16" xfId="0" applyNumberFormat="1" applyFont="1" applyBorder="1" applyAlignment="1">
      <alignment horizontal="center" vertical="center"/>
    </xf>
    <xf numFmtId="164"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2" fontId="9" fillId="0" borderId="15" xfId="0" applyNumberFormat="1" applyFont="1" applyBorder="1" applyAlignment="1">
      <alignment horizontal="center" vertical="center"/>
    </xf>
    <xf numFmtId="165" fontId="0" fillId="0" borderId="0" xfId="0" applyNumberFormat="1" applyAlignment="1">
      <alignment horizontal="center" vertical="center"/>
    </xf>
    <xf numFmtId="10" fontId="0" fillId="0" borderId="0" xfId="1" applyNumberFormat="1" applyFont="1" applyAlignment="1">
      <alignment horizontal="center" vertical="center"/>
    </xf>
    <xf numFmtId="0" fontId="10" fillId="0" borderId="0" xfId="0" applyFont="1" applyFill="1" applyAlignment="1">
      <alignment horizontal="center" vertical="center"/>
    </xf>
    <xf numFmtId="2" fontId="4" fillId="0" borderId="3" xfId="0" applyNumberFormat="1" applyFont="1" applyBorder="1" applyAlignment="1">
      <alignment horizontal="center" vertical="center"/>
    </xf>
    <xf numFmtId="0" fontId="6" fillId="0" borderId="0" xfId="0" applyFont="1" applyBorder="1" applyAlignment="1">
      <alignment horizontal="center" vertical="center"/>
    </xf>
    <xf numFmtId="2" fontId="7" fillId="0" borderId="0" xfId="0" applyNumberFormat="1" applyFont="1" applyBorder="1" applyAlignment="1">
      <alignment horizontal="center" vertical="center"/>
    </xf>
    <xf numFmtId="10" fontId="7" fillId="0" borderId="0" xfId="1" applyNumberFormat="1" applyFont="1" applyBorder="1" applyAlignment="1">
      <alignment horizontal="center" vertical="center"/>
    </xf>
    <xf numFmtId="164" fontId="4" fillId="0" borderId="0" xfId="0" applyNumberFormat="1" applyFont="1" applyBorder="1" applyAlignment="1">
      <alignment horizontal="center" vertical="center"/>
    </xf>
    <xf numFmtId="164" fontId="11"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9" fillId="0" borderId="0" xfId="0" applyFont="1" applyFill="1" applyAlignment="1">
      <alignment horizontal="center" vertical="center"/>
    </xf>
    <xf numFmtId="0" fontId="8" fillId="0" borderId="10" xfId="0" applyFont="1" applyBorder="1" applyAlignment="1">
      <alignment horizontal="center" vertical="center" wrapText="1"/>
    </xf>
    <xf numFmtId="0" fontId="0" fillId="0" borderId="11" xfId="0" applyFill="1" applyBorder="1" applyAlignment="1">
      <alignment horizontal="center" vertical="center"/>
    </xf>
    <xf numFmtId="0" fontId="0" fillId="0" borderId="10" xfId="0" applyFill="1" applyBorder="1" applyAlignment="1">
      <alignment horizontal="center" vertical="center"/>
    </xf>
    <xf numFmtId="164" fontId="12" fillId="0" borderId="8" xfId="0" applyNumberFormat="1" applyFont="1" applyFill="1" applyBorder="1" applyAlignment="1">
      <alignment horizontal="center" vertical="center"/>
    </xf>
    <xf numFmtId="0" fontId="3" fillId="0" borderId="10"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Alignment="1">
      <alignment horizontal="center" vertical="center"/>
    </xf>
    <xf numFmtId="0" fontId="13" fillId="0" borderId="11"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10" xfId="0" applyFont="1" applyFill="1" applyBorder="1" applyAlignment="1">
      <alignment horizontal="center" vertical="center"/>
    </xf>
    <xf numFmtId="0" fontId="13" fillId="0" borderId="0" xfId="0" applyFont="1" applyFill="1" applyAlignment="1">
      <alignment horizontal="center" vertical="center"/>
    </xf>
    <xf numFmtId="0" fontId="12" fillId="0" borderId="9" xfId="0" applyFont="1" applyFill="1" applyBorder="1" applyAlignment="1">
      <alignment horizontal="center" vertical="center"/>
    </xf>
    <xf numFmtId="2" fontId="9" fillId="0" borderId="10" xfId="0" applyNumberFormat="1" applyFont="1" applyFill="1" applyBorder="1" applyAlignment="1">
      <alignment horizontal="center" vertical="center"/>
    </xf>
    <xf numFmtId="10" fontId="9" fillId="0" borderId="0" xfId="1" applyNumberFormat="1" applyFont="1" applyFill="1" applyAlignment="1">
      <alignment horizontal="center" vertical="center"/>
    </xf>
    <xf numFmtId="164" fontId="7" fillId="2" borderId="0" xfId="0" applyNumberFormat="1" applyFont="1" applyFill="1" applyBorder="1" applyAlignment="1">
      <alignment horizontal="center" vertical="center"/>
    </xf>
    <xf numFmtId="164" fontId="7" fillId="2" borderId="12" xfId="0" applyNumberFormat="1" applyFont="1" applyFill="1" applyBorder="1" applyAlignment="1">
      <alignment horizontal="center" vertical="center"/>
    </xf>
    <xf numFmtId="0" fontId="14" fillId="2" borderId="11"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0" xfId="0" applyFont="1" applyFill="1" applyBorder="1" applyAlignment="1">
      <alignment horizontal="center" vertical="center"/>
    </xf>
    <xf numFmtId="164" fontId="6" fillId="2" borderId="8" xfId="0" applyNumberFormat="1" applyFont="1" applyFill="1" applyBorder="1" applyAlignment="1">
      <alignment horizontal="center" vertical="center"/>
    </xf>
    <xf numFmtId="0" fontId="7" fillId="2" borderId="10" xfId="0" applyFont="1" applyFill="1" applyBorder="1" applyAlignment="1">
      <alignment horizontal="center" vertical="center" wrapText="1"/>
    </xf>
    <xf numFmtId="0" fontId="4" fillId="0" borderId="0" xfId="0" applyFont="1" applyBorder="1" applyAlignment="1">
      <alignment horizontal="center" vertical="center"/>
    </xf>
    <xf numFmtId="2" fontId="5" fillId="0" borderId="10" xfId="0" applyNumberFormat="1" applyFont="1" applyBorder="1" applyAlignment="1">
      <alignment horizontal="center" vertical="center"/>
    </xf>
    <xf numFmtId="0" fontId="4" fillId="0" borderId="19" xfId="0" applyFont="1" applyBorder="1" applyAlignment="1">
      <alignment horizontal="center" vertical="center"/>
    </xf>
    <xf numFmtId="166" fontId="4" fillId="0" borderId="20" xfId="0" applyNumberFormat="1" applyFont="1" applyBorder="1" applyAlignment="1">
      <alignment horizontal="center" vertical="center"/>
    </xf>
    <xf numFmtId="166" fontId="9" fillId="0" borderId="20" xfId="0" applyNumberFormat="1" applyFont="1" applyBorder="1" applyAlignment="1">
      <alignment horizontal="center" vertical="center"/>
    </xf>
    <xf numFmtId="166" fontId="9" fillId="0" borderId="10" xfId="0" applyNumberFormat="1" applyFont="1" applyBorder="1" applyAlignment="1">
      <alignment horizontal="center" vertical="center"/>
    </xf>
    <xf numFmtId="2" fontId="0" fillId="0" borderId="15" xfId="0" applyNumberFormat="1" applyBorder="1" applyAlignment="1">
      <alignment horizontal="center" vertical="center"/>
    </xf>
    <xf numFmtId="0" fontId="4" fillId="0" borderId="21" xfId="0" applyFont="1" applyBorder="1" applyAlignment="1">
      <alignment horizontal="center" vertical="center"/>
    </xf>
    <xf numFmtId="166" fontId="0" fillId="0" borderId="22" xfId="0" applyNumberFormat="1" applyBorder="1" applyAlignment="1">
      <alignment horizontal="center" vertical="center"/>
    </xf>
    <xf numFmtId="2" fontId="9" fillId="0" borderId="0" xfId="0" applyNumberFormat="1" applyFont="1" applyAlignment="1">
      <alignment horizontal="center" vertical="center"/>
    </xf>
    <xf numFmtId="0" fontId="4" fillId="0" borderId="23" xfId="0" applyFont="1" applyBorder="1" applyAlignment="1">
      <alignment horizontal="center" vertical="center"/>
    </xf>
    <xf numFmtId="2" fontId="9" fillId="0" borderId="24" xfId="0" applyNumberFormat="1" applyFont="1" applyBorder="1" applyAlignment="1">
      <alignment horizontal="center" vertical="center"/>
    </xf>
    <xf numFmtId="10" fontId="0" fillId="0" borderId="0" xfId="0" applyNumberFormat="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164" fontId="14" fillId="0" borderId="11" xfId="0" applyNumberFormat="1" applyFont="1" applyBorder="1"/>
    <xf numFmtId="164" fontId="14" fillId="0" borderId="0" xfId="0" applyNumberFormat="1" applyFont="1" applyBorder="1"/>
    <xf numFmtId="164" fontId="14" fillId="0" borderId="13" xfId="0" applyNumberFormat="1" applyFont="1" applyBorder="1"/>
    <xf numFmtId="164" fontId="14" fillId="0" borderId="14" xfId="0" applyNumberFormat="1" applyFont="1" applyBorder="1"/>
    <xf numFmtId="164" fontId="14" fillId="2" borderId="11" xfId="0" applyNumberFormat="1" applyFont="1" applyFill="1" applyBorder="1"/>
    <xf numFmtId="164" fontId="14" fillId="2" borderId="0" xfId="0" applyNumberFormat="1" applyFont="1" applyFill="1" applyBorder="1"/>
    <xf numFmtId="0" fontId="14" fillId="0" borderId="0" xfId="0" applyFont="1" applyFill="1"/>
    <xf numFmtId="0" fontId="6" fillId="0" borderId="9" xfId="0" applyFont="1" applyFill="1" applyBorder="1" applyAlignment="1">
      <alignment horizontal="center" vertical="center"/>
    </xf>
    <xf numFmtId="2" fontId="7" fillId="0" borderId="10" xfId="0" applyNumberFormat="1" applyFont="1" applyFill="1" applyBorder="1" applyAlignment="1">
      <alignment horizontal="center" vertical="center"/>
    </xf>
    <xf numFmtId="10" fontId="7" fillId="0" borderId="0" xfId="1" applyNumberFormat="1" applyFont="1" applyFill="1" applyAlignment="1">
      <alignment horizontal="center" vertical="center"/>
    </xf>
    <xf numFmtId="0" fontId="14" fillId="0" borderId="0" xfId="0" applyFont="1" applyFill="1" applyAlignment="1">
      <alignment horizontal="center" vertical="center"/>
    </xf>
    <xf numFmtId="166" fontId="7" fillId="0" borderId="10"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0" fontId="7" fillId="2" borderId="8" xfId="0" applyFont="1" applyFill="1" applyBorder="1" applyAlignment="1">
      <alignment horizontal="center" vertical="center" wrapText="1"/>
    </xf>
    <xf numFmtId="0" fontId="8" fillId="0" borderId="8" xfId="0" applyFont="1" applyBorder="1" applyAlignment="1">
      <alignment horizontal="center" vertical="center" wrapText="1"/>
    </xf>
    <xf numFmtId="0" fontId="3" fillId="0" borderId="8" xfId="0" applyFont="1" applyBorder="1" applyAlignment="1">
      <alignment horizontal="center" vertical="center" wrapText="1"/>
    </xf>
    <xf numFmtId="0" fontId="8" fillId="0" borderId="17" xfId="0" applyFont="1" applyBorder="1" applyAlignment="1">
      <alignment horizontal="center" vertical="center" wrapText="1"/>
    </xf>
    <xf numFmtId="164" fontId="14" fillId="3" borderId="0" xfId="0" applyNumberFormat="1" applyFont="1" applyFill="1" applyBorder="1"/>
    <xf numFmtId="164" fontId="14" fillId="3" borderId="11" xfId="0" applyNumberFormat="1" applyFont="1" applyFill="1" applyBorder="1"/>
    <xf numFmtId="164" fontId="14" fillId="3" borderId="14" xfId="0" applyNumberFormat="1" applyFont="1" applyFill="1" applyBorder="1"/>
    <xf numFmtId="0" fontId="0" fillId="3" borderId="0" xfId="0" applyFill="1"/>
    <xf numFmtId="0" fontId="0" fillId="2" borderId="0" xfId="0" applyFill="1"/>
    <xf numFmtId="0" fontId="3" fillId="0" borderId="0" xfId="0" applyFont="1"/>
    <xf numFmtId="0" fontId="8" fillId="0" borderId="15" xfId="0" applyFont="1" applyBorder="1" applyAlignment="1">
      <alignment horizontal="center" vertical="center" wrapText="1"/>
    </xf>
    <xf numFmtId="0" fontId="1" fillId="0" borderId="0" xfId="0" applyFont="1" applyAlignment="1">
      <alignment vertical="center"/>
    </xf>
    <xf numFmtId="164" fontId="4" fillId="4" borderId="8" xfId="0"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66" fontId="14" fillId="0" borderId="0" xfId="0" applyNumberFormat="1" applyFont="1" applyFill="1" applyAlignment="1">
      <alignment horizontal="center" vertical="center"/>
    </xf>
    <xf numFmtId="164" fontId="4" fillId="0" borderId="8" xfId="0" applyNumberFormat="1" applyFont="1" applyFill="1" applyBorder="1" applyAlignment="1">
      <alignment horizontal="center" vertical="center"/>
    </xf>
    <xf numFmtId="165" fontId="0" fillId="0" borderId="0" xfId="0" applyNumberFormat="1"/>
    <xf numFmtId="164" fontId="15" fillId="3" borderId="25" xfId="0" applyNumberFormat="1" applyFont="1" applyFill="1" applyBorder="1"/>
  </cellXfs>
  <cellStyles count="2">
    <cellStyle name="Normal" xfId="0" builtinId="0"/>
    <cellStyle name="Porcentaje" xfId="1" builtinId="5"/>
  </cellStyles>
  <dxfs count="24">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C5F7-E1AF-4313-8BC0-4A4275EFC489}">
  <dimension ref="A1:Q24"/>
  <sheetViews>
    <sheetView zoomScale="85" zoomScaleNormal="85" workbookViewId="0">
      <selection activeCell="K11" sqref="K11"/>
    </sheetView>
  </sheetViews>
  <sheetFormatPr baseColWidth="10" defaultColWidth="72.1640625" defaultRowHeight="15" x14ac:dyDescent="0.2"/>
  <cols>
    <col min="1" max="1" width="17.83203125" style="11" bestFit="1" customWidth="1"/>
    <col min="2" max="2" width="19.1640625" style="11" bestFit="1" customWidth="1"/>
    <col min="3" max="3" width="10.5" style="11" bestFit="1" customWidth="1"/>
    <col min="4" max="6" width="4.1640625" style="11" bestFit="1" customWidth="1"/>
    <col min="7" max="7" width="9.33203125" style="11" bestFit="1" customWidth="1"/>
    <col min="8" max="8" width="6.6640625" style="11" bestFit="1" customWidth="1"/>
    <col min="9" max="9" width="55" style="11" bestFit="1" customWidth="1"/>
    <col min="10" max="10" width="2.1640625" style="11" bestFit="1" customWidth="1"/>
    <col min="11" max="11" width="35.5" style="11" bestFit="1" customWidth="1"/>
    <col min="12" max="12" width="5.33203125" style="11" bestFit="1" customWidth="1"/>
    <col min="13" max="13" width="8.1640625" style="11" bestFit="1" customWidth="1"/>
    <col min="14" max="14" width="5.6640625" style="11" customWidth="1"/>
    <col min="15" max="15" width="33.1640625" style="11" bestFit="1" customWidth="1"/>
    <col min="16" max="16" width="5.33203125" style="11" bestFit="1" customWidth="1"/>
    <col min="17" max="17" width="8.1640625" style="11" bestFit="1" customWidth="1"/>
    <col min="18" max="16384" width="72.1640625" style="11"/>
  </cols>
  <sheetData>
    <row r="1" spans="1:17" s="6" customFormat="1" ht="17" thickBot="1" x14ac:dyDescent="0.25">
      <c r="A1" s="1" t="s">
        <v>0</v>
      </c>
      <c r="B1" s="2" t="s">
        <v>1</v>
      </c>
      <c r="C1" s="3" t="s">
        <v>2</v>
      </c>
      <c r="D1" s="2" t="s">
        <v>3</v>
      </c>
      <c r="E1" s="2" t="s">
        <v>4</v>
      </c>
      <c r="F1" s="2" t="s">
        <v>5</v>
      </c>
      <c r="G1" s="4" t="s">
        <v>6</v>
      </c>
      <c r="H1" s="5" t="s">
        <v>7</v>
      </c>
      <c r="I1" s="3" t="s">
        <v>8</v>
      </c>
      <c r="K1" s="7" t="s">
        <v>9</v>
      </c>
      <c r="L1" s="8">
        <f>SUM(L2:L8)</f>
        <v>2</v>
      </c>
      <c r="M1" s="9">
        <v>1</v>
      </c>
      <c r="O1" s="7" t="s">
        <v>5</v>
      </c>
      <c r="P1" s="8">
        <f>SUM(P2:P8)</f>
        <v>1.9800000000000002</v>
      </c>
      <c r="Q1" s="9">
        <v>1</v>
      </c>
    </row>
    <row r="2" spans="1:17" s="49" customFormat="1" ht="18" thickTop="1" x14ac:dyDescent="0.2">
      <c r="A2" s="55" t="s">
        <v>28</v>
      </c>
      <c r="B2" s="56" t="s">
        <v>29</v>
      </c>
      <c r="C2" s="57" t="s">
        <v>30</v>
      </c>
      <c r="D2" s="53">
        <v>0</v>
      </c>
      <c r="E2" s="53">
        <v>0</v>
      </c>
      <c r="F2" s="53">
        <v>0</v>
      </c>
      <c r="G2" s="54">
        <f>ROUND(D2+E2+F2,1)</f>
        <v>0</v>
      </c>
      <c r="H2" s="58">
        <f>G2+1</f>
        <v>1</v>
      </c>
      <c r="I2" s="59" t="s">
        <v>89</v>
      </c>
      <c r="K2" s="50" t="s">
        <v>10</v>
      </c>
      <c r="L2" s="51">
        <v>0.15</v>
      </c>
      <c r="M2" s="52">
        <f>L2*$M$1/$L$1</f>
        <v>7.4999999999999997E-2</v>
      </c>
      <c r="O2" s="50" t="s">
        <v>10</v>
      </c>
      <c r="P2" s="51">
        <f>0.15*2</f>
        <v>0.3</v>
      </c>
      <c r="Q2" s="52">
        <f>P2*$M$1/$L$1</f>
        <v>0.15</v>
      </c>
    </row>
    <row r="3" spans="1:17" ht="51" x14ac:dyDescent="0.2">
      <c r="A3" s="15" t="s">
        <v>31</v>
      </c>
      <c r="B3" s="16" t="s">
        <v>32</v>
      </c>
      <c r="C3" s="17" t="s">
        <v>33</v>
      </c>
      <c r="D3" s="18">
        <f>L2+L3+L4+L5+L6+L7+L8</f>
        <v>2</v>
      </c>
      <c r="E3" s="18">
        <f>L2/2+L3/2+L4/2+L5/2+L6/2+L7/2+L8/2+L2/2+L3/2+L4/2+L5*0+L6*0+L7*0+L8*0</f>
        <v>1.355</v>
      </c>
      <c r="F3" s="18">
        <f>P2+P3*0.8+P4+P5*0.6</f>
        <v>1.6440000000000001</v>
      </c>
      <c r="G3" s="19">
        <f t="shared" ref="G3:G24" si="0">ROUND(D3+E3+F3,1)</f>
        <v>5</v>
      </c>
      <c r="H3" s="10">
        <f t="shared" ref="H3:H24" si="1">G3+1</f>
        <v>6</v>
      </c>
      <c r="I3" s="39" t="s">
        <v>85</v>
      </c>
      <c r="K3" s="12" t="s">
        <v>11</v>
      </c>
      <c r="L3" s="13">
        <v>0.28000000000000003</v>
      </c>
      <c r="M3" s="14">
        <f t="shared" ref="M3:M8" si="2">L3*$M$1/$L$1</f>
        <v>0.14000000000000001</v>
      </c>
      <c r="O3" s="12" t="s">
        <v>11</v>
      </c>
      <c r="P3" s="13">
        <f>0.28*2</f>
        <v>0.56000000000000005</v>
      </c>
      <c r="Q3" s="14">
        <f t="shared" ref="Q3:Q5" si="3">P3*$M$1/$L$1</f>
        <v>0.28000000000000003</v>
      </c>
    </row>
    <row r="4" spans="1:17" s="86" customFormat="1" ht="17" x14ac:dyDescent="0.2">
      <c r="A4" s="55" t="s">
        <v>22</v>
      </c>
      <c r="B4" s="56" t="s">
        <v>34</v>
      </c>
      <c r="C4" s="57" t="s">
        <v>23</v>
      </c>
      <c r="D4" s="53">
        <v>0</v>
      </c>
      <c r="E4" s="53">
        <v>0</v>
      </c>
      <c r="F4" s="53">
        <v>0</v>
      </c>
      <c r="G4" s="54">
        <f t="shared" si="0"/>
        <v>0</v>
      </c>
      <c r="H4" s="58">
        <f t="shared" si="1"/>
        <v>1</v>
      </c>
      <c r="I4" s="59" t="s">
        <v>89</v>
      </c>
      <c r="K4" s="83" t="s">
        <v>12</v>
      </c>
      <c r="L4" s="84">
        <v>0.28000000000000003</v>
      </c>
      <c r="M4" s="85">
        <f t="shared" si="2"/>
        <v>0.14000000000000001</v>
      </c>
      <c r="O4" s="83" t="s">
        <v>12</v>
      </c>
      <c r="P4" s="84">
        <f>0.28*2</f>
        <v>0.56000000000000005</v>
      </c>
      <c r="Q4" s="85">
        <f t="shared" si="3"/>
        <v>0.28000000000000003</v>
      </c>
    </row>
    <row r="5" spans="1:17" ht="86" thickBot="1" x14ac:dyDescent="0.25">
      <c r="A5" s="15" t="s">
        <v>35</v>
      </c>
      <c r="B5" s="16" t="s">
        <v>36</v>
      </c>
      <c r="C5" s="17" t="s">
        <v>37</v>
      </c>
      <c r="D5" s="18">
        <f>L2*0+L3+L4+L5+L6*0+L7*0+L8*0</f>
        <v>0.84000000000000008</v>
      </c>
      <c r="E5" s="18">
        <f>L2/2+L3/2+L4/2+L5/2+(L6/2)*0+(L7/2)*0+(L8/2)*0+(L2/2)*0+(L3/2)*0+(L4/2)*0+(L5/2)*0+(L6/2)*0+(L7/2)*0+(L8/2)*0</f>
        <v>0.49500000000000005</v>
      </c>
      <c r="F5" s="18">
        <f>P2+P3*0.8+P4+P5*0.6</f>
        <v>1.6440000000000001</v>
      </c>
      <c r="G5" s="19">
        <f t="shared" si="0"/>
        <v>3</v>
      </c>
      <c r="H5" s="10">
        <f t="shared" si="1"/>
        <v>4</v>
      </c>
      <c r="I5" s="39" t="s">
        <v>81</v>
      </c>
      <c r="J5" s="45" t="s">
        <v>83</v>
      </c>
      <c r="K5" s="12" t="s">
        <v>13</v>
      </c>
      <c r="L5" s="13">
        <v>0.28000000000000003</v>
      </c>
      <c r="M5" s="14">
        <f t="shared" si="2"/>
        <v>0.14000000000000001</v>
      </c>
      <c r="O5" s="26" t="s">
        <v>13</v>
      </c>
      <c r="P5" s="27">
        <f>0.28*2</f>
        <v>0.56000000000000005</v>
      </c>
      <c r="Q5" s="14">
        <f t="shared" si="3"/>
        <v>0.28000000000000003</v>
      </c>
    </row>
    <row r="6" spans="1:17" ht="17" x14ac:dyDescent="0.2">
      <c r="A6" s="55" t="s">
        <v>38</v>
      </c>
      <c r="B6" s="56" t="s">
        <v>39</v>
      </c>
      <c r="C6" s="57" t="s">
        <v>40</v>
      </c>
      <c r="D6" s="53">
        <v>0</v>
      </c>
      <c r="E6" s="53">
        <v>0</v>
      </c>
      <c r="F6" s="53">
        <v>0</v>
      </c>
      <c r="G6" s="54">
        <f t="shared" si="0"/>
        <v>0</v>
      </c>
      <c r="H6" s="58">
        <f t="shared" si="1"/>
        <v>1</v>
      </c>
      <c r="I6" s="59" t="s">
        <v>89</v>
      </c>
      <c r="K6" s="12" t="s">
        <v>14</v>
      </c>
      <c r="L6" s="13">
        <v>0.35</v>
      </c>
      <c r="M6" s="14">
        <f t="shared" si="2"/>
        <v>0.17499999999999999</v>
      </c>
      <c r="O6" s="32"/>
      <c r="P6" s="33"/>
      <c r="Q6" s="34"/>
    </row>
    <row r="7" spans="1:17" ht="119" x14ac:dyDescent="0.2">
      <c r="A7" s="15" t="s">
        <v>41</v>
      </c>
      <c r="B7" s="16" t="s">
        <v>42</v>
      </c>
      <c r="C7" s="17" t="s">
        <v>40</v>
      </c>
      <c r="D7" s="18">
        <f>L2+L3+L4+L5+L6+L7*0.5+L8*0</f>
        <v>1.5050000000000001</v>
      </c>
      <c r="E7" s="18">
        <f>L2/2+(L3/2)*0.5+L4/2+L5/2+L6/2+(L7/2)*0.5+L8*0+L2/2+(L3/2)*0.5+L4/2+L5/2+L6/2+(L7/2)*0.5+L8*0</f>
        <v>1.3650000000000002</v>
      </c>
      <c r="F7" s="18">
        <f>P2+P3+P4+P5*0.6</f>
        <v>1.7560000000000002</v>
      </c>
      <c r="G7" s="19">
        <f t="shared" si="0"/>
        <v>4.5999999999999996</v>
      </c>
      <c r="H7" s="10">
        <f t="shared" si="1"/>
        <v>5.6</v>
      </c>
      <c r="I7" s="39" t="s">
        <v>82</v>
      </c>
      <c r="K7" s="12" t="s">
        <v>15</v>
      </c>
      <c r="L7" s="13">
        <v>0.33</v>
      </c>
      <c r="M7" s="14">
        <f t="shared" si="2"/>
        <v>0.16500000000000001</v>
      </c>
      <c r="O7" s="32"/>
      <c r="P7" s="33"/>
      <c r="Q7" s="34"/>
    </row>
    <row r="8" spans="1:17" ht="18" thickBot="1" x14ac:dyDescent="0.25">
      <c r="A8" s="15" t="s">
        <v>43</v>
      </c>
      <c r="B8" s="16" t="s">
        <v>44</v>
      </c>
      <c r="C8" s="17" t="s">
        <v>45</v>
      </c>
      <c r="D8" s="18">
        <v>0</v>
      </c>
      <c r="E8" s="18">
        <v>0</v>
      </c>
      <c r="F8" s="18">
        <v>0</v>
      </c>
      <c r="G8" s="19">
        <f t="shared" si="0"/>
        <v>0</v>
      </c>
      <c r="H8" s="10">
        <f t="shared" si="1"/>
        <v>1</v>
      </c>
      <c r="I8" s="39" t="s">
        <v>89</v>
      </c>
      <c r="K8" s="26" t="s">
        <v>16</v>
      </c>
      <c r="L8" s="27">
        <v>0.33</v>
      </c>
      <c r="M8" s="14">
        <f t="shared" si="2"/>
        <v>0.16500000000000001</v>
      </c>
      <c r="O8" s="32"/>
      <c r="P8" s="33"/>
      <c r="Q8" s="34"/>
    </row>
    <row r="9" spans="1:17" ht="51" x14ac:dyDescent="0.2">
      <c r="A9" s="15" t="s">
        <v>46</v>
      </c>
      <c r="B9" s="16" t="s">
        <v>47</v>
      </c>
      <c r="C9" s="17" t="s">
        <v>18</v>
      </c>
      <c r="D9" s="18">
        <f>L2+L3+L4+L5+L6+L7+L8</f>
        <v>2</v>
      </c>
      <c r="E9" s="18">
        <f>L2/2+L3/2+L4/2+L5/2+L6/2+L7/2+L8/2+L2/2+L3/2+L4/2+L5*0+L6*0+L7*0+L8*0</f>
        <v>1.355</v>
      </c>
      <c r="F9" s="18">
        <f>P2+P3*0.8+P4+P5*0.6</f>
        <v>1.6440000000000001</v>
      </c>
      <c r="G9" s="19">
        <f t="shared" si="0"/>
        <v>5</v>
      </c>
      <c r="H9" s="10">
        <f t="shared" si="1"/>
        <v>6</v>
      </c>
      <c r="I9" s="39" t="s">
        <v>84</v>
      </c>
      <c r="L9" s="28"/>
      <c r="M9" s="29"/>
    </row>
    <row r="10" spans="1:17" ht="51" x14ac:dyDescent="0.2">
      <c r="A10" s="15" t="s">
        <v>17</v>
      </c>
      <c r="B10" s="16" t="s">
        <v>46</v>
      </c>
      <c r="C10" s="17" t="s">
        <v>48</v>
      </c>
      <c r="D10" s="18">
        <f>L2+L3+L4+L5+L6+L7+L8</f>
        <v>2</v>
      </c>
      <c r="E10" s="18">
        <f>L2/2+L3/2+L4/2+L5/2+L6/2+L7/2+L8/2+L2/2+L3/2+L4/2+L5*0+L6*0+L7*0+L8*0</f>
        <v>1.355</v>
      </c>
      <c r="F10" s="18">
        <f>P2+P3*0.8+P4+P5*0.6</f>
        <v>1.6440000000000001</v>
      </c>
      <c r="G10" s="19">
        <f t="shared" si="0"/>
        <v>5</v>
      </c>
      <c r="H10" s="10">
        <f t="shared" si="1"/>
        <v>6</v>
      </c>
      <c r="I10" s="39" t="s">
        <v>84</v>
      </c>
    </row>
    <row r="11" spans="1:17" ht="51" x14ac:dyDescent="0.2">
      <c r="A11" s="15" t="s">
        <v>49</v>
      </c>
      <c r="B11" s="16" t="s">
        <v>50</v>
      </c>
      <c r="C11" s="17" t="s">
        <v>51</v>
      </c>
      <c r="D11" s="18">
        <f>D10</f>
        <v>2</v>
      </c>
      <c r="E11" s="18">
        <f>E10</f>
        <v>1.355</v>
      </c>
      <c r="F11" s="18">
        <f>F10</f>
        <v>1.6440000000000001</v>
      </c>
      <c r="G11" s="19">
        <f t="shared" si="0"/>
        <v>5</v>
      </c>
      <c r="H11" s="10">
        <f t="shared" si="1"/>
        <v>6</v>
      </c>
      <c r="I11" s="39" t="str">
        <f>I10</f>
        <v>Segundo escenario incorrecto en ejercicio 2. Definicion de variables de decision incompleta y restricciones incorrectas e incompletas en ejercicio 3.</v>
      </c>
    </row>
    <row r="12" spans="1:17" ht="17" x14ac:dyDescent="0.2">
      <c r="A12" s="15" t="s">
        <v>29</v>
      </c>
      <c r="B12" s="16" t="s">
        <v>52</v>
      </c>
      <c r="C12" s="17" t="s">
        <v>53</v>
      </c>
      <c r="D12" s="18">
        <v>0</v>
      </c>
      <c r="E12" s="18">
        <v>0</v>
      </c>
      <c r="F12" s="18">
        <v>0</v>
      </c>
      <c r="G12" s="19">
        <f t="shared" si="0"/>
        <v>0</v>
      </c>
      <c r="H12" s="10">
        <f t="shared" si="1"/>
        <v>1</v>
      </c>
      <c r="I12" s="39" t="s">
        <v>89</v>
      </c>
    </row>
    <row r="13" spans="1:17" ht="51" x14ac:dyDescent="0.2">
      <c r="A13" s="15" t="s">
        <v>29</v>
      </c>
      <c r="B13" s="16" t="s">
        <v>54</v>
      </c>
      <c r="C13" s="17" t="s">
        <v>55</v>
      </c>
      <c r="D13" s="18">
        <f>L2+L3+L4+L5+L6+L7+L8*0</f>
        <v>1.6700000000000002</v>
      </c>
      <c r="E13" s="18">
        <f>L2/2+L3/2+L4/2+L5/2+L6/2+L7/2+(L8/2)*0+L2/2+L3/2+L4/2+L5/2+L6/2+L7/2+(L8/2)*0</f>
        <v>1.6700000000000002</v>
      </c>
      <c r="F13" s="18">
        <f>P2+P3+P4+P5*0.6</f>
        <v>1.7560000000000002</v>
      </c>
      <c r="G13" s="19">
        <f t="shared" si="0"/>
        <v>5.0999999999999996</v>
      </c>
      <c r="H13" s="10">
        <f t="shared" si="1"/>
        <v>6.1</v>
      </c>
      <c r="I13" s="39" t="s">
        <v>87</v>
      </c>
    </row>
    <row r="14" spans="1:17" ht="17" x14ac:dyDescent="0.2">
      <c r="A14" s="15" t="s">
        <v>56</v>
      </c>
      <c r="B14" s="16" t="s">
        <v>57</v>
      </c>
      <c r="C14" s="17" t="s">
        <v>58</v>
      </c>
      <c r="D14" s="18">
        <v>0</v>
      </c>
      <c r="E14" s="18">
        <v>0</v>
      </c>
      <c r="F14" s="18">
        <v>0</v>
      </c>
      <c r="G14" s="19">
        <f t="shared" si="0"/>
        <v>0</v>
      </c>
      <c r="H14" s="10">
        <f t="shared" si="1"/>
        <v>1</v>
      </c>
      <c r="I14" s="39" t="s">
        <v>89</v>
      </c>
    </row>
    <row r="15" spans="1:17" ht="102" x14ac:dyDescent="0.2">
      <c r="A15" s="15" t="s">
        <v>59</v>
      </c>
      <c r="B15" s="16" t="s">
        <v>60</v>
      </c>
      <c r="C15" s="17" t="s">
        <v>40</v>
      </c>
      <c r="D15" s="18">
        <f>L2+L3+L4+L5+L6*0.6+L7*0+L8*0</f>
        <v>1.2000000000000002</v>
      </c>
      <c r="E15" s="18">
        <f>L2/2+L3/2+L4/2+L5/2+(L6/2)*0+(L7/2)*0+(L8/2)*0+L2/2+L3/2+L4/2+L5/2+(L6/2)*0+(L7/2)*0+(L8/2)*0</f>
        <v>0.9900000000000001</v>
      </c>
      <c r="F15" s="18">
        <f>P2+P3*0.8+P4+P5*0.6</f>
        <v>1.6440000000000001</v>
      </c>
      <c r="G15" s="19">
        <f t="shared" si="0"/>
        <v>3.8</v>
      </c>
      <c r="H15" s="10">
        <f t="shared" si="1"/>
        <v>4.8</v>
      </c>
      <c r="I15" s="39" t="s">
        <v>86</v>
      </c>
    </row>
    <row r="16" spans="1:17" ht="102" x14ac:dyDescent="0.2">
      <c r="A16" s="15" t="s">
        <v>61</v>
      </c>
      <c r="B16" s="16" t="s">
        <v>62</v>
      </c>
      <c r="C16" s="17" t="s">
        <v>63</v>
      </c>
      <c r="D16" s="18">
        <f>D15</f>
        <v>1.2000000000000002</v>
      </c>
      <c r="E16" s="18">
        <f>E15</f>
        <v>0.9900000000000001</v>
      </c>
      <c r="F16" s="18">
        <f>F15</f>
        <v>1.6440000000000001</v>
      </c>
      <c r="G16" s="19">
        <f t="shared" si="0"/>
        <v>3.8</v>
      </c>
      <c r="H16" s="10">
        <f t="shared" si="1"/>
        <v>4.8</v>
      </c>
      <c r="I16" s="39" t="str">
        <f>I15</f>
        <v>No hay solución ni analisis de utilizacion de recursos en ejercicio 1. Region factible y, puntos factibles incorrectos, no hay solución ni analisis de utilizacion de recursos en ambos escenarios del ejercicio 2. Definicion de variables de decision incompleta y restricciones incorrectas e incompletas en ejercicio 3.</v>
      </c>
    </row>
    <row r="17" spans="1:9" ht="51" x14ac:dyDescent="0.2">
      <c r="A17" s="15" t="s">
        <v>64</v>
      </c>
      <c r="B17" s="16" t="s">
        <v>65</v>
      </c>
      <c r="C17" s="17" t="s">
        <v>66</v>
      </c>
      <c r="D17" s="18">
        <f>D3</f>
        <v>2</v>
      </c>
      <c r="E17" s="18">
        <f>E3</f>
        <v>1.355</v>
      </c>
      <c r="F17" s="18">
        <f>F3</f>
        <v>1.6440000000000001</v>
      </c>
      <c r="G17" s="19">
        <f t="shared" si="0"/>
        <v>5</v>
      </c>
      <c r="H17" s="10">
        <f t="shared" si="1"/>
        <v>6</v>
      </c>
      <c r="I17" s="39" t="str">
        <f>I3</f>
        <v>Segundo escenario incorrecto en ejercicio 2.  Definicion de variables de decision incompleta y restricciones incorrectas e incompletas en ejercicio 3.</v>
      </c>
    </row>
    <row r="18" spans="1:9" s="38" customFormat="1" ht="102" x14ac:dyDescent="0.2">
      <c r="A18" s="46" t="s">
        <v>67</v>
      </c>
      <c r="B18" s="47" t="s">
        <v>68</v>
      </c>
      <c r="C18" s="48" t="s">
        <v>69</v>
      </c>
      <c r="D18" s="18">
        <f>D15</f>
        <v>1.2000000000000002</v>
      </c>
      <c r="E18" s="18">
        <f>E15</f>
        <v>0.9900000000000001</v>
      </c>
      <c r="F18" s="18">
        <f>F15</f>
        <v>1.6440000000000001</v>
      </c>
      <c r="G18" s="19">
        <f t="shared" si="0"/>
        <v>3.8</v>
      </c>
      <c r="H18" s="42">
        <f t="shared" si="1"/>
        <v>4.8</v>
      </c>
      <c r="I18" s="39" t="str">
        <f>I15</f>
        <v>No hay solución ni analisis de utilizacion de recursos en ejercicio 1. Region factible y, puntos factibles incorrectos, no hay solución ni analisis de utilizacion de recursos en ambos escenarios del ejercicio 2. Definicion de variables de decision incompleta y restricciones incorrectas e incompletas en ejercicio 3.</v>
      </c>
    </row>
    <row r="19" spans="1:9" ht="51" x14ac:dyDescent="0.2">
      <c r="A19" s="15" t="s">
        <v>20</v>
      </c>
      <c r="B19" s="16" t="s">
        <v>21</v>
      </c>
      <c r="C19" s="17" t="s">
        <v>19</v>
      </c>
      <c r="D19" s="18">
        <f>L2+L3+L4+L5+L6+L7+L8*0</f>
        <v>1.6700000000000002</v>
      </c>
      <c r="E19" s="18">
        <f>L2/2+L3/2+L4/2+L5/2+L6/2+L7/2+(L8/2)*0+L2/2+L3/2+L4/2+L5/2+L6/2+L7/2+(L8/2)*0</f>
        <v>1.6700000000000002</v>
      </c>
      <c r="F19" s="18">
        <f>P2+P3+P4+P5*0.6</f>
        <v>1.7560000000000002</v>
      </c>
      <c r="G19" s="19">
        <f t="shared" si="0"/>
        <v>5.0999999999999996</v>
      </c>
      <c r="H19" s="10">
        <f t="shared" si="1"/>
        <v>6.1</v>
      </c>
      <c r="I19" s="39" t="s">
        <v>87</v>
      </c>
    </row>
    <row r="20" spans="1:9" ht="48" x14ac:dyDescent="0.2">
      <c r="A20" s="15" t="s">
        <v>60</v>
      </c>
      <c r="B20" s="16" t="s">
        <v>70</v>
      </c>
      <c r="C20" s="17" t="s">
        <v>71</v>
      </c>
      <c r="D20" s="18">
        <f>D13</f>
        <v>1.6700000000000002</v>
      </c>
      <c r="E20" s="18">
        <f>E13</f>
        <v>1.6700000000000002</v>
      </c>
      <c r="F20" s="18">
        <f>F13</f>
        <v>1.7560000000000002</v>
      </c>
      <c r="G20" s="19">
        <f t="shared" si="0"/>
        <v>5.0999999999999996</v>
      </c>
      <c r="H20" s="10">
        <f t="shared" si="1"/>
        <v>6.1</v>
      </c>
      <c r="I20" s="43" t="str">
        <f>I13</f>
        <v>Falto analisis de utilizacion de recursos en ejercicio 1. Falto analisis de utilizacion de recursos en ejercicio 2. Restricciones incorrectas en ejercicio 3.</v>
      </c>
    </row>
    <row r="21" spans="1:9" ht="48" x14ac:dyDescent="0.2">
      <c r="A21" s="40" t="s">
        <v>72</v>
      </c>
      <c r="B21" s="37" t="s">
        <v>73</v>
      </c>
      <c r="C21" s="41" t="s">
        <v>74</v>
      </c>
      <c r="D21" s="18">
        <f>D19</f>
        <v>1.6700000000000002</v>
      </c>
      <c r="E21" s="18">
        <f>E19</f>
        <v>1.6700000000000002</v>
      </c>
      <c r="F21" s="18">
        <f>F19</f>
        <v>1.7560000000000002</v>
      </c>
      <c r="G21" s="19">
        <f t="shared" si="0"/>
        <v>5.0999999999999996</v>
      </c>
      <c r="H21" s="10">
        <f t="shared" si="1"/>
        <v>6.1</v>
      </c>
      <c r="I21" s="43" t="str">
        <f>I19</f>
        <v>Falto analisis de utilizacion de recursos en ejercicio 1. Falto analisis de utilizacion de recursos en ejercicio 2. Restricciones incorrectas en ejercicio 3.</v>
      </c>
    </row>
    <row r="22" spans="1:9" ht="119" x14ac:dyDescent="0.2">
      <c r="A22" s="15" t="s">
        <v>75</v>
      </c>
      <c r="B22" s="16" t="s">
        <v>76</v>
      </c>
      <c r="C22" s="17" t="s">
        <v>80</v>
      </c>
      <c r="D22" s="18">
        <f>D7</f>
        <v>1.5050000000000001</v>
      </c>
      <c r="E22" s="18">
        <f>E7</f>
        <v>1.3650000000000002</v>
      </c>
      <c r="F22" s="18">
        <f>F7</f>
        <v>1.7560000000000002</v>
      </c>
      <c r="G22" s="19">
        <f t="shared" si="0"/>
        <v>4.5999999999999996</v>
      </c>
      <c r="H22" s="10">
        <f t="shared" si="1"/>
        <v>5.6</v>
      </c>
      <c r="I22" s="39" t="str">
        <f>I7</f>
        <v>Falto desarrollo para encontrar solución optima, valor optimo de la funcion objetivo y analisis de utilizacion de recursos en ejercicio 1. Definicion de variables de decision incompleta, falto desarrollo para encontrar solución optima, valor optimo de la funcion objetivo y analisis de utilizacion de recursos en los dos escenarios del ejercicio 2. Restricciones incorrectas en ejercicio 3.</v>
      </c>
    </row>
    <row r="23" spans="1:9" ht="96" x14ac:dyDescent="0.2">
      <c r="A23" s="15" t="s">
        <v>75</v>
      </c>
      <c r="B23" s="16" t="s">
        <v>76</v>
      </c>
      <c r="C23" s="17" t="s">
        <v>77</v>
      </c>
      <c r="D23" s="18">
        <f>D7</f>
        <v>1.5050000000000001</v>
      </c>
      <c r="E23" s="18">
        <f>E7</f>
        <v>1.3650000000000002</v>
      </c>
      <c r="F23" s="18">
        <f>F7</f>
        <v>1.7560000000000002</v>
      </c>
      <c r="G23" s="19">
        <f t="shared" si="0"/>
        <v>4.5999999999999996</v>
      </c>
      <c r="H23" s="10">
        <f t="shared" si="1"/>
        <v>5.6</v>
      </c>
      <c r="I23" s="43" t="str">
        <f>I7</f>
        <v>Falto desarrollo para encontrar solución optima, valor optimo de la funcion objetivo y analisis de utilizacion de recursos en ejercicio 1. Definicion de variables de decision incompleta, falto desarrollo para encontrar solución optima, valor optimo de la funcion objetivo y analisis de utilizacion de recursos en los dos escenarios del ejercicio 2. Restricciones incorrectas en ejercicio 3.</v>
      </c>
    </row>
    <row r="24" spans="1:9" ht="49" thickBot="1" x14ac:dyDescent="0.25">
      <c r="A24" s="20" t="s">
        <v>78</v>
      </c>
      <c r="B24" s="21" t="s">
        <v>36</v>
      </c>
      <c r="C24" s="22" t="s">
        <v>79</v>
      </c>
      <c r="D24" s="23">
        <f>L2+L3+L4+L5+L6+L7*0.2+L8*0</f>
        <v>1.4060000000000001</v>
      </c>
      <c r="E24" s="23">
        <f>L2/2+L3/2+L4/2+L5/2+L6/2+L7/2+(L8/2)*0+L2/2+L3/2+L4/2+L5/2+L6/2+L7/2+(L8/2)*0</f>
        <v>1.6700000000000002</v>
      </c>
      <c r="F24" s="23">
        <f>P2+P3+P4+P5*0.6</f>
        <v>1.7560000000000002</v>
      </c>
      <c r="G24" s="24">
        <f t="shared" si="0"/>
        <v>4.8</v>
      </c>
      <c r="H24" s="25">
        <f t="shared" si="1"/>
        <v>5.8</v>
      </c>
      <c r="I24" s="44" t="s">
        <v>88</v>
      </c>
    </row>
  </sheetData>
  <conditionalFormatting sqref="H2:H24">
    <cfRule type="cellIs" dxfId="23" priority="3" operator="lessThan">
      <formula>4</formula>
    </cfRule>
    <cfRule type="cellIs" dxfId="22" priority="4" operator="greaterThanOrEqual">
      <formula>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6753C-E74A-456B-ABE8-7FDD3D4D2FAD}">
  <dimension ref="A1:O24"/>
  <sheetViews>
    <sheetView zoomScale="85" zoomScaleNormal="85" workbookViewId="0">
      <selection activeCell="A4" sqref="A4:I4"/>
    </sheetView>
  </sheetViews>
  <sheetFormatPr baseColWidth="10" defaultColWidth="14.83203125" defaultRowHeight="15" x14ac:dyDescent="0.2"/>
  <cols>
    <col min="1" max="1" width="14.6640625" style="11" bestFit="1" customWidth="1"/>
    <col min="2" max="2" width="15.83203125" style="11" bestFit="1" customWidth="1"/>
    <col min="3" max="3" width="9" style="11" bestFit="1" customWidth="1"/>
    <col min="4" max="6" width="3.6640625" style="11" bestFit="1" customWidth="1"/>
    <col min="7" max="7" width="8.33203125" style="11" bestFit="1" customWidth="1"/>
    <col min="8" max="8" width="6.1640625" style="11" bestFit="1" customWidth="1"/>
    <col min="9" max="9" width="99.1640625" style="11" bestFit="1" customWidth="1"/>
    <col min="10" max="12" width="14.83203125" style="11"/>
    <col min="13" max="13" width="30.1640625" style="11" bestFit="1" customWidth="1"/>
    <col min="14" max="14" width="4.83203125" style="11" bestFit="1" customWidth="1"/>
    <col min="15" max="15" width="7.1640625" style="11" bestFit="1" customWidth="1"/>
    <col min="16" max="16384" width="14.83203125" style="11"/>
  </cols>
  <sheetData>
    <row r="1" spans="1:15" s="6" customFormat="1" ht="17" thickBot="1" x14ac:dyDescent="0.25">
      <c r="A1" s="1" t="s">
        <v>0</v>
      </c>
      <c r="B1" s="2" t="s">
        <v>1</v>
      </c>
      <c r="C1" s="3" t="s">
        <v>2</v>
      </c>
      <c r="D1" s="2" t="s">
        <v>3</v>
      </c>
      <c r="E1" s="2" t="s">
        <v>4</v>
      </c>
      <c r="F1" s="2" t="s">
        <v>5</v>
      </c>
      <c r="G1" s="4" t="s">
        <v>6</v>
      </c>
      <c r="H1" s="5" t="s">
        <v>7</v>
      </c>
      <c r="I1" s="3" t="s">
        <v>8</v>
      </c>
      <c r="J1" s="60"/>
      <c r="K1" s="60"/>
      <c r="M1" s="7" t="s">
        <v>24</v>
      </c>
      <c r="N1" s="31">
        <f>SUM(N2:N8)</f>
        <v>2</v>
      </c>
      <c r="O1" s="9">
        <v>1</v>
      </c>
    </row>
    <row r="2" spans="1:15" ht="18" thickTop="1" x14ac:dyDescent="0.2">
      <c r="A2" s="55" t="s">
        <v>28</v>
      </c>
      <c r="B2" s="56" t="s">
        <v>29</v>
      </c>
      <c r="C2" s="57" t="s">
        <v>30</v>
      </c>
      <c r="D2" s="53">
        <v>0</v>
      </c>
      <c r="E2" s="53">
        <v>0</v>
      </c>
      <c r="F2" s="53">
        <v>0</v>
      </c>
      <c r="G2" s="54">
        <f>ROUND(D2+E2+F2,1)</f>
        <v>0</v>
      </c>
      <c r="H2" s="58">
        <f>G2+1</f>
        <v>1</v>
      </c>
      <c r="I2" s="59" t="s">
        <v>89</v>
      </c>
      <c r="J2" s="35"/>
      <c r="K2" s="35"/>
      <c r="M2" s="12" t="s">
        <v>11</v>
      </c>
      <c r="N2" s="13">
        <v>0.1</v>
      </c>
      <c r="O2" s="14">
        <f t="shared" ref="O2:O8" si="0">N2*$O$1/$N$1</f>
        <v>0.05</v>
      </c>
    </row>
    <row r="3" spans="1:15" ht="51" x14ac:dyDescent="0.2">
      <c r="A3" s="15" t="s">
        <v>31</v>
      </c>
      <c r="B3" s="16" t="s">
        <v>32</v>
      </c>
      <c r="C3" s="17" t="s">
        <v>33</v>
      </c>
      <c r="D3" s="18">
        <f>N2*0+N3*0.3+N4*0.3+N5+N6*0+N7*0+N8</f>
        <v>0.91</v>
      </c>
      <c r="E3" s="18">
        <f>N2/2*0+(N3/2)*0.3+(N4/2)*0.3+N5/2+N6/2*0+N7/2*0+N8/2+N2/2*0+(N3/2)*0.3+(N4/2)*0.3+N5/2+N6/2*0+N7/2*0+N8/2</f>
        <v>0.91000000000000014</v>
      </c>
      <c r="F3" s="18">
        <f>N2*0+N3*0.3+N4*0.3+N5+N6*0+N7*0+N8</f>
        <v>0.91</v>
      </c>
      <c r="G3" s="19">
        <f t="shared" ref="G3:G24" si="1">ROUND(D3+E3+F3,1)</f>
        <v>2.7</v>
      </c>
      <c r="H3" s="10">
        <f t="shared" ref="H3:H24" si="2">G3+1</f>
        <v>3.7</v>
      </c>
      <c r="I3" s="39" t="s">
        <v>93</v>
      </c>
      <c r="J3" s="35"/>
      <c r="K3" s="35"/>
      <c r="M3" s="12" t="s">
        <v>12</v>
      </c>
      <c r="N3" s="13">
        <v>0.1</v>
      </c>
      <c r="O3" s="14">
        <f t="shared" si="0"/>
        <v>0.05</v>
      </c>
    </row>
    <row r="4" spans="1:15" s="86" customFormat="1" ht="16" x14ac:dyDescent="0.2">
      <c r="A4" s="55" t="s">
        <v>22</v>
      </c>
      <c r="B4" s="56" t="s">
        <v>34</v>
      </c>
      <c r="C4" s="57" t="s">
        <v>23</v>
      </c>
      <c r="D4" s="53">
        <v>0</v>
      </c>
      <c r="E4" s="53">
        <v>0</v>
      </c>
      <c r="F4" s="53">
        <v>0</v>
      </c>
      <c r="G4" s="54">
        <f t="shared" si="1"/>
        <v>0</v>
      </c>
      <c r="H4" s="58">
        <f t="shared" si="2"/>
        <v>1</v>
      </c>
      <c r="I4" s="59"/>
      <c r="J4" s="88"/>
      <c r="K4" s="88"/>
      <c r="M4" s="83" t="s">
        <v>13</v>
      </c>
      <c r="N4" s="84">
        <v>0.1</v>
      </c>
      <c r="O4" s="85">
        <f t="shared" si="0"/>
        <v>0.05</v>
      </c>
    </row>
    <row r="5" spans="1:15" ht="34" x14ac:dyDescent="0.2">
      <c r="A5" s="15" t="s">
        <v>35</v>
      </c>
      <c r="B5" s="16" t="s">
        <v>36</v>
      </c>
      <c r="C5" s="17" t="s">
        <v>37</v>
      </c>
      <c r="D5" s="18">
        <f>D24</f>
        <v>0.7350000000000001</v>
      </c>
      <c r="E5" s="18">
        <f t="shared" ref="E5:F5" si="3">E24</f>
        <v>0.36750000000000005</v>
      </c>
      <c r="F5" s="18">
        <f t="shared" si="3"/>
        <v>0.7350000000000001</v>
      </c>
      <c r="G5" s="19">
        <f t="shared" si="1"/>
        <v>1.8</v>
      </c>
      <c r="H5" s="10">
        <f t="shared" si="2"/>
        <v>2.8</v>
      </c>
      <c r="I5" s="39" t="str">
        <f>I24</f>
        <v>Falto definicion de las variables de decisión, resultados, interpretacion y analisis de utilizacion de recursos en los tres ejercicios. Falto escenario 2 en ejercicio 2.</v>
      </c>
      <c r="J5" s="35"/>
      <c r="K5" s="35"/>
      <c r="M5" s="12" t="s">
        <v>25</v>
      </c>
      <c r="N5" s="13">
        <v>0.5</v>
      </c>
      <c r="O5" s="14">
        <f t="shared" si="0"/>
        <v>0.25</v>
      </c>
    </row>
    <row r="6" spans="1:15" ht="17" x14ac:dyDescent="0.2">
      <c r="A6" s="55" t="s">
        <v>38</v>
      </c>
      <c r="B6" s="56" t="s">
        <v>39</v>
      </c>
      <c r="C6" s="57" t="s">
        <v>40</v>
      </c>
      <c r="D6" s="53">
        <v>0</v>
      </c>
      <c r="E6" s="53">
        <v>0</v>
      </c>
      <c r="F6" s="53">
        <v>0</v>
      </c>
      <c r="G6" s="54">
        <f t="shared" si="1"/>
        <v>0</v>
      </c>
      <c r="H6" s="58">
        <f t="shared" si="2"/>
        <v>1</v>
      </c>
      <c r="I6" s="59" t="s">
        <v>89</v>
      </c>
      <c r="J6" s="35"/>
      <c r="K6" s="35"/>
      <c r="M6" s="12" t="s">
        <v>26</v>
      </c>
      <c r="N6" s="13">
        <v>0.5</v>
      </c>
      <c r="O6" s="14">
        <f t="shared" si="0"/>
        <v>0.25</v>
      </c>
    </row>
    <row r="7" spans="1:15" ht="51" x14ac:dyDescent="0.2">
      <c r="A7" s="15" t="s">
        <v>41</v>
      </c>
      <c r="B7" s="16" t="s">
        <v>42</v>
      </c>
      <c r="C7" s="17" t="s">
        <v>40</v>
      </c>
      <c r="D7" s="18">
        <f>N2*0+N3*0.3+N4*0.3+N5+N6+N7+N8*0</f>
        <v>1.4100000000000001</v>
      </c>
      <c r="E7" s="18">
        <f>(N2/2)*0+(N3/2)*0.3+(N4/2)*0.3+N5/2+N6/2+N7/2+(N8/2)*0+(N2/2)*0+(N3/2)*0+(N4/2)*0+(N5/2)*0+(N6/2)*0+(N7/2)*0+(N8/2)*0</f>
        <v>0.70500000000000007</v>
      </c>
      <c r="F7" s="18">
        <f>N2*0+N3*0.3+N4*0.3+N5+N6*0.5+N7+N8*0</f>
        <v>1.1600000000000001</v>
      </c>
      <c r="G7" s="19">
        <f t="shared" si="1"/>
        <v>3.3</v>
      </c>
      <c r="H7" s="10">
        <f t="shared" si="2"/>
        <v>4.3</v>
      </c>
      <c r="I7" s="39" t="s">
        <v>90</v>
      </c>
      <c r="J7" s="35"/>
      <c r="K7" s="35"/>
      <c r="M7" s="12" t="s">
        <v>27</v>
      </c>
      <c r="N7" s="61">
        <v>0.35</v>
      </c>
      <c r="O7" s="14">
        <f t="shared" si="0"/>
        <v>0.17499999999999999</v>
      </c>
    </row>
    <row r="8" spans="1:15" ht="69" thickBot="1" x14ac:dyDescent="0.25">
      <c r="A8" s="15" t="s">
        <v>43</v>
      </c>
      <c r="B8" s="16" t="s">
        <v>44</v>
      </c>
      <c r="C8" s="17" t="s">
        <v>45</v>
      </c>
      <c r="D8" s="18">
        <f>N2+N3*0.3+N4*0.3+N5+N6+N7+N8*0</f>
        <v>1.5100000000000002</v>
      </c>
      <c r="E8" s="18">
        <f>(N2/2)+(N3/2)*0.3+(N4/2)*0.3+N5/2+(N6/2)*0+(N7/2)*0+(N8/2)*0+(N2/2)+(N3/2)*0.3+(N4/2)*0.3+N5/2+(N6/2)*0+(N7/2)*0+(N8/2)*0</f>
        <v>0.66</v>
      </c>
      <c r="F8" s="18">
        <f>N2+N3*0.3+N4*0.3+N5+N6*0+N7*0+N8*0</f>
        <v>0.66</v>
      </c>
      <c r="G8" s="19">
        <f t="shared" si="1"/>
        <v>2.8</v>
      </c>
      <c r="H8" s="10">
        <f t="shared" si="2"/>
        <v>3.8</v>
      </c>
      <c r="I8" s="39" t="s">
        <v>91</v>
      </c>
      <c r="J8" s="35"/>
      <c r="K8" s="35"/>
      <c r="M8" s="26" t="s">
        <v>16</v>
      </c>
      <c r="N8" s="27">
        <v>0.35</v>
      </c>
      <c r="O8" s="14">
        <f t="shared" si="0"/>
        <v>0.17499999999999999</v>
      </c>
    </row>
    <row r="9" spans="1:15" ht="68" x14ac:dyDescent="0.2">
      <c r="A9" s="15" t="s">
        <v>46</v>
      </c>
      <c r="B9" s="16" t="s">
        <v>47</v>
      </c>
      <c r="C9" s="17" t="s">
        <v>18</v>
      </c>
      <c r="D9" s="18">
        <f>D8</f>
        <v>1.5100000000000002</v>
      </c>
      <c r="E9" s="18">
        <f>E8</f>
        <v>0.66</v>
      </c>
      <c r="F9" s="18">
        <f>F8</f>
        <v>0.66</v>
      </c>
      <c r="G9" s="19">
        <f t="shared" si="1"/>
        <v>2.8</v>
      </c>
      <c r="H9" s="10">
        <f t="shared" si="2"/>
        <v>3.8</v>
      </c>
      <c r="I9" s="39" t="str">
        <f>I8</f>
        <v>Falto planteamiento matematico y analisis de utilizacion de recursos en ejercicio 1. Falto planteamiento matematico, resultados, interpretacion y analisis de utilizacion de recursos en ambos escenarios del ejercicio 2. Falto planteamiento matematico, resultados, interpretacion y analisis de utilizacion de recursos y valor de la función objetivo en ejercicio 3.</v>
      </c>
      <c r="J9" s="35"/>
      <c r="K9" s="35"/>
      <c r="N9" s="28"/>
      <c r="O9" s="29"/>
    </row>
    <row r="10" spans="1:15" ht="68" x14ac:dyDescent="0.2">
      <c r="A10" s="15" t="s">
        <v>17</v>
      </c>
      <c r="B10" s="16" t="s">
        <v>46</v>
      </c>
      <c r="C10" s="17" t="s">
        <v>48</v>
      </c>
      <c r="D10" s="18">
        <f>N2+N3*0.3+N4*0.3+N5+N6*0.5+N7*0.5+N8*0</f>
        <v>1.085</v>
      </c>
      <c r="E10" s="18">
        <f>N2/2+(N3/2)*0.3+(N4/2)*0.3+N5/2+(N6/2)*0.5+N7/2*0+N8/2*0+N2/2+(N3/2)*0.3+(N4/2)*0.3+N5/2+(N6/2)*0.5+N7/2*0+N8/2*0</f>
        <v>0.91</v>
      </c>
      <c r="F10" s="18">
        <f>N2+N3*0.3+N4*0.3+N5+N6*0+N7*0+N8*0</f>
        <v>0.66</v>
      </c>
      <c r="G10" s="19">
        <f t="shared" si="1"/>
        <v>2.7</v>
      </c>
      <c r="H10" s="10">
        <f t="shared" si="2"/>
        <v>3.7</v>
      </c>
      <c r="I10" s="39" t="s">
        <v>92</v>
      </c>
      <c r="J10" s="35"/>
      <c r="K10" s="35"/>
    </row>
    <row r="11" spans="1:15" ht="68" x14ac:dyDescent="0.2">
      <c r="A11" s="15" t="s">
        <v>49</v>
      </c>
      <c r="B11" s="16" t="s">
        <v>50</v>
      </c>
      <c r="C11" s="17" t="s">
        <v>51</v>
      </c>
      <c r="D11" s="18">
        <f>D10</f>
        <v>1.085</v>
      </c>
      <c r="E11" s="18">
        <f>E10</f>
        <v>0.91</v>
      </c>
      <c r="F11" s="18">
        <f>F10</f>
        <v>0.66</v>
      </c>
      <c r="G11" s="19">
        <f t="shared" si="1"/>
        <v>2.7</v>
      </c>
      <c r="H11" s="10">
        <f t="shared" si="2"/>
        <v>3.7</v>
      </c>
      <c r="I11" s="39" t="str">
        <f>I10</f>
        <v>Falto planteamiento matematico, resultados y analisis de utilizacion de recursos en ejercicio 1. Falto planteamiento matematico, resultados y analisis de utilizacion de recursos en ambos escenarios del ejercicio 2. Falto planteamiento matematico, resultados, interpretacion y analisis de utilizacion de recursos y valor de la función objetivo en ejercicio 3.</v>
      </c>
      <c r="J11" s="35"/>
      <c r="K11" s="35"/>
    </row>
    <row r="12" spans="1:15" ht="16" x14ac:dyDescent="0.2">
      <c r="A12" s="15" t="s">
        <v>29</v>
      </c>
      <c r="B12" s="16" t="s">
        <v>52</v>
      </c>
      <c r="C12" s="17" t="s">
        <v>53</v>
      </c>
      <c r="D12" s="18">
        <v>0</v>
      </c>
      <c r="E12" s="18">
        <v>0</v>
      </c>
      <c r="F12" s="18">
        <v>0</v>
      </c>
      <c r="G12" s="19">
        <f t="shared" si="1"/>
        <v>0</v>
      </c>
      <c r="H12" s="10">
        <f t="shared" si="2"/>
        <v>1</v>
      </c>
      <c r="I12" s="39"/>
      <c r="J12" s="35"/>
      <c r="K12" s="35"/>
    </row>
    <row r="13" spans="1:15" ht="51" x14ac:dyDescent="0.2">
      <c r="A13" s="15" t="s">
        <v>29</v>
      </c>
      <c r="B13" s="16" t="s">
        <v>54</v>
      </c>
      <c r="C13" s="17" t="s">
        <v>55</v>
      </c>
      <c r="D13" s="18">
        <f>N2*0+N3*0.3+N4*0.3+N5+N6+N7+N8*0</f>
        <v>1.4100000000000001</v>
      </c>
      <c r="E13" s="18">
        <f>N2/2*0+(N3/2)*0.3+(N4/2)*0.3+N5/2+N6/2+N7/2+N8/2*0+N2/2*0+N3/2*0+N4/2*0+N5/2*0+N6/2*0+N7/2*0+N8/2*0</f>
        <v>0.70500000000000007</v>
      </c>
      <c r="F13" s="18">
        <f>N2*0+N3*0.3+N4*0.3+N5+N6*0.5+N7+N8*0</f>
        <v>1.1600000000000001</v>
      </c>
      <c r="G13" s="19">
        <f t="shared" si="1"/>
        <v>3.3</v>
      </c>
      <c r="H13" s="10">
        <f t="shared" si="2"/>
        <v>4.3</v>
      </c>
      <c r="I13" s="39" t="s">
        <v>90</v>
      </c>
      <c r="J13" s="35"/>
      <c r="K13" s="35"/>
    </row>
    <row r="14" spans="1:15" ht="34" x14ac:dyDescent="0.2">
      <c r="A14" s="15" t="s">
        <v>56</v>
      </c>
      <c r="B14" s="16" t="s">
        <v>57</v>
      </c>
      <c r="C14" s="17" t="s">
        <v>58</v>
      </c>
      <c r="D14" s="18">
        <f>N2+N3*0+N4+N5+N6*0.5+N7*0.5+N8*0</f>
        <v>1.125</v>
      </c>
      <c r="E14" s="18">
        <f>N2/2+N3/2+N4/2+N5/2+N6/2+(N7/2)*0.8+(N8/2)*0.5+N2/2+N3/2+N4/2+(N5/2)*0.5+(N7/2)*0.5+N8*0</f>
        <v>1.24</v>
      </c>
      <c r="F14" s="18">
        <f>N2+N3*0+N4*0+N5*0.2+N6*0+N7*0+N8*0</f>
        <v>0.2</v>
      </c>
      <c r="G14" s="19">
        <f t="shared" si="1"/>
        <v>2.6</v>
      </c>
      <c r="H14" s="10">
        <f t="shared" si="2"/>
        <v>3.6</v>
      </c>
      <c r="I14" s="39" t="s">
        <v>98</v>
      </c>
      <c r="J14" s="35"/>
      <c r="K14" s="35"/>
    </row>
    <row r="15" spans="1:15" ht="51" x14ac:dyDescent="0.2">
      <c r="A15" s="15" t="s">
        <v>59</v>
      </c>
      <c r="B15" s="16" t="s">
        <v>60</v>
      </c>
      <c r="C15" s="17" t="s">
        <v>40</v>
      </c>
      <c r="D15" s="18">
        <f>N2*0+N3*0.3+N4*0.3+N5+N6*0+N7*0+N8*0.5</f>
        <v>0.7350000000000001</v>
      </c>
      <c r="E15" s="18">
        <f>N2/2*0+(N3/2)*0.3+(N4/2)*0.3+N5/2+N6/2*0+N7/2*0+(N8/2)*0.5+N2/2*0+(N3/2)*0+(N4/2)*0+N5/2*0+N6/2*0+N7/2*0+N8/2*0</f>
        <v>0.36750000000000005</v>
      </c>
      <c r="F15" s="18">
        <f>N2*0+N3*0.3+N4*0.3+N5+N6*0+N7*0+N8*0</f>
        <v>0.56000000000000005</v>
      </c>
      <c r="G15" s="19">
        <f t="shared" si="1"/>
        <v>1.7</v>
      </c>
      <c r="H15" s="10">
        <f t="shared" si="2"/>
        <v>2.7</v>
      </c>
      <c r="I15" s="39" t="s">
        <v>94</v>
      </c>
      <c r="J15" s="35"/>
      <c r="K15" s="35"/>
    </row>
    <row r="16" spans="1:15" ht="51" x14ac:dyDescent="0.2">
      <c r="A16" s="15" t="s">
        <v>61</v>
      </c>
      <c r="B16" s="16" t="s">
        <v>62</v>
      </c>
      <c r="C16" s="17" t="s">
        <v>63</v>
      </c>
      <c r="D16" s="18">
        <f>D15</f>
        <v>0.7350000000000001</v>
      </c>
      <c r="E16" s="18">
        <f>E15</f>
        <v>0.36750000000000005</v>
      </c>
      <c r="F16" s="18">
        <f>F15</f>
        <v>0.56000000000000005</v>
      </c>
      <c r="G16" s="19">
        <f t="shared" si="1"/>
        <v>1.7</v>
      </c>
      <c r="H16" s="10">
        <f t="shared" si="2"/>
        <v>2.7</v>
      </c>
      <c r="I16" s="39" t="str">
        <f>I15</f>
        <v>Falto planteamiento matematico, resultados y analisis de utilizacion de recursos en ejercicio 1. Falto planteamiento matematico, resultados y analisis de utilizacion de recursos, falto resolver segundo escenario en ejercicio 2. Error al plantear problema 3.</v>
      </c>
      <c r="J16" s="35"/>
      <c r="K16" s="35"/>
    </row>
    <row r="17" spans="1:11" ht="51" x14ac:dyDescent="0.2">
      <c r="A17" s="15" t="s">
        <v>64</v>
      </c>
      <c r="B17" s="16" t="s">
        <v>65</v>
      </c>
      <c r="C17" s="17" t="s">
        <v>66</v>
      </c>
      <c r="D17" s="18">
        <f>D3</f>
        <v>0.91</v>
      </c>
      <c r="E17" s="18">
        <f>E3</f>
        <v>0.91000000000000014</v>
      </c>
      <c r="F17" s="18">
        <f>F3</f>
        <v>0.91</v>
      </c>
      <c r="G17" s="19">
        <f t="shared" si="1"/>
        <v>2.7</v>
      </c>
      <c r="H17" s="10">
        <f t="shared" si="2"/>
        <v>3.7</v>
      </c>
      <c r="I17" s="39" t="str">
        <f>I3</f>
        <v>Falto planteamiento matematico, resultados e interpretacion en ejercicio 1. Falto planteamiento matematico, resultados e interpretacion para ambos escenarios en ejercicio 2. Falto planteamiento matematico, resultados e interpretacion en ejercicio 3.</v>
      </c>
      <c r="J17" s="35"/>
      <c r="K17" s="35"/>
    </row>
    <row r="18" spans="1:11" s="30" customFormat="1" ht="51" x14ac:dyDescent="0.2">
      <c r="A18" s="46" t="s">
        <v>67</v>
      </c>
      <c r="B18" s="47" t="s">
        <v>68</v>
      </c>
      <c r="C18" s="48" t="s">
        <v>69</v>
      </c>
      <c r="D18" s="18">
        <f>D15</f>
        <v>0.7350000000000001</v>
      </c>
      <c r="E18" s="18">
        <f>E15</f>
        <v>0.36750000000000005</v>
      </c>
      <c r="F18" s="18">
        <f>F15</f>
        <v>0.56000000000000005</v>
      </c>
      <c r="G18" s="19">
        <f t="shared" si="1"/>
        <v>1.7</v>
      </c>
      <c r="H18" s="42">
        <f t="shared" si="2"/>
        <v>2.7</v>
      </c>
      <c r="I18" s="39" t="str">
        <f>I15</f>
        <v>Falto planteamiento matematico, resultados y analisis de utilizacion de recursos en ejercicio 1. Falto planteamiento matematico, resultados y analisis de utilizacion de recursos, falto resolver segundo escenario en ejercicio 2. Error al plantear problema 3.</v>
      </c>
      <c r="J18" s="36"/>
      <c r="K18" s="36"/>
    </row>
    <row r="19" spans="1:11" ht="17" x14ac:dyDescent="0.2">
      <c r="A19" s="15" t="s">
        <v>20</v>
      </c>
      <c r="B19" s="16" t="s">
        <v>21</v>
      </c>
      <c r="C19" s="17" t="s">
        <v>19</v>
      </c>
      <c r="D19" s="18">
        <f>N2+N3+N4+N5+N6+N7+N8*0</f>
        <v>1.65</v>
      </c>
      <c r="E19" s="18">
        <f>N2/2+N3/2+N4/2+N5/2+N6/2+N7/2+N8*0+N2/2+N3/2+N4/2+N5/2+N6/2+N7/2+N8*0</f>
        <v>1.6500000000000001</v>
      </c>
      <c r="F19" s="18">
        <f>N2+N3+N4+N5+N6+N7+N8*0</f>
        <v>1.65</v>
      </c>
      <c r="G19" s="19">
        <f t="shared" si="1"/>
        <v>5</v>
      </c>
      <c r="H19" s="10">
        <f t="shared" si="2"/>
        <v>6</v>
      </c>
      <c r="I19" s="39" t="s">
        <v>95</v>
      </c>
      <c r="J19" s="35"/>
      <c r="K19" s="35"/>
    </row>
    <row r="20" spans="1:11" ht="48" x14ac:dyDescent="0.2">
      <c r="A20" s="15" t="s">
        <v>60</v>
      </c>
      <c r="B20" s="16" t="s">
        <v>70</v>
      </c>
      <c r="C20" s="17" t="s">
        <v>71</v>
      </c>
      <c r="D20" s="18">
        <f>D13</f>
        <v>1.4100000000000001</v>
      </c>
      <c r="E20" s="18">
        <f>E13</f>
        <v>0.70500000000000007</v>
      </c>
      <c r="F20" s="18">
        <f>F13</f>
        <v>1.1600000000000001</v>
      </c>
      <c r="G20" s="19">
        <f t="shared" si="1"/>
        <v>3.3</v>
      </c>
      <c r="H20" s="10">
        <f t="shared" si="2"/>
        <v>4.3</v>
      </c>
      <c r="I20" s="43" t="str">
        <f>I13</f>
        <v>Falto planteamiento matematico y analisis de utilizacion de recursos en ejercicio 1. Falto planteamiento matematico, analisis de utilizacion de recursos y resolver escenario 2 en ejercicio 2. Falto planteamiento matematico, analisis de utilizacion de recursos y valor de la función objetivo en ejercicio 3.</v>
      </c>
      <c r="J20" s="35"/>
      <c r="K20" s="35"/>
    </row>
    <row r="21" spans="1:11" ht="32" x14ac:dyDescent="0.2">
      <c r="A21" s="40" t="s">
        <v>72</v>
      </c>
      <c r="B21" s="37" t="s">
        <v>73</v>
      </c>
      <c r="C21" s="41" t="s">
        <v>74</v>
      </c>
      <c r="D21" s="18">
        <f>N2*0+N3+N4+N5+N6*0+N7*0+N8*0</f>
        <v>0.7</v>
      </c>
      <c r="E21" s="18">
        <f>N2/2*0+N3/2+N4/2+N5/2+N6/2*0+N7/2*0+N8/2*0+N2/2*0+N3/2+N4/2+N5/2+N6/2*0+N7/2*0+N8/2*0</f>
        <v>0.7</v>
      </c>
      <c r="F21" s="18">
        <f>N2*0+N3+N4+N5+N6*0+N7*0+N8*0</f>
        <v>0.7</v>
      </c>
      <c r="G21" s="19">
        <f t="shared" si="1"/>
        <v>2.1</v>
      </c>
      <c r="H21" s="10">
        <f t="shared" si="2"/>
        <v>3.1</v>
      </c>
      <c r="I21" s="43" t="s">
        <v>96</v>
      </c>
      <c r="J21" s="35"/>
      <c r="K21" s="35"/>
    </row>
    <row r="22" spans="1:11" ht="51" x14ac:dyDescent="0.2">
      <c r="A22" s="15" t="s">
        <v>75</v>
      </c>
      <c r="B22" s="16" t="s">
        <v>76</v>
      </c>
      <c r="C22" s="17" t="s">
        <v>80</v>
      </c>
      <c r="D22" s="18">
        <f>D7</f>
        <v>1.4100000000000001</v>
      </c>
      <c r="E22" s="18">
        <f>E7</f>
        <v>0.70500000000000007</v>
      </c>
      <c r="F22" s="18">
        <f>F7</f>
        <v>1.1600000000000001</v>
      </c>
      <c r="G22" s="19">
        <f t="shared" si="1"/>
        <v>3.3</v>
      </c>
      <c r="H22" s="10">
        <f t="shared" si="2"/>
        <v>4.3</v>
      </c>
      <c r="I22" s="39" t="str">
        <f>I7</f>
        <v>Falto planteamiento matematico y analisis de utilizacion de recursos en ejercicio 1. Falto planteamiento matematico, analisis de utilizacion de recursos y resolver escenario 2 en ejercicio 2. Falto planteamiento matematico, analisis de utilizacion de recursos y valor de la función objetivo en ejercicio 3.</v>
      </c>
    </row>
    <row r="23" spans="1:11" ht="48" x14ac:dyDescent="0.2">
      <c r="A23" s="15" t="s">
        <v>75</v>
      </c>
      <c r="B23" s="16" t="s">
        <v>76</v>
      </c>
      <c r="C23" s="17" t="s">
        <v>77</v>
      </c>
      <c r="D23" s="18">
        <f>D7</f>
        <v>1.4100000000000001</v>
      </c>
      <c r="E23" s="18">
        <f>E7</f>
        <v>0.70500000000000007</v>
      </c>
      <c r="F23" s="18">
        <f>F7</f>
        <v>1.1600000000000001</v>
      </c>
      <c r="G23" s="19">
        <f t="shared" si="1"/>
        <v>3.3</v>
      </c>
      <c r="H23" s="10">
        <f t="shared" si="2"/>
        <v>4.3</v>
      </c>
      <c r="I23" s="43" t="str">
        <f>I7</f>
        <v>Falto planteamiento matematico y analisis de utilizacion de recursos en ejercicio 1. Falto planteamiento matematico, analisis de utilizacion de recursos y resolver escenario 2 en ejercicio 2. Falto planteamiento matematico, analisis de utilizacion de recursos y valor de la función objetivo en ejercicio 3.</v>
      </c>
    </row>
    <row r="24" spans="1:11" ht="33" thickBot="1" x14ac:dyDescent="0.25">
      <c r="A24" s="20" t="s">
        <v>78</v>
      </c>
      <c r="B24" s="21" t="s">
        <v>36</v>
      </c>
      <c r="C24" s="22" t="s">
        <v>79</v>
      </c>
      <c r="D24" s="23">
        <f>N2*0+N3*0.3+N4*0.3+N5+N6*0+N7*0+N8*0.5</f>
        <v>0.7350000000000001</v>
      </c>
      <c r="E24" s="23">
        <f>N2/2*0+(N3/2)*0.3+(N4/2)*0.3+N5/2+N6/2*0+N7/2*0+N8/2*0.5+N2/2*0+N3/2*0+N4/2*0+N5/2*0+N6/2*0+N7/2*0+N8/2*0</f>
        <v>0.36750000000000005</v>
      </c>
      <c r="F24" s="23">
        <f>N2*0+N3*0.3+N4*0.3+N5+N6*0+N7*0+N8*0.5</f>
        <v>0.7350000000000001</v>
      </c>
      <c r="G24" s="24">
        <f t="shared" si="1"/>
        <v>1.8</v>
      </c>
      <c r="H24" s="25">
        <f t="shared" si="2"/>
        <v>2.8</v>
      </c>
      <c r="I24" s="44" t="s">
        <v>97</v>
      </c>
    </row>
  </sheetData>
  <conditionalFormatting sqref="J2:K16 J18:K21">
    <cfRule type="cellIs" dxfId="21" priority="5" operator="lessThan">
      <formula>4</formula>
    </cfRule>
    <cfRule type="cellIs" dxfId="20" priority="6" operator="greaterThanOrEqual">
      <formula>4</formula>
    </cfRule>
  </conditionalFormatting>
  <conditionalFormatting sqref="J17:K17">
    <cfRule type="cellIs" dxfId="19" priority="3" operator="lessThan">
      <formula>4</formula>
    </cfRule>
    <cfRule type="cellIs" dxfId="18" priority="4" operator="greaterThanOrEqual">
      <formula>4</formula>
    </cfRule>
  </conditionalFormatting>
  <conditionalFormatting sqref="H2:H24">
    <cfRule type="cellIs" dxfId="17" priority="1" operator="lessThan">
      <formula>4</formula>
    </cfRule>
    <cfRule type="cellIs" dxfId="16" priority="2" operator="greaterThanOrEqual">
      <formula>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E830F-9631-8542-B6DB-85277619F31F}">
  <dimension ref="A1:G24"/>
  <sheetViews>
    <sheetView workbookViewId="0">
      <selection activeCell="D13" sqref="D13"/>
    </sheetView>
  </sheetViews>
  <sheetFormatPr baseColWidth="10" defaultRowHeight="15" x14ac:dyDescent="0.2"/>
  <cols>
    <col min="1" max="1" width="14.6640625" bestFit="1" customWidth="1"/>
    <col min="2" max="2" width="15.83203125" bestFit="1" customWidth="1"/>
    <col min="3" max="3" width="9" bestFit="1" customWidth="1"/>
    <col min="4" max="4" width="3.6640625" bestFit="1" customWidth="1"/>
    <col min="5" max="5" width="8.1640625" bestFit="1" customWidth="1"/>
    <col min="6" max="6" width="6" bestFit="1" customWidth="1"/>
    <col min="7" max="7" width="15.33203125" bestFit="1" customWidth="1"/>
  </cols>
  <sheetData>
    <row r="1" spans="1:7" ht="17" thickBot="1" x14ac:dyDescent="0.25">
      <c r="A1" s="1" t="s">
        <v>0</v>
      </c>
      <c r="B1" s="2" t="s">
        <v>1</v>
      </c>
      <c r="C1" s="3" t="s">
        <v>2</v>
      </c>
      <c r="D1" s="2" t="s">
        <v>3</v>
      </c>
      <c r="E1" s="4" t="s">
        <v>6</v>
      </c>
      <c r="F1" s="5" t="s">
        <v>7</v>
      </c>
      <c r="G1" s="3" t="s">
        <v>8</v>
      </c>
    </row>
    <row r="2" spans="1:7" ht="18" thickTop="1" x14ac:dyDescent="0.2">
      <c r="A2" s="55" t="s">
        <v>28</v>
      </c>
      <c r="B2" s="56" t="s">
        <v>29</v>
      </c>
      <c r="C2" s="57" t="s">
        <v>30</v>
      </c>
      <c r="D2" s="53">
        <v>0</v>
      </c>
      <c r="E2" s="54">
        <f>ROUND(D2,1)</f>
        <v>0</v>
      </c>
      <c r="F2" s="58">
        <f>E2+1</f>
        <v>1</v>
      </c>
      <c r="G2" s="59" t="s">
        <v>89</v>
      </c>
    </row>
    <row r="3" spans="1:7" ht="16" x14ac:dyDescent="0.2">
      <c r="A3" s="15" t="s">
        <v>31</v>
      </c>
      <c r="B3" s="16" t="s">
        <v>32</v>
      </c>
      <c r="C3" s="17" t="s">
        <v>33</v>
      </c>
      <c r="D3" s="18">
        <v>6</v>
      </c>
      <c r="E3" s="19">
        <f t="shared" ref="E3:E24" si="0">ROUND(D3,1)</f>
        <v>6</v>
      </c>
      <c r="F3" s="10">
        <f t="shared" ref="F3:F24" si="1">E3+1</f>
        <v>7</v>
      </c>
      <c r="G3" s="39"/>
    </row>
    <row r="4" spans="1:7" ht="16" x14ac:dyDescent="0.2">
      <c r="A4" s="55" t="s">
        <v>22</v>
      </c>
      <c r="B4" s="56" t="s">
        <v>34</v>
      </c>
      <c r="C4" s="57" t="s">
        <v>23</v>
      </c>
      <c r="D4" s="53">
        <v>0</v>
      </c>
      <c r="E4" s="54">
        <f t="shared" si="0"/>
        <v>0</v>
      </c>
      <c r="F4" s="58">
        <f t="shared" si="1"/>
        <v>1</v>
      </c>
      <c r="G4" s="59"/>
    </row>
    <row r="5" spans="1:7" ht="16" x14ac:dyDescent="0.2">
      <c r="A5" s="15" t="s">
        <v>35</v>
      </c>
      <c r="B5" s="16" t="s">
        <v>36</v>
      </c>
      <c r="C5" s="17" t="s">
        <v>37</v>
      </c>
      <c r="D5" s="18">
        <v>0</v>
      </c>
      <c r="E5" s="19">
        <f t="shared" si="0"/>
        <v>0</v>
      </c>
      <c r="F5" s="10">
        <f t="shared" si="1"/>
        <v>1</v>
      </c>
      <c r="G5" s="39"/>
    </row>
    <row r="6" spans="1:7" ht="17" x14ac:dyDescent="0.2">
      <c r="A6" s="55" t="s">
        <v>38</v>
      </c>
      <c r="B6" s="56" t="s">
        <v>39</v>
      </c>
      <c r="C6" s="57" t="s">
        <v>40</v>
      </c>
      <c r="D6" s="53">
        <v>0</v>
      </c>
      <c r="E6" s="54">
        <f t="shared" si="0"/>
        <v>0</v>
      </c>
      <c r="F6" s="58">
        <f t="shared" si="1"/>
        <v>1</v>
      </c>
      <c r="G6" s="59" t="s">
        <v>89</v>
      </c>
    </row>
    <row r="7" spans="1:7" ht="16" x14ac:dyDescent="0.2">
      <c r="A7" s="15" t="s">
        <v>41</v>
      </c>
      <c r="B7" s="16" t="s">
        <v>42</v>
      </c>
      <c r="C7" s="17" t="s">
        <v>40</v>
      </c>
      <c r="D7" s="18">
        <v>6</v>
      </c>
      <c r="E7" s="19">
        <f t="shared" si="0"/>
        <v>6</v>
      </c>
      <c r="F7" s="10">
        <f t="shared" si="1"/>
        <v>7</v>
      </c>
      <c r="G7" s="39"/>
    </row>
    <row r="8" spans="1:7" ht="16" x14ac:dyDescent="0.2">
      <c r="A8" s="15" t="s">
        <v>43</v>
      </c>
      <c r="B8" s="16" t="s">
        <v>44</v>
      </c>
      <c r="C8" s="17" t="s">
        <v>45</v>
      </c>
      <c r="D8" s="18">
        <v>6</v>
      </c>
      <c r="E8" s="19">
        <f t="shared" si="0"/>
        <v>6</v>
      </c>
      <c r="F8" s="10">
        <f t="shared" si="1"/>
        <v>7</v>
      </c>
      <c r="G8" s="39"/>
    </row>
    <row r="9" spans="1:7" ht="16" x14ac:dyDescent="0.2">
      <c r="A9" s="15" t="s">
        <v>46</v>
      </c>
      <c r="B9" s="16" t="s">
        <v>47</v>
      </c>
      <c r="C9" s="17" t="s">
        <v>18</v>
      </c>
      <c r="D9" s="18">
        <f>D8</f>
        <v>6</v>
      </c>
      <c r="E9" s="19">
        <f t="shared" si="0"/>
        <v>6</v>
      </c>
      <c r="F9" s="10">
        <f t="shared" si="1"/>
        <v>7</v>
      </c>
      <c r="G9" s="39"/>
    </row>
    <row r="10" spans="1:7" ht="16" x14ac:dyDescent="0.2">
      <c r="A10" s="15" t="s">
        <v>17</v>
      </c>
      <c r="B10" s="16" t="s">
        <v>46</v>
      </c>
      <c r="C10" s="17" t="s">
        <v>48</v>
      </c>
      <c r="D10" s="18">
        <v>6</v>
      </c>
      <c r="E10" s="19">
        <f t="shared" si="0"/>
        <v>6</v>
      </c>
      <c r="F10" s="10">
        <f t="shared" si="1"/>
        <v>7</v>
      </c>
      <c r="G10" s="39"/>
    </row>
    <row r="11" spans="1:7" ht="16" x14ac:dyDescent="0.2">
      <c r="A11" s="15" t="s">
        <v>49</v>
      </c>
      <c r="B11" s="16" t="s">
        <v>50</v>
      </c>
      <c r="C11" s="17" t="s">
        <v>51</v>
      </c>
      <c r="D11" s="18">
        <f>D10</f>
        <v>6</v>
      </c>
      <c r="E11" s="19">
        <f t="shared" si="0"/>
        <v>6</v>
      </c>
      <c r="F11" s="10">
        <f t="shared" si="1"/>
        <v>7</v>
      </c>
      <c r="G11" s="39"/>
    </row>
    <row r="12" spans="1:7" ht="16" x14ac:dyDescent="0.2">
      <c r="A12" s="15" t="s">
        <v>29</v>
      </c>
      <c r="B12" s="16" t="s">
        <v>52</v>
      </c>
      <c r="C12" s="17" t="s">
        <v>53</v>
      </c>
      <c r="D12" s="18">
        <v>0</v>
      </c>
      <c r="E12" s="19">
        <f t="shared" si="0"/>
        <v>0</v>
      </c>
      <c r="F12" s="10">
        <f t="shared" si="1"/>
        <v>1</v>
      </c>
      <c r="G12" s="39"/>
    </row>
    <row r="13" spans="1:7" ht="17" x14ac:dyDescent="0.2">
      <c r="A13" s="15" t="s">
        <v>29</v>
      </c>
      <c r="B13" s="16" t="s">
        <v>54</v>
      </c>
      <c r="C13" s="17" t="s">
        <v>55</v>
      </c>
      <c r="D13" s="18">
        <v>5</v>
      </c>
      <c r="E13" s="19">
        <f t="shared" si="0"/>
        <v>5</v>
      </c>
      <c r="F13" s="10">
        <f t="shared" si="1"/>
        <v>6</v>
      </c>
      <c r="G13" s="39" t="s">
        <v>134</v>
      </c>
    </row>
    <row r="14" spans="1:7" ht="136" x14ac:dyDescent="0.2">
      <c r="A14" s="15" t="s">
        <v>56</v>
      </c>
      <c r="B14" s="16" t="s">
        <v>57</v>
      </c>
      <c r="C14" s="17" t="s">
        <v>58</v>
      </c>
      <c r="D14" s="18">
        <v>3</v>
      </c>
      <c r="E14" s="19">
        <f t="shared" si="0"/>
        <v>3</v>
      </c>
      <c r="F14" s="10">
        <f t="shared" si="1"/>
        <v>4</v>
      </c>
      <c r="G14" s="39" t="s">
        <v>135</v>
      </c>
    </row>
    <row r="15" spans="1:7" ht="16" x14ac:dyDescent="0.2">
      <c r="A15" s="15" t="s">
        <v>59</v>
      </c>
      <c r="B15" s="16" t="s">
        <v>60</v>
      </c>
      <c r="C15" s="17" t="s">
        <v>40</v>
      </c>
      <c r="D15" s="18">
        <v>0</v>
      </c>
      <c r="E15" s="19">
        <f t="shared" si="0"/>
        <v>0</v>
      </c>
      <c r="F15" s="10">
        <f t="shared" si="1"/>
        <v>1</v>
      </c>
      <c r="G15" s="39"/>
    </row>
    <row r="16" spans="1:7" ht="136" x14ac:dyDescent="0.2">
      <c r="A16" s="15" t="s">
        <v>61</v>
      </c>
      <c r="B16" s="16" t="s">
        <v>62</v>
      </c>
      <c r="C16" s="17" t="s">
        <v>63</v>
      </c>
      <c r="D16" s="18">
        <v>3</v>
      </c>
      <c r="E16" s="19">
        <f t="shared" si="0"/>
        <v>3</v>
      </c>
      <c r="F16" s="10">
        <f t="shared" si="1"/>
        <v>4</v>
      </c>
      <c r="G16" s="39" t="s">
        <v>135</v>
      </c>
    </row>
    <row r="17" spans="1:7" ht="16" x14ac:dyDescent="0.2">
      <c r="A17" s="15" t="s">
        <v>64</v>
      </c>
      <c r="B17" s="16" t="s">
        <v>65</v>
      </c>
      <c r="C17" s="17" t="s">
        <v>66</v>
      </c>
      <c r="D17" s="18">
        <f>D3</f>
        <v>6</v>
      </c>
      <c r="E17" s="19">
        <f t="shared" si="0"/>
        <v>6</v>
      </c>
      <c r="F17" s="10">
        <f t="shared" si="1"/>
        <v>7</v>
      </c>
      <c r="G17" s="39"/>
    </row>
    <row r="18" spans="1:7" ht="16" x14ac:dyDescent="0.2">
      <c r="A18" s="46" t="s">
        <v>67</v>
      </c>
      <c r="B18" s="47" t="s">
        <v>68</v>
      </c>
      <c r="C18" s="48" t="s">
        <v>69</v>
      </c>
      <c r="D18" s="18">
        <f>D16</f>
        <v>3</v>
      </c>
      <c r="E18" s="19">
        <f t="shared" si="0"/>
        <v>3</v>
      </c>
      <c r="F18" s="42">
        <f t="shared" si="1"/>
        <v>4</v>
      </c>
      <c r="G18" s="39"/>
    </row>
    <row r="19" spans="1:7" ht="16" x14ac:dyDescent="0.2">
      <c r="A19" s="15" t="s">
        <v>20</v>
      </c>
      <c r="B19" s="16" t="s">
        <v>21</v>
      </c>
      <c r="C19" s="17" t="s">
        <v>19</v>
      </c>
      <c r="D19" s="18">
        <v>6</v>
      </c>
      <c r="E19" s="19">
        <f t="shared" si="0"/>
        <v>6</v>
      </c>
      <c r="F19" s="10">
        <f t="shared" si="1"/>
        <v>7</v>
      </c>
      <c r="G19" s="39"/>
    </row>
    <row r="20" spans="1:7" ht="16" x14ac:dyDescent="0.2">
      <c r="A20" s="15" t="s">
        <v>60</v>
      </c>
      <c r="B20" s="16" t="s">
        <v>70</v>
      </c>
      <c r="C20" s="17" t="s">
        <v>71</v>
      </c>
      <c r="D20" s="18">
        <v>6</v>
      </c>
      <c r="E20" s="19">
        <f t="shared" si="0"/>
        <v>6</v>
      </c>
      <c r="F20" s="10">
        <f t="shared" si="1"/>
        <v>7</v>
      </c>
      <c r="G20" s="43"/>
    </row>
    <row r="21" spans="1:7" ht="16" x14ac:dyDescent="0.2">
      <c r="A21" s="40" t="s">
        <v>72</v>
      </c>
      <c r="B21" s="37" t="s">
        <v>73</v>
      </c>
      <c r="C21" s="41" t="s">
        <v>74</v>
      </c>
      <c r="D21" s="18">
        <f>D19</f>
        <v>6</v>
      </c>
      <c r="E21" s="19">
        <f t="shared" si="0"/>
        <v>6</v>
      </c>
      <c r="F21" s="10">
        <f t="shared" si="1"/>
        <v>7</v>
      </c>
      <c r="G21" s="43"/>
    </row>
    <row r="22" spans="1:7" ht="16" x14ac:dyDescent="0.2">
      <c r="A22" s="15" t="s">
        <v>75</v>
      </c>
      <c r="B22" s="16" t="s">
        <v>76</v>
      </c>
      <c r="C22" s="17" t="s">
        <v>80</v>
      </c>
      <c r="D22" s="18">
        <f>D7</f>
        <v>6</v>
      </c>
      <c r="E22" s="19">
        <f t="shared" si="0"/>
        <v>6</v>
      </c>
      <c r="F22" s="10">
        <f t="shared" si="1"/>
        <v>7</v>
      </c>
      <c r="G22" s="39"/>
    </row>
    <row r="23" spans="1:7" ht="16" x14ac:dyDescent="0.2">
      <c r="A23" s="15" t="s">
        <v>75</v>
      </c>
      <c r="B23" s="16" t="s">
        <v>76</v>
      </c>
      <c r="C23" s="17" t="s">
        <v>77</v>
      </c>
      <c r="D23" s="18">
        <f>D7</f>
        <v>6</v>
      </c>
      <c r="E23" s="19">
        <f t="shared" si="0"/>
        <v>6</v>
      </c>
      <c r="F23" s="10">
        <f t="shared" si="1"/>
        <v>7</v>
      </c>
      <c r="G23" s="43"/>
    </row>
    <row r="24" spans="1:7" ht="17" thickBot="1" x14ac:dyDescent="0.25">
      <c r="A24" s="20" t="s">
        <v>78</v>
      </c>
      <c r="B24" s="21" t="s">
        <v>36</v>
      </c>
      <c r="C24" s="22" t="s">
        <v>79</v>
      </c>
      <c r="D24" s="23">
        <v>0</v>
      </c>
      <c r="E24" s="24">
        <f t="shared" si="0"/>
        <v>0</v>
      </c>
      <c r="F24" s="25">
        <f t="shared" si="1"/>
        <v>1</v>
      </c>
      <c r="G24" s="44"/>
    </row>
  </sheetData>
  <conditionalFormatting sqref="F2:F24">
    <cfRule type="cellIs" dxfId="15" priority="1" operator="lessThan">
      <formula>4</formula>
    </cfRule>
    <cfRule type="cellIs" dxfId="14" priority="2" operator="greaterThanOrEqual">
      <formul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428A1-3969-5140-9B1B-55EF16DD0671}">
  <dimension ref="A1:G24"/>
  <sheetViews>
    <sheetView workbookViewId="0">
      <selection activeCell="F32" sqref="F32"/>
    </sheetView>
  </sheetViews>
  <sheetFormatPr baseColWidth="10" defaultRowHeight="15" x14ac:dyDescent="0.2"/>
  <cols>
    <col min="1" max="1" width="14.6640625" bestFit="1" customWidth="1"/>
    <col min="2" max="2" width="15.83203125" bestFit="1" customWidth="1"/>
    <col min="3" max="3" width="9" bestFit="1" customWidth="1"/>
    <col min="4" max="4" width="3.6640625" bestFit="1" customWidth="1"/>
    <col min="5" max="5" width="8.1640625" bestFit="1" customWidth="1"/>
    <col min="6" max="6" width="6" bestFit="1" customWidth="1"/>
    <col min="7" max="7" width="15.33203125" bestFit="1" customWidth="1"/>
  </cols>
  <sheetData>
    <row r="1" spans="1:7" ht="17" thickBot="1" x14ac:dyDescent="0.25">
      <c r="A1" s="1" t="s">
        <v>0</v>
      </c>
      <c r="B1" s="2" t="s">
        <v>1</v>
      </c>
      <c r="C1" s="3" t="s">
        <v>2</v>
      </c>
      <c r="D1" s="2" t="s">
        <v>3</v>
      </c>
      <c r="E1" s="4" t="s">
        <v>6</v>
      </c>
      <c r="F1" s="5" t="s">
        <v>7</v>
      </c>
      <c r="G1" s="5" t="s">
        <v>8</v>
      </c>
    </row>
    <row r="2" spans="1:7" ht="18" thickTop="1" x14ac:dyDescent="0.2">
      <c r="A2" s="55" t="s">
        <v>28</v>
      </c>
      <c r="B2" s="56" t="s">
        <v>29</v>
      </c>
      <c r="C2" s="57" t="s">
        <v>30</v>
      </c>
      <c r="D2" s="53">
        <v>0</v>
      </c>
      <c r="E2" s="54">
        <f>ROUND(D2,1)</f>
        <v>0</v>
      </c>
      <c r="F2" s="58">
        <f>E2+1</f>
        <v>1</v>
      </c>
      <c r="G2" s="89" t="s">
        <v>89</v>
      </c>
    </row>
    <row r="3" spans="1:7" ht="16" x14ac:dyDescent="0.2">
      <c r="A3" s="15" t="s">
        <v>31</v>
      </c>
      <c r="B3" s="16" t="s">
        <v>32</v>
      </c>
      <c r="C3" s="17" t="s">
        <v>33</v>
      </c>
      <c r="D3" s="18">
        <v>6</v>
      </c>
      <c r="E3" s="19">
        <f t="shared" ref="E3:E24" si="0">ROUND(D3,1)</f>
        <v>6</v>
      </c>
      <c r="F3" s="10">
        <f t="shared" ref="F3:F24" si="1">E3+1</f>
        <v>7</v>
      </c>
      <c r="G3" s="90"/>
    </row>
    <row r="4" spans="1:7" ht="16" x14ac:dyDescent="0.2">
      <c r="A4" s="55" t="s">
        <v>22</v>
      </c>
      <c r="B4" s="56" t="s">
        <v>34</v>
      </c>
      <c r="C4" s="57" t="s">
        <v>23</v>
      </c>
      <c r="D4" s="53">
        <v>0</v>
      </c>
      <c r="E4" s="54">
        <f t="shared" si="0"/>
        <v>0</v>
      </c>
      <c r="F4" s="58">
        <f t="shared" si="1"/>
        <v>1</v>
      </c>
      <c r="G4" s="89"/>
    </row>
    <row r="5" spans="1:7" ht="16" x14ac:dyDescent="0.2">
      <c r="A5" s="15" t="s">
        <v>35</v>
      </c>
      <c r="B5" s="16" t="s">
        <v>36</v>
      </c>
      <c r="C5" s="17" t="s">
        <v>37</v>
      </c>
      <c r="D5" s="18">
        <v>6</v>
      </c>
      <c r="E5" s="19">
        <f t="shared" si="0"/>
        <v>6</v>
      </c>
      <c r="F5" s="10">
        <f t="shared" si="1"/>
        <v>7</v>
      </c>
      <c r="G5" s="90"/>
    </row>
    <row r="6" spans="1:7" ht="17" x14ac:dyDescent="0.2">
      <c r="A6" s="55" t="s">
        <v>38</v>
      </c>
      <c r="B6" s="56" t="s">
        <v>39</v>
      </c>
      <c r="C6" s="57" t="s">
        <v>40</v>
      </c>
      <c r="D6" s="53">
        <v>0</v>
      </c>
      <c r="E6" s="54">
        <f t="shared" si="0"/>
        <v>0</v>
      </c>
      <c r="F6" s="58">
        <f t="shared" si="1"/>
        <v>1</v>
      </c>
      <c r="G6" s="89" t="s">
        <v>89</v>
      </c>
    </row>
    <row r="7" spans="1:7" ht="17" x14ac:dyDescent="0.2">
      <c r="A7" s="15" t="s">
        <v>41</v>
      </c>
      <c r="B7" s="16" t="s">
        <v>42</v>
      </c>
      <c r="C7" s="17" t="s">
        <v>40</v>
      </c>
      <c r="D7" s="18">
        <v>5</v>
      </c>
      <c r="E7" s="19">
        <f t="shared" si="0"/>
        <v>5</v>
      </c>
      <c r="F7" s="10">
        <f t="shared" si="1"/>
        <v>6</v>
      </c>
      <c r="G7" s="90" t="s">
        <v>134</v>
      </c>
    </row>
    <row r="8" spans="1:7" ht="16" x14ac:dyDescent="0.2">
      <c r="A8" s="15" t="s">
        <v>43</v>
      </c>
      <c r="B8" s="16" t="s">
        <v>44</v>
      </c>
      <c r="C8" s="17" t="s">
        <v>45</v>
      </c>
      <c r="D8" s="18">
        <v>6</v>
      </c>
      <c r="E8" s="19">
        <f t="shared" si="0"/>
        <v>6</v>
      </c>
      <c r="F8" s="10">
        <f t="shared" si="1"/>
        <v>7</v>
      </c>
      <c r="G8" s="90"/>
    </row>
    <row r="9" spans="1:7" ht="16" x14ac:dyDescent="0.2">
      <c r="A9" s="15" t="s">
        <v>46</v>
      </c>
      <c r="B9" s="16" t="s">
        <v>47</v>
      </c>
      <c r="C9" s="17" t="s">
        <v>18</v>
      </c>
      <c r="D9" s="18">
        <f>D8</f>
        <v>6</v>
      </c>
      <c r="E9" s="19">
        <f t="shared" si="0"/>
        <v>6</v>
      </c>
      <c r="F9" s="10">
        <f t="shared" si="1"/>
        <v>7</v>
      </c>
      <c r="G9" s="90"/>
    </row>
    <row r="10" spans="1:7" ht="16" x14ac:dyDescent="0.2">
      <c r="A10" s="15" t="s">
        <v>17</v>
      </c>
      <c r="B10" s="16" t="s">
        <v>46</v>
      </c>
      <c r="C10" s="17" t="s">
        <v>48</v>
      </c>
      <c r="D10" s="18">
        <v>6</v>
      </c>
      <c r="E10" s="19">
        <f t="shared" si="0"/>
        <v>6</v>
      </c>
      <c r="F10" s="10">
        <f t="shared" si="1"/>
        <v>7</v>
      </c>
      <c r="G10" s="90"/>
    </row>
    <row r="11" spans="1:7" ht="16" x14ac:dyDescent="0.2">
      <c r="A11" s="15" t="s">
        <v>49</v>
      </c>
      <c r="B11" s="16" t="s">
        <v>50</v>
      </c>
      <c r="C11" s="17" t="s">
        <v>51</v>
      </c>
      <c r="D11" s="18">
        <f>D10</f>
        <v>6</v>
      </c>
      <c r="E11" s="19">
        <f t="shared" si="0"/>
        <v>6</v>
      </c>
      <c r="F11" s="10">
        <f t="shared" si="1"/>
        <v>7</v>
      </c>
      <c r="G11" s="90"/>
    </row>
    <row r="12" spans="1:7" ht="16" x14ac:dyDescent="0.2">
      <c r="A12" s="15" t="s">
        <v>29</v>
      </c>
      <c r="B12" s="16" t="s">
        <v>52</v>
      </c>
      <c r="C12" s="17" t="s">
        <v>53</v>
      </c>
      <c r="D12" s="18">
        <v>0</v>
      </c>
      <c r="E12" s="19">
        <f t="shared" si="0"/>
        <v>0</v>
      </c>
      <c r="F12" s="10">
        <f t="shared" si="1"/>
        <v>1</v>
      </c>
      <c r="G12" s="90"/>
    </row>
    <row r="13" spans="1:7" ht="16" x14ac:dyDescent="0.2">
      <c r="A13" s="15" t="s">
        <v>29</v>
      </c>
      <c r="B13" s="16" t="s">
        <v>54</v>
      </c>
      <c r="C13" s="17" t="s">
        <v>55</v>
      </c>
      <c r="D13" s="18">
        <v>0</v>
      </c>
      <c r="E13" s="19">
        <f t="shared" si="0"/>
        <v>0</v>
      </c>
      <c r="F13" s="10">
        <f t="shared" si="1"/>
        <v>1</v>
      </c>
      <c r="G13" s="90"/>
    </row>
    <row r="14" spans="1:7" ht="17" x14ac:dyDescent="0.2">
      <c r="A14" s="15" t="s">
        <v>56</v>
      </c>
      <c r="B14" s="16" t="s">
        <v>57</v>
      </c>
      <c r="C14" s="17" t="s">
        <v>58</v>
      </c>
      <c r="D14" s="18">
        <v>5</v>
      </c>
      <c r="E14" s="19">
        <f t="shared" si="0"/>
        <v>5</v>
      </c>
      <c r="F14" s="10">
        <f t="shared" si="1"/>
        <v>6</v>
      </c>
      <c r="G14" s="90" t="s">
        <v>134</v>
      </c>
    </row>
    <row r="15" spans="1:7" ht="16" x14ac:dyDescent="0.2">
      <c r="A15" s="15" t="s">
        <v>59</v>
      </c>
      <c r="B15" s="16" t="s">
        <v>60</v>
      </c>
      <c r="C15" s="17" t="s">
        <v>40</v>
      </c>
      <c r="D15" s="18">
        <v>0</v>
      </c>
      <c r="E15" s="19">
        <f t="shared" si="0"/>
        <v>0</v>
      </c>
      <c r="F15" s="10">
        <f t="shared" si="1"/>
        <v>1</v>
      </c>
      <c r="G15" s="90"/>
    </row>
    <row r="16" spans="1:7" ht="16" x14ac:dyDescent="0.2">
      <c r="A16" s="15" t="s">
        <v>61</v>
      </c>
      <c r="B16" s="16" t="s">
        <v>62</v>
      </c>
      <c r="C16" s="17" t="s">
        <v>63</v>
      </c>
      <c r="D16" s="18">
        <v>6</v>
      </c>
      <c r="E16" s="19">
        <f t="shared" si="0"/>
        <v>6</v>
      </c>
      <c r="F16" s="10">
        <f t="shared" si="1"/>
        <v>7</v>
      </c>
      <c r="G16" s="90"/>
    </row>
    <row r="17" spans="1:7" ht="16" x14ac:dyDescent="0.2">
      <c r="A17" s="15" t="s">
        <v>64</v>
      </c>
      <c r="B17" s="16" t="s">
        <v>65</v>
      </c>
      <c r="C17" s="17" t="s">
        <v>66</v>
      </c>
      <c r="D17" s="18">
        <f>D3</f>
        <v>6</v>
      </c>
      <c r="E17" s="19">
        <f t="shared" si="0"/>
        <v>6</v>
      </c>
      <c r="F17" s="10">
        <f t="shared" si="1"/>
        <v>7</v>
      </c>
      <c r="G17" s="90"/>
    </row>
    <row r="18" spans="1:7" ht="16" x14ac:dyDescent="0.2">
      <c r="A18" s="46" t="s">
        <v>67</v>
      </c>
      <c r="B18" s="47" t="s">
        <v>68</v>
      </c>
      <c r="C18" s="48" t="s">
        <v>69</v>
      </c>
      <c r="D18" s="18">
        <f>D16</f>
        <v>6</v>
      </c>
      <c r="E18" s="19">
        <f t="shared" si="0"/>
        <v>6</v>
      </c>
      <c r="F18" s="42">
        <f t="shared" si="1"/>
        <v>7</v>
      </c>
      <c r="G18" s="90"/>
    </row>
    <row r="19" spans="1:7" ht="16" x14ac:dyDescent="0.2">
      <c r="A19" s="15" t="s">
        <v>20</v>
      </c>
      <c r="B19" s="16" t="s">
        <v>21</v>
      </c>
      <c r="C19" s="17" t="s">
        <v>19</v>
      </c>
      <c r="D19" s="18">
        <v>6</v>
      </c>
      <c r="E19" s="19">
        <f t="shared" si="0"/>
        <v>6</v>
      </c>
      <c r="F19" s="10">
        <f t="shared" si="1"/>
        <v>7</v>
      </c>
      <c r="G19" s="90"/>
    </row>
    <row r="20" spans="1:7" ht="17" x14ac:dyDescent="0.2">
      <c r="A20" s="15" t="s">
        <v>60</v>
      </c>
      <c r="B20" s="16" t="s">
        <v>70</v>
      </c>
      <c r="C20" s="17" t="s">
        <v>71</v>
      </c>
      <c r="D20" s="18">
        <v>5</v>
      </c>
      <c r="E20" s="19">
        <f t="shared" si="0"/>
        <v>5</v>
      </c>
      <c r="F20" s="10">
        <f t="shared" si="1"/>
        <v>6</v>
      </c>
      <c r="G20" s="90" t="s">
        <v>134</v>
      </c>
    </row>
    <row r="21" spans="1:7" ht="16" x14ac:dyDescent="0.2">
      <c r="A21" s="40" t="s">
        <v>72</v>
      </c>
      <c r="B21" s="37" t="s">
        <v>73</v>
      </c>
      <c r="C21" s="41" t="s">
        <v>74</v>
      </c>
      <c r="D21" s="18">
        <f>D19</f>
        <v>6</v>
      </c>
      <c r="E21" s="19">
        <f t="shared" si="0"/>
        <v>6</v>
      </c>
      <c r="F21" s="10">
        <f t="shared" si="1"/>
        <v>7</v>
      </c>
      <c r="G21" s="91"/>
    </row>
    <row r="22" spans="1:7" ht="16" x14ac:dyDescent="0.2">
      <c r="A22" s="15" t="s">
        <v>75</v>
      </c>
      <c r="B22" s="16" t="s">
        <v>76</v>
      </c>
      <c r="C22" s="17" t="s">
        <v>80</v>
      </c>
      <c r="D22" s="18">
        <f>D7</f>
        <v>5</v>
      </c>
      <c r="E22" s="19">
        <f t="shared" si="0"/>
        <v>5</v>
      </c>
      <c r="F22" s="10">
        <f t="shared" si="1"/>
        <v>6</v>
      </c>
      <c r="G22" s="90"/>
    </row>
    <row r="23" spans="1:7" ht="16" x14ac:dyDescent="0.2">
      <c r="A23" s="15" t="s">
        <v>75</v>
      </c>
      <c r="B23" s="16" t="s">
        <v>76</v>
      </c>
      <c r="C23" s="17" t="s">
        <v>77</v>
      </c>
      <c r="D23" s="18">
        <f>D7</f>
        <v>5</v>
      </c>
      <c r="E23" s="19">
        <f t="shared" si="0"/>
        <v>5</v>
      </c>
      <c r="F23" s="10">
        <f t="shared" si="1"/>
        <v>6</v>
      </c>
      <c r="G23" s="91"/>
    </row>
    <row r="24" spans="1:7" ht="17" thickBot="1" x14ac:dyDescent="0.25">
      <c r="A24" s="20" t="s">
        <v>78</v>
      </c>
      <c r="B24" s="21" t="s">
        <v>36</v>
      </c>
      <c r="C24" s="22" t="s">
        <v>79</v>
      </c>
      <c r="D24" s="23">
        <f>D5</f>
        <v>6</v>
      </c>
      <c r="E24" s="24">
        <f t="shared" si="0"/>
        <v>6</v>
      </c>
      <c r="F24" s="25">
        <f t="shared" si="1"/>
        <v>7</v>
      </c>
      <c r="G24" s="92"/>
    </row>
  </sheetData>
  <conditionalFormatting sqref="F2:F24">
    <cfRule type="cellIs" dxfId="13" priority="1" operator="lessThan">
      <formula>4</formula>
    </cfRule>
    <cfRule type="cellIs" dxfId="12" priority="2" operator="greaterThanOrEqual">
      <formul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69C5-2F04-D548-9BFB-AF3FF4401ADB}">
  <dimension ref="A1:U24"/>
  <sheetViews>
    <sheetView topLeftCell="O1" workbookViewId="0">
      <selection activeCell="T3" sqref="T3"/>
    </sheetView>
  </sheetViews>
  <sheetFormatPr baseColWidth="10" defaultColWidth="14.83203125" defaultRowHeight="15" x14ac:dyDescent="0.2"/>
  <cols>
    <col min="1" max="1" width="14.6640625" style="11" bestFit="1" customWidth="1"/>
    <col min="2" max="2" width="15.83203125" style="11" bestFit="1" customWidth="1"/>
    <col min="3" max="3" width="9" style="11" bestFit="1" customWidth="1"/>
    <col min="4" max="6" width="3.6640625" style="11" bestFit="1" customWidth="1"/>
    <col min="7" max="7" width="8.33203125" style="11" bestFit="1" customWidth="1"/>
    <col min="8" max="8" width="6.1640625" style="11" bestFit="1" customWidth="1"/>
    <col min="9" max="9" width="64.83203125" style="11" customWidth="1"/>
    <col min="10" max="10" width="19.6640625" customWidth="1"/>
    <col min="11" max="13" width="14.83203125" style="11"/>
    <col min="14" max="14" width="5.5" style="11" customWidth="1"/>
    <col min="15" max="15" width="4.83203125" style="11" bestFit="1" customWidth="1"/>
    <col min="16" max="16" width="7.1640625" style="11" bestFit="1" customWidth="1"/>
    <col min="17" max="20" width="14.83203125" style="11"/>
    <col min="21" max="21" width="26.83203125" style="11" customWidth="1"/>
    <col min="22" max="16384" width="14.83203125" style="11"/>
  </cols>
  <sheetData>
    <row r="1" spans="1:21" s="6" customFormat="1" ht="17" thickBot="1" x14ac:dyDescent="0.25">
      <c r="A1" s="1" t="s">
        <v>0</v>
      </c>
      <c r="B1" s="2" t="s">
        <v>1</v>
      </c>
      <c r="C1" s="3" t="s">
        <v>2</v>
      </c>
      <c r="D1" s="2" t="s">
        <v>3</v>
      </c>
      <c r="E1" s="2" t="s">
        <v>4</v>
      </c>
      <c r="F1" s="2" t="s">
        <v>5</v>
      </c>
      <c r="G1" s="4" t="s">
        <v>6</v>
      </c>
      <c r="H1" s="5" t="s">
        <v>7</v>
      </c>
      <c r="I1" s="3" t="s">
        <v>8</v>
      </c>
      <c r="J1"/>
      <c r="K1" s="7" t="s">
        <v>3</v>
      </c>
      <c r="L1" s="31">
        <f>SUM(L2:L8)</f>
        <v>2</v>
      </c>
      <c r="M1" s="9">
        <v>1</v>
      </c>
      <c r="O1" s="62" t="s">
        <v>99</v>
      </c>
      <c r="P1" s="63">
        <f>SUM(P2:P13)</f>
        <v>1.9999999999999998</v>
      </c>
      <c r="Q1" s="9">
        <v>1</v>
      </c>
      <c r="T1" s="6" t="s">
        <v>144</v>
      </c>
    </row>
    <row r="2" spans="1:21" ht="18" thickTop="1" x14ac:dyDescent="0.2">
      <c r="A2" s="55" t="s">
        <v>28</v>
      </c>
      <c r="B2" s="56" t="s">
        <v>29</v>
      </c>
      <c r="C2" s="57" t="s">
        <v>30</v>
      </c>
      <c r="D2" s="53"/>
      <c r="E2" s="53"/>
      <c r="F2" s="53"/>
      <c r="G2" s="54">
        <f>ROUND(D2+E2+F2,1)</f>
        <v>0</v>
      </c>
      <c r="H2" s="58">
        <f>G2+1</f>
        <v>1</v>
      </c>
      <c r="I2" s="59" t="s">
        <v>89</v>
      </c>
      <c r="K2" s="12" t="s">
        <v>100</v>
      </c>
      <c r="L2" s="13">
        <v>0.25</v>
      </c>
      <c r="M2" s="14">
        <f t="shared" ref="M2:M7" si="0">L2*$M$1/$L$1</f>
        <v>0.125</v>
      </c>
      <c r="O2" s="62" t="s">
        <v>100</v>
      </c>
      <c r="P2" s="64">
        <f>L2/4</f>
        <v>6.25E-2</v>
      </c>
      <c r="Q2" s="14">
        <f>P2*$Q$1/$P$1</f>
        <v>3.125E-2</v>
      </c>
      <c r="S2" s="11" t="s">
        <v>3</v>
      </c>
      <c r="T2" s="102">
        <f>L2+L3+L4+L5</f>
        <v>1</v>
      </c>
    </row>
    <row r="3" spans="1:21" ht="16" x14ac:dyDescent="0.2">
      <c r="A3" s="15" t="s">
        <v>31</v>
      </c>
      <c r="B3" s="16" t="s">
        <v>32</v>
      </c>
      <c r="C3" s="17" t="s">
        <v>33</v>
      </c>
      <c r="D3" s="18"/>
      <c r="E3" s="18"/>
      <c r="F3" s="18"/>
      <c r="G3" s="19">
        <f t="shared" ref="G3:G24" si="1">ROUND(D3+E3+F3,1)</f>
        <v>0</v>
      </c>
      <c r="H3" s="10">
        <f t="shared" ref="H3:H24" si="2">G3+1</f>
        <v>1</v>
      </c>
      <c r="I3" s="39"/>
      <c r="K3" s="12" t="s">
        <v>101</v>
      </c>
      <c r="L3" s="13">
        <v>0.25</v>
      </c>
      <c r="M3" s="14">
        <f t="shared" si="0"/>
        <v>0.125</v>
      </c>
      <c r="O3" s="12" t="s">
        <v>101</v>
      </c>
      <c r="P3" s="65">
        <f t="shared" ref="P3:P7" si="3">L3/4</f>
        <v>6.25E-2</v>
      </c>
      <c r="Q3" s="14">
        <f t="shared" ref="Q3:Q13" si="4">P3*$Q$1/$P$1</f>
        <v>3.125E-2</v>
      </c>
      <c r="S3" s="11" t="s">
        <v>4</v>
      </c>
      <c r="T3" s="103">
        <f>P2+P3+P4+P5+P6+P7</f>
        <v>0.5</v>
      </c>
    </row>
    <row r="4" spans="1:21" s="86" customFormat="1" ht="16" x14ac:dyDescent="0.2">
      <c r="A4" s="55" t="s">
        <v>22</v>
      </c>
      <c r="B4" s="56" t="s">
        <v>34</v>
      </c>
      <c r="C4" s="57" t="s">
        <v>23</v>
      </c>
      <c r="D4" s="53"/>
      <c r="E4" s="53"/>
      <c r="F4" s="53"/>
      <c r="G4" s="54">
        <f t="shared" si="1"/>
        <v>0</v>
      </c>
      <c r="H4" s="58">
        <f t="shared" si="2"/>
        <v>1</v>
      </c>
      <c r="I4" s="59"/>
      <c r="J4" s="82"/>
      <c r="K4" s="83" t="s">
        <v>102</v>
      </c>
      <c r="L4" s="84">
        <v>0.25</v>
      </c>
      <c r="M4" s="85">
        <f t="shared" si="0"/>
        <v>0.125</v>
      </c>
      <c r="O4" s="83" t="s">
        <v>102</v>
      </c>
      <c r="P4" s="87">
        <f t="shared" si="3"/>
        <v>6.25E-2</v>
      </c>
      <c r="Q4" s="85">
        <f t="shared" si="4"/>
        <v>3.125E-2</v>
      </c>
      <c r="S4" s="86" t="s">
        <v>5</v>
      </c>
      <c r="T4" s="104">
        <f>P2+P3</f>
        <v>0.125</v>
      </c>
    </row>
    <row r="5" spans="1:21" ht="68" x14ac:dyDescent="0.2">
      <c r="A5" s="15" t="s">
        <v>35</v>
      </c>
      <c r="B5" s="16" t="s">
        <v>36</v>
      </c>
      <c r="C5" s="17" t="s">
        <v>37</v>
      </c>
      <c r="D5" s="18">
        <f>L2+L3+L4+L5+L6*(2/3)+L7</f>
        <v>1.8333333333333333</v>
      </c>
      <c r="E5" s="18">
        <f>P2*0.5+P3+P4+P5+P6+P7+P8+P9+P10+P11*0.5+P12*0+P13</f>
        <v>1.66875</v>
      </c>
      <c r="F5" s="18">
        <f>P2*0.5+P3+P4+P5+P6+P7+P8+P9+P10+P11+P12*0.3+P13</f>
        <v>1.8287499999999999</v>
      </c>
      <c r="G5" s="19">
        <f t="shared" si="1"/>
        <v>5.3</v>
      </c>
      <c r="H5" s="10">
        <f t="shared" si="2"/>
        <v>6.3</v>
      </c>
      <c r="I5" s="39" t="s">
        <v>125</v>
      </c>
      <c r="K5" s="12" t="s">
        <v>103</v>
      </c>
      <c r="L5" s="13">
        <v>0.25</v>
      </c>
      <c r="M5" s="14">
        <f t="shared" si="0"/>
        <v>0.125</v>
      </c>
      <c r="O5" s="12" t="s">
        <v>103</v>
      </c>
      <c r="P5" s="65">
        <f t="shared" si="3"/>
        <v>6.25E-2</v>
      </c>
      <c r="Q5" s="14">
        <f t="shared" si="4"/>
        <v>3.125E-2</v>
      </c>
      <c r="T5" s="103">
        <f>T2+T3+T4+1</f>
        <v>2.625</v>
      </c>
      <c r="U5" s="11" t="s">
        <v>145</v>
      </c>
    </row>
    <row r="6" spans="1:21" ht="16" x14ac:dyDescent="0.2">
      <c r="A6" s="55" t="s">
        <v>38</v>
      </c>
      <c r="B6" s="56" t="s">
        <v>39</v>
      </c>
      <c r="C6" s="57" t="s">
        <v>40</v>
      </c>
      <c r="D6" s="53"/>
      <c r="E6" s="53"/>
      <c r="F6" s="53"/>
      <c r="G6" s="54">
        <f t="shared" si="1"/>
        <v>0</v>
      </c>
      <c r="H6" s="58">
        <f t="shared" si="2"/>
        <v>1</v>
      </c>
      <c r="I6" s="59"/>
      <c r="K6" s="12" t="s">
        <v>104</v>
      </c>
      <c r="L6" s="13">
        <v>0.5</v>
      </c>
      <c r="M6" s="14">
        <f t="shared" si="0"/>
        <v>0.25</v>
      </c>
      <c r="O6" s="12" t="s">
        <v>104</v>
      </c>
      <c r="P6" s="65">
        <f t="shared" si="3"/>
        <v>0.125</v>
      </c>
      <c r="Q6" s="14">
        <f t="shared" si="4"/>
        <v>6.25E-2</v>
      </c>
    </row>
    <row r="7" spans="1:21" ht="35" thickBot="1" x14ac:dyDescent="0.25">
      <c r="A7" s="15" t="s">
        <v>41</v>
      </c>
      <c r="B7" s="16" t="s">
        <v>42</v>
      </c>
      <c r="C7" s="17" t="s">
        <v>40</v>
      </c>
      <c r="D7" s="18">
        <f>L2+L3+L4+L5+L6*(2/3)+L7</f>
        <v>1.8333333333333333</v>
      </c>
      <c r="E7" s="18">
        <f>P2+P3+P4+P5+P6+P7+P8+P9+P10+P11*0.8+P12+P13</f>
        <v>1.96</v>
      </c>
      <c r="F7" s="18">
        <f>P2*0.5+P3+P4+P5+P6+P7+P8+P9+P10+P11+P12+P13</f>
        <v>1.9687499999999998</v>
      </c>
      <c r="G7" s="19">
        <f t="shared" si="1"/>
        <v>5.8</v>
      </c>
      <c r="H7" s="10">
        <f t="shared" si="2"/>
        <v>6.8</v>
      </c>
      <c r="I7" s="39" t="s">
        <v>123</v>
      </c>
      <c r="K7" s="26" t="s">
        <v>105</v>
      </c>
      <c r="L7" s="66">
        <v>0.5</v>
      </c>
      <c r="M7" s="14">
        <f t="shared" si="0"/>
        <v>0.25</v>
      </c>
      <c r="O7" s="67" t="s">
        <v>105</v>
      </c>
      <c r="P7" s="68">
        <f t="shared" si="3"/>
        <v>0.125</v>
      </c>
      <c r="Q7" s="14">
        <f t="shared" si="4"/>
        <v>6.25E-2</v>
      </c>
    </row>
    <row r="8" spans="1:21" ht="85" x14ac:dyDescent="0.2">
      <c r="A8" s="15" t="s">
        <v>43</v>
      </c>
      <c r="B8" s="16" t="s">
        <v>44</v>
      </c>
      <c r="C8" s="17" t="s">
        <v>45</v>
      </c>
      <c r="D8" s="18">
        <f>L2+L3+L4+L5+L6*(1/3)+L7</f>
        <v>1.6666666666666667</v>
      </c>
      <c r="E8" s="18">
        <f>P2*0.5+P3+P4+P5+P6+P7+P8+P9+P10*0+P11*0+P12*0+P13*0</f>
        <v>1.16875</v>
      </c>
      <c r="F8" s="18">
        <f>P2*0.5+P3+P4+P5+P6+P7+P8+P9*0+P10+P11*0+P12*0+P13*0</f>
        <v>1.16875</v>
      </c>
      <c r="G8" s="19">
        <f t="shared" si="1"/>
        <v>4</v>
      </c>
      <c r="H8" s="10">
        <f t="shared" si="2"/>
        <v>5</v>
      </c>
      <c r="I8" s="39" t="s">
        <v>124</v>
      </c>
      <c r="K8" s="6"/>
      <c r="L8" s="69"/>
      <c r="M8" s="14"/>
      <c r="O8" s="70" t="s">
        <v>106</v>
      </c>
      <c r="P8" s="71">
        <v>0.5</v>
      </c>
      <c r="Q8" s="14">
        <f t="shared" si="4"/>
        <v>0.25</v>
      </c>
    </row>
    <row r="9" spans="1:21" ht="16" x14ac:dyDescent="0.2">
      <c r="A9" s="15" t="s">
        <v>46</v>
      </c>
      <c r="B9" s="16" t="s">
        <v>47</v>
      </c>
      <c r="C9" s="17" t="s">
        <v>18</v>
      </c>
      <c r="D9" s="18"/>
      <c r="E9" s="18"/>
      <c r="F9" s="18"/>
      <c r="G9" s="19">
        <f t="shared" si="1"/>
        <v>0</v>
      </c>
      <c r="H9" s="10">
        <f t="shared" si="2"/>
        <v>1</v>
      </c>
      <c r="I9" s="39"/>
      <c r="L9" s="28"/>
      <c r="M9" s="29"/>
      <c r="O9" s="12" t="s">
        <v>107</v>
      </c>
      <c r="P9" s="13">
        <v>0.2</v>
      </c>
      <c r="Q9" s="14">
        <f t="shared" si="4"/>
        <v>0.10000000000000002</v>
      </c>
    </row>
    <row r="10" spans="1:21" ht="34" x14ac:dyDescent="0.2">
      <c r="A10" s="15" t="s">
        <v>17</v>
      </c>
      <c r="B10" s="16" t="s">
        <v>46</v>
      </c>
      <c r="C10" s="17" t="s">
        <v>48</v>
      </c>
      <c r="D10" s="18">
        <f>L2+L3+L4+L5+L6+L7</f>
        <v>2</v>
      </c>
      <c r="E10" s="18">
        <f>P2+P3+P4+P5+P6+P7+P8+P9*0.7+P10+P11+P12*0.8+P13</f>
        <v>1.8999999999999997</v>
      </c>
      <c r="F10" s="18">
        <f>P2+P3+P4+P5+P6+P7+P8+P9*0+P10+P11+P12*0.8+P13</f>
        <v>1.76</v>
      </c>
      <c r="G10" s="19">
        <f t="shared" si="1"/>
        <v>5.7</v>
      </c>
      <c r="H10" s="10">
        <f t="shared" si="2"/>
        <v>6.7</v>
      </c>
      <c r="I10" s="39" t="s">
        <v>122</v>
      </c>
      <c r="O10" s="12" t="s">
        <v>108</v>
      </c>
      <c r="P10" s="13">
        <v>0.2</v>
      </c>
      <c r="Q10" s="14">
        <f t="shared" si="4"/>
        <v>0.10000000000000002</v>
      </c>
    </row>
    <row r="11" spans="1:21" ht="51" x14ac:dyDescent="0.2">
      <c r="A11" s="15" t="s">
        <v>49</v>
      </c>
      <c r="B11" s="16" t="s">
        <v>50</v>
      </c>
      <c r="C11" s="17" t="s">
        <v>51</v>
      </c>
      <c r="D11" s="18">
        <f>L2+L3+L4+L5+L6*(2/3)+L7</f>
        <v>1.8333333333333333</v>
      </c>
      <c r="E11" s="18">
        <f>P2+P3+P4+P5+P6+P7+P8+P9+P10+P11+P12*0.3+P13</f>
        <v>1.8599999999999999</v>
      </c>
      <c r="F11" s="18">
        <f>P2*0.5+P3+P4+P5+P6+P7+P8+P9+P10+P11+P12*0.3+P13*0</f>
        <v>1.6287499999999999</v>
      </c>
      <c r="G11" s="19">
        <f t="shared" si="1"/>
        <v>5.3</v>
      </c>
      <c r="H11" s="10">
        <f t="shared" si="2"/>
        <v>6.3</v>
      </c>
      <c r="I11" s="39" t="s">
        <v>121</v>
      </c>
      <c r="O11" s="12" t="s">
        <v>109</v>
      </c>
      <c r="P11" s="13">
        <v>0.2</v>
      </c>
      <c r="Q11" s="14">
        <f t="shared" si="4"/>
        <v>0.10000000000000002</v>
      </c>
    </row>
    <row r="12" spans="1:21" ht="16" x14ac:dyDescent="0.2">
      <c r="A12" s="15" t="s">
        <v>29</v>
      </c>
      <c r="B12" s="16" t="s">
        <v>52</v>
      </c>
      <c r="C12" s="17" t="s">
        <v>53</v>
      </c>
      <c r="D12" s="18"/>
      <c r="E12" s="18"/>
      <c r="F12" s="18"/>
      <c r="G12" s="19">
        <f t="shared" si="1"/>
        <v>0</v>
      </c>
      <c r="H12" s="10">
        <f t="shared" si="2"/>
        <v>1</v>
      </c>
      <c r="I12" s="39"/>
      <c r="O12" s="12" t="s">
        <v>110</v>
      </c>
      <c r="P12" s="13">
        <v>0.2</v>
      </c>
      <c r="Q12" s="14">
        <f t="shared" si="4"/>
        <v>0.10000000000000002</v>
      </c>
    </row>
    <row r="13" spans="1:21" ht="52" thickBot="1" x14ac:dyDescent="0.25">
      <c r="A13" s="15" t="s">
        <v>29</v>
      </c>
      <c r="B13" s="16" t="s">
        <v>54</v>
      </c>
      <c r="C13" s="17" t="s">
        <v>55</v>
      </c>
      <c r="D13" s="18">
        <f>L2+L3+L4+L5+L6*(2/3)+L7</f>
        <v>1.8333333333333333</v>
      </c>
      <c r="E13" s="18">
        <f>P2+P3+P4+P5+P6+P7+P8+P9+P10+P11+P12*0.3+P13</f>
        <v>1.8599999999999999</v>
      </c>
      <c r="F13" s="18">
        <f>P2*0.5+P3+P4+P5+P6+P7+P8+P9+P10+P11+P12*0.3+P13*0</f>
        <v>1.6287499999999999</v>
      </c>
      <c r="G13" s="19">
        <f t="shared" si="1"/>
        <v>5.3</v>
      </c>
      <c r="H13" s="10">
        <f t="shared" si="2"/>
        <v>6.3</v>
      </c>
      <c r="I13" s="39" t="s">
        <v>121</v>
      </c>
      <c r="O13" s="26" t="s">
        <v>111</v>
      </c>
      <c r="P13" s="27">
        <v>0.2</v>
      </c>
      <c r="Q13" s="14">
        <f t="shared" si="4"/>
        <v>0.10000000000000002</v>
      </c>
    </row>
    <row r="14" spans="1:21" ht="51" x14ac:dyDescent="0.2">
      <c r="A14" s="15" t="s">
        <v>56</v>
      </c>
      <c r="B14" s="16" t="s">
        <v>57</v>
      </c>
      <c r="C14" s="17" t="s">
        <v>58</v>
      </c>
      <c r="D14" s="18">
        <f>L2*0+L3*0+L4*0+L5*0+L6*0+L7*0</f>
        <v>0</v>
      </c>
      <c r="E14" s="18">
        <f>P2+P3+P4+P5+P6+P7+P8+P9+P10+P11+P12*0.7+P13</f>
        <v>1.9399999999999997</v>
      </c>
      <c r="F14" s="18">
        <f>P2+P3+P4+P5+P6+P7*0.3+P8+P9+P10+P11+P12*0.7+P13</f>
        <v>1.8524999999999998</v>
      </c>
      <c r="G14" s="19">
        <f t="shared" si="1"/>
        <v>3.8</v>
      </c>
      <c r="H14" s="10">
        <f t="shared" si="2"/>
        <v>4.8</v>
      </c>
      <c r="I14" s="39" t="s">
        <v>119</v>
      </c>
      <c r="K14" s="35"/>
      <c r="L14" s="35"/>
      <c r="Q14" s="72"/>
    </row>
    <row r="15" spans="1:21" ht="16" x14ac:dyDescent="0.2">
      <c r="A15" s="15" t="s">
        <v>59</v>
      </c>
      <c r="B15" s="16" t="s">
        <v>60</v>
      </c>
      <c r="C15" s="17" t="s">
        <v>40</v>
      </c>
      <c r="D15" s="18"/>
      <c r="E15" s="18"/>
      <c r="F15" s="18"/>
      <c r="G15" s="19">
        <f t="shared" si="1"/>
        <v>0</v>
      </c>
      <c r="H15" s="10">
        <f t="shared" si="2"/>
        <v>1</v>
      </c>
      <c r="I15" s="39"/>
      <c r="K15" s="35"/>
      <c r="L15" s="35"/>
    </row>
    <row r="16" spans="1:21" ht="16" x14ac:dyDescent="0.2">
      <c r="A16" s="15" t="s">
        <v>61</v>
      </c>
      <c r="B16" s="16" t="s">
        <v>62</v>
      </c>
      <c r="C16" s="17" t="s">
        <v>63</v>
      </c>
      <c r="D16" s="18"/>
      <c r="E16" s="18"/>
      <c r="F16" s="18"/>
      <c r="G16" s="19">
        <f t="shared" si="1"/>
        <v>0</v>
      </c>
      <c r="H16" s="10">
        <f t="shared" si="2"/>
        <v>1</v>
      </c>
      <c r="I16" s="39"/>
      <c r="K16" s="35"/>
      <c r="L16" s="35"/>
    </row>
    <row r="17" spans="1:12" ht="85" x14ac:dyDescent="0.2">
      <c r="A17" s="15" t="s">
        <v>64</v>
      </c>
      <c r="B17" s="16" t="s">
        <v>65</v>
      </c>
      <c r="C17" s="17" t="s">
        <v>66</v>
      </c>
      <c r="D17" s="18">
        <f>L2+L3+L4+L5+L6+L7</f>
        <v>2</v>
      </c>
      <c r="E17" s="18">
        <f>P2+P3+P4+P5+P6*(1/3)+P7+P8+P9+P10+P11+P12*0.3+P13</f>
        <v>1.7766666666666666</v>
      </c>
      <c r="F17" s="18">
        <f>P2*0.5+P3+P4+P5+P6*(1/3)+P7+P8+P9+P10+P11+P12*0.5+P13</f>
        <v>1.7854166666666667</v>
      </c>
      <c r="G17" s="19">
        <f t="shared" si="1"/>
        <v>5.6</v>
      </c>
      <c r="H17" s="10">
        <f t="shared" si="2"/>
        <v>6.6</v>
      </c>
      <c r="I17" s="39" t="s">
        <v>118</v>
      </c>
      <c r="K17" s="35"/>
      <c r="L17" s="35"/>
    </row>
    <row r="18" spans="1:12" s="30" customFormat="1" ht="51" x14ac:dyDescent="0.2">
      <c r="A18" s="46" t="s">
        <v>67</v>
      </c>
      <c r="B18" s="47" t="s">
        <v>68</v>
      </c>
      <c r="C18" s="48" t="s">
        <v>69</v>
      </c>
      <c r="D18" s="18">
        <f>L2+L3+L4+L5+L6*(1/3)+L7</f>
        <v>1.6666666666666667</v>
      </c>
      <c r="E18" s="18">
        <f>P2+P3+P4+P5+P6+P7+P8*0+P9*0+P10*0+P11*0+P12*0+P13*0</f>
        <v>0.5</v>
      </c>
      <c r="F18" s="18">
        <f>P2+P3+P4+P5+P6+P7+P8+P9+P10+P11+P12*0+P13*0</f>
        <v>1.5999999999999999</v>
      </c>
      <c r="G18" s="19">
        <f t="shared" si="1"/>
        <v>3.8</v>
      </c>
      <c r="H18" s="42">
        <f t="shared" si="2"/>
        <v>4.8</v>
      </c>
      <c r="I18" s="39" t="s">
        <v>120</v>
      </c>
      <c r="J18"/>
      <c r="K18" s="36"/>
      <c r="L18" s="36"/>
    </row>
    <row r="19" spans="1:12" ht="34" x14ac:dyDescent="0.2">
      <c r="A19" s="15" t="s">
        <v>20</v>
      </c>
      <c r="B19" s="16" t="s">
        <v>21</v>
      </c>
      <c r="C19" s="17" t="s">
        <v>19</v>
      </c>
      <c r="D19" s="18">
        <f>L2+L3+L4+L5+L6+L7</f>
        <v>2</v>
      </c>
      <c r="E19" s="18">
        <f>P2+P3+P4+P5+P6+P7+P8+P9+P10+P11+P12*0.3+P13</f>
        <v>1.8599999999999999</v>
      </c>
      <c r="F19" s="18">
        <f>P2*0.5+P3+P4+P5+P6+P7+P8+P9+P10+P11+P12*0.3+P13</f>
        <v>1.8287499999999999</v>
      </c>
      <c r="G19" s="19">
        <f t="shared" si="1"/>
        <v>5.7</v>
      </c>
      <c r="H19" s="10">
        <f t="shared" si="2"/>
        <v>6.7</v>
      </c>
      <c r="I19" s="39" t="s">
        <v>117</v>
      </c>
      <c r="K19" s="35"/>
      <c r="L19" s="35"/>
    </row>
    <row r="20" spans="1:12" ht="48" x14ac:dyDescent="0.2">
      <c r="A20" s="15" t="s">
        <v>60</v>
      </c>
      <c r="B20" s="16" t="s">
        <v>70</v>
      </c>
      <c r="C20" s="17" t="s">
        <v>71</v>
      </c>
      <c r="D20" s="18">
        <f>L2+L3+L4+L5+L6*(2/3)+L7</f>
        <v>1.8333333333333333</v>
      </c>
      <c r="E20" s="18">
        <f>P2+P3+P4+P5+P6+P7+P8+P9+P10+P11+P12*0.3+P13</f>
        <v>1.8599999999999999</v>
      </c>
      <c r="F20" s="18">
        <f>P2*0.5+P3+P4+P5+P6+P7+P8+P9+P10+P11+P12*0.3+P13</f>
        <v>1.8287499999999999</v>
      </c>
      <c r="G20" s="19">
        <f t="shared" si="1"/>
        <v>5.5</v>
      </c>
      <c r="H20" s="10">
        <f t="shared" si="2"/>
        <v>6.5</v>
      </c>
      <c r="I20" s="43" t="s">
        <v>115</v>
      </c>
      <c r="K20" s="35"/>
      <c r="L20" s="35"/>
    </row>
    <row r="21" spans="1:12" ht="48" x14ac:dyDescent="0.2">
      <c r="A21" s="40" t="s">
        <v>72</v>
      </c>
      <c r="B21" s="37" t="s">
        <v>73</v>
      </c>
      <c r="C21" s="41" t="s">
        <v>74</v>
      </c>
      <c r="D21" s="18">
        <f>L2+L3+L4+L5+L6*(1/3)+L7</f>
        <v>1.6666666666666667</v>
      </c>
      <c r="E21" s="18">
        <f>P2+P3+P4+P5+P6+P7+P8+P9+P10+P11*0.5+P12*0+P13</f>
        <v>1.7</v>
      </c>
      <c r="F21" s="18">
        <f>P2*0.5+P3+P4+P5+P6+P7+P8+P9+P10+P11+P12*0.3+P13</f>
        <v>1.8287499999999999</v>
      </c>
      <c r="G21" s="19">
        <f t="shared" si="1"/>
        <v>5.2</v>
      </c>
      <c r="H21" s="10">
        <f t="shared" si="2"/>
        <v>6.2</v>
      </c>
      <c r="I21" s="43" t="s">
        <v>116</v>
      </c>
      <c r="K21" s="35"/>
      <c r="L21" s="35"/>
    </row>
    <row r="22" spans="1:12" ht="85" x14ac:dyDescent="0.2">
      <c r="A22" s="15" t="s">
        <v>75</v>
      </c>
      <c r="B22" s="16" t="s">
        <v>76</v>
      </c>
      <c r="C22" s="17" t="s">
        <v>80</v>
      </c>
      <c r="D22" s="18">
        <f>L2+L3+L4+L5+L6*(1/3)+L7</f>
        <v>1.6666666666666667</v>
      </c>
      <c r="E22" s="18">
        <f>P2*0.5+P3+P4+P5+P6*(2/3)+P7+P8*(1/3)+P9+P10*0+P11*0.5+P12*0+P13*0</f>
        <v>0.89374999999999993</v>
      </c>
      <c r="F22" s="18">
        <f>P2*0.5+P3+P4+P5+P6+P7+P8*(1/3)+P9*0+P10+P11*0+P12*0+P13*0</f>
        <v>0.8354166666666667</v>
      </c>
      <c r="G22" s="19">
        <f t="shared" si="1"/>
        <v>3.4</v>
      </c>
      <c r="H22" s="10">
        <f t="shared" si="2"/>
        <v>4.4000000000000004</v>
      </c>
      <c r="I22" s="39" t="s">
        <v>113</v>
      </c>
    </row>
    <row r="23" spans="1:12" ht="64" x14ac:dyDescent="0.2">
      <c r="A23" s="15" t="s">
        <v>75</v>
      </c>
      <c r="B23" s="16" t="s">
        <v>76</v>
      </c>
      <c r="C23" s="17" t="s">
        <v>77</v>
      </c>
      <c r="D23" s="18">
        <f>L2+L3+L4+L5+L6*(2/3)+L7</f>
        <v>1.8333333333333333</v>
      </c>
      <c r="E23" s="18">
        <f>P2*0.5+P3+P4+P5+P6+P7+P8*(1/3)+P9+P10*0.2+P11*0+P12*0+P13*0</f>
        <v>0.87541666666666673</v>
      </c>
      <c r="F23" s="18">
        <f>P2*0.5+P3+P4+P5+P6*(2/3)+P7+P8*(1/3)+P9+P10+P11*0+P12*0+P13*0</f>
        <v>0.99374999999999991</v>
      </c>
      <c r="G23" s="19">
        <f t="shared" si="1"/>
        <v>3.7</v>
      </c>
      <c r="H23" s="10">
        <f t="shared" si="2"/>
        <v>4.7</v>
      </c>
      <c r="I23" s="43" t="s">
        <v>112</v>
      </c>
    </row>
    <row r="24" spans="1:12" ht="81" thickBot="1" x14ac:dyDescent="0.25">
      <c r="A24" s="20" t="s">
        <v>78</v>
      </c>
      <c r="B24" s="21" t="s">
        <v>36</v>
      </c>
      <c r="C24" s="22" t="s">
        <v>79</v>
      </c>
      <c r="D24" s="23">
        <f>L2+L3+L4+L5+L6*(2/3)+L7</f>
        <v>1.8333333333333333</v>
      </c>
      <c r="E24" s="23">
        <f>P2*0.5+P3+P4+P5+P6*(2/3)+P7+P8+P9+P10+P11*0.5+P12*0+P13</f>
        <v>1.6270833333333332</v>
      </c>
      <c r="F24" s="23">
        <f>P2*0.5+P3+P4+P5+P6+P7+P8+P9+P10+P11+P12*0.3+P13</f>
        <v>1.8287499999999999</v>
      </c>
      <c r="G24" s="24">
        <f t="shared" si="1"/>
        <v>5.3</v>
      </c>
      <c r="H24" s="25">
        <f t="shared" si="2"/>
        <v>6.3</v>
      </c>
      <c r="I24" s="44" t="s">
        <v>114</v>
      </c>
    </row>
  </sheetData>
  <conditionalFormatting sqref="K14:L16 K18:L21">
    <cfRule type="cellIs" dxfId="11" priority="5" operator="lessThan">
      <formula>4</formula>
    </cfRule>
    <cfRule type="cellIs" dxfId="10" priority="6" operator="greaterThanOrEqual">
      <formula>4</formula>
    </cfRule>
  </conditionalFormatting>
  <conditionalFormatting sqref="K17:L17">
    <cfRule type="cellIs" dxfId="9" priority="3" operator="lessThan">
      <formula>4</formula>
    </cfRule>
    <cfRule type="cellIs" dxfId="8" priority="4" operator="greaterThanOrEqual">
      <formula>4</formula>
    </cfRule>
  </conditionalFormatting>
  <conditionalFormatting sqref="H2:H24">
    <cfRule type="cellIs" dxfId="7" priority="1" operator="lessThan">
      <formula>4</formula>
    </cfRule>
    <cfRule type="cellIs" dxfId="6" priority="2" operator="greaterThanOrEqual">
      <formul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C2606-A936-E845-A6E7-2DF71DE80859}">
  <dimension ref="A1:I24"/>
  <sheetViews>
    <sheetView workbookViewId="0">
      <selection sqref="A1:I24"/>
    </sheetView>
  </sheetViews>
  <sheetFormatPr baseColWidth="10" defaultColWidth="32.6640625" defaultRowHeight="16" x14ac:dyDescent="0.2"/>
  <cols>
    <col min="1" max="1" width="14.6640625" bestFit="1" customWidth="1"/>
    <col min="2" max="2" width="15.83203125" bestFit="1" customWidth="1"/>
    <col min="3" max="3" width="9" bestFit="1" customWidth="1"/>
    <col min="4" max="6" width="3.6640625" bestFit="1" customWidth="1"/>
    <col min="7" max="7" width="8.1640625" bestFit="1" customWidth="1"/>
    <col min="8" max="8" width="6" bestFit="1" customWidth="1"/>
    <col min="9" max="9" width="49" style="100" customWidth="1"/>
  </cols>
  <sheetData>
    <row r="1" spans="1:9" ht="17" thickBot="1" x14ac:dyDescent="0.25">
      <c r="A1" s="1" t="s">
        <v>0</v>
      </c>
      <c r="B1" s="2" t="s">
        <v>1</v>
      </c>
      <c r="C1" s="3" t="s">
        <v>2</v>
      </c>
      <c r="D1" s="2" t="s">
        <v>3</v>
      </c>
      <c r="E1" s="2" t="s">
        <v>4</v>
      </c>
      <c r="F1" s="2" t="s">
        <v>5</v>
      </c>
      <c r="G1" s="4" t="s">
        <v>6</v>
      </c>
      <c r="H1" s="5" t="s">
        <v>7</v>
      </c>
      <c r="I1" s="3" t="s">
        <v>8</v>
      </c>
    </row>
    <row r="2" spans="1:9" ht="18" thickTop="1" x14ac:dyDescent="0.2">
      <c r="A2" s="55" t="s">
        <v>28</v>
      </c>
      <c r="B2" s="56" t="s">
        <v>29</v>
      </c>
      <c r="C2" s="57" t="s">
        <v>30</v>
      </c>
      <c r="D2" s="53">
        <v>0</v>
      </c>
      <c r="E2" s="53">
        <v>0</v>
      </c>
      <c r="F2" s="53">
        <v>0</v>
      </c>
      <c r="G2" s="54">
        <f>ROUND(D2+E2+F2,1)</f>
        <v>0</v>
      </c>
      <c r="H2" s="58">
        <f>G2+1</f>
        <v>1</v>
      </c>
      <c r="I2" s="59" t="s">
        <v>89</v>
      </c>
    </row>
    <row r="3" spans="1:9" ht="34" x14ac:dyDescent="0.2">
      <c r="A3" s="15" t="s">
        <v>31</v>
      </c>
      <c r="B3" s="16" t="s">
        <v>32</v>
      </c>
      <c r="C3" s="17" t="s">
        <v>33</v>
      </c>
      <c r="D3" s="18">
        <v>1</v>
      </c>
      <c r="E3" s="18">
        <v>2</v>
      </c>
      <c r="F3" s="18">
        <v>2</v>
      </c>
      <c r="G3" s="19">
        <f t="shared" ref="G3:G24" si="0">ROUND(D3+E3+F3,1)</f>
        <v>5</v>
      </c>
      <c r="H3" s="10">
        <f t="shared" ref="H3:H24" si="1">G3+1</f>
        <v>6</v>
      </c>
      <c r="I3" s="39" t="s">
        <v>138</v>
      </c>
    </row>
    <row r="4" spans="1:9" x14ac:dyDescent="0.2">
      <c r="A4" s="55" t="s">
        <v>22</v>
      </c>
      <c r="B4" s="56" t="s">
        <v>34</v>
      </c>
      <c r="C4" s="57" t="s">
        <v>23</v>
      </c>
      <c r="D4" s="53">
        <v>0</v>
      </c>
      <c r="E4" s="53">
        <v>0</v>
      </c>
      <c r="F4" s="53">
        <v>0</v>
      </c>
      <c r="G4" s="54">
        <f t="shared" si="0"/>
        <v>0</v>
      </c>
      <c r="H4" s="58">
        <f t="shared" si="1"/>
        <v>1</v>
      </c>
      <c r="I4" s="59"/>
    </row>
    <row r="5" spans="1:9" ht="51" x14ac:dyDescent="0.2">
      <c r="A5" s="15" t="s">
        <v>35</v>
      </c>
      <c r="B5" s="16" t="s">
        <v>36</v>
      </c>
      <c r="C5" s="17" t="s">
        <v>37</v>
      </c>
      <c r="D5" s="18">
        <v>0.5</v>
      </c>
      <c r="E5" s="18">
        <v>0</v>
      </c>
      <c r="F5" s="18">
        <v>2</v>
      </c>
      <c r="G5" s="19">
        <f t="shared" si="0"/>
        <v>2.5</v>
      </c>
      <c r="H5" s="10">
        <f t="shared" si="1"/>
        <v>3.5</v>
      </c>
      <c r="I5" s="39" t="s">
        <v>139</v>
      </c>
    </row>
    <row r="6" spans="1:9" ht="17" x14ac:dyDescent="0.2">
      <c r="A6" s="55" t="s">
        <v>38</v>
      </c>
      <c r="B6" s="56" t="s">
        <v>39</v>
      </c>
      <c r="C6" s="57" t="s">
        <v>40</v>
      </c>
      <c r="D6" s="53">
        <v>0</v>
      </c>
      <c r="E6" s="53">
        <v>0</v>
      </c>
      <c r="F6" s="53">
        <v>0</v>
      </c>
      <c r="G6" s="54">
        <f t="shared" si="0"/>
        <v>0</v>
      </c>
      <c r="H6" s="58">
        <f t="shared" si="1"/>
        <v>1</v>
      </c>
      <c r="I6" s="59" t="s">
        <v>89</v>
      </c>
    </row>
    <row r="7" spans="1:9" ht="34" x14ac:dyDescent="0.2">
      <c r="A7" s="15" t="s">
        <v>41</v>
      </c>
      <c r="B7" s="16" t="s">
        <v>42</v>
      </c>
      <c r="C7" s="17" t="s">
        <v>40</v>
      </c>
      <c r="D7" s="18">
        <v>1</v>
      </c>
      <c r="E7" s="18">
        <v>1</v>
      </c>
      <c r="F7" s="18">
        <v>2</v>
      </c>
      <c r="G7" s="19">
        <f t="shared" si="0"/>
        <v>4</v>
      </c>
      <c r="H7" s="10">
        <f t="shared" si="1"/>
        <v>5</v>
      </c>
      <c r="I7" s="39" t="s">
        <v>140</v>
      </c>
    </row>
    <row r="8" spans="1:9" ht="34" x14ac:dyDescent="0.2">
      <c r="A8" s="15" t="s">
        <v>43</v>
      </c>
      <c r="B8" s="16" t="s">
        <v>44</v>
      </c>
      <c r="C8" s="17" t="s">
        <v>45</v>
      </c>
      <c r="D8" s="18">
        <v>1</v>
      </c>
      <c r="E8" s="18">
        <v>2</v>
      </c>
      <c r="F8" s="18">
        <v>2</v>
      </c>
      <c r="G8" s="19">
        <f t="shared" si="0"/>
        <v>5</v>
      </c>
      <c r="H8" s="10">
        <f t="shared" si="1"/>
        <v>6</v>
      </c>
      <c r="I8" s="39" t="s">
        <v>138</v>
      </c>
    </row>
    <row r="9" spans="1:9" ht="34" x14ac:dyDescent="0.2">
      <c r="A9" s="15" t="s">
        <v>46</v>
      </c>
      <c r="B9" s="16" t="s">
        <v>47</v>
      </c>
      <c r="C9" s="17" t="s">
        <v>18</v>
      </c>
      <c r="D9" s="18">
        <v>1</v>
      </c>
      <c r="E9" s="18">
        <v>2</v>
      </c>
      <c r="F9" s="18">
        <v>2</v>
      </c>
      <c r="G9" s="19">
        <f t="shared" si="0"/>
        <v>5</v>
      </c>
      <c r="H9" s="10">
        <f t="shared" si="1"/>
        <v>6</v>
      </c>
      <c r="I9" s="39" t="s">
        <v>138</v>
      </c>
    </row>
    <row r="10" spans="1:9" ht="34" x14ac:dyDescent="0.2">
      <c r="A10" s="15" t="s">
        <v>17</v>
      </c>
      <c r="B10" s="16" t="s">
        <v>46</v>
      </c>
      <c r="C10" s="17" t="s">
        <v>48</v>
      </c>
      <c r="D10" s="18">
        <v>1</v>
      </c>
      <c r="E10" s="18">
        <v>2</v>
      </c>
      <c r="F10" s="18">
        <v>2</v>
      </c>
      <c r="G10" s="19">
        <f t="shared" si="0"/>
        <v>5</v>
      </c>
      <c r="H10" s="101">
        <f>G10+1+0.2</f>
        <v>6.2</v>
      </c>
      <c r="I10" s="39" t="s">
        <v>138</v>
      </c>
    </row>
    <row r="11" spans="1:9" ht="34" x14ac:dyDescent="0.2">
      <c r="A11" s="15" t="s">
        <v>49</v>
      </c>
      <c r="B11" s="16" t="s">
        <v>50</v>
      </c>
      <c r="C11" s="17" t="s">
        <v>51</v>
      </c>
      <c r="D11" s="18">
        <v>1</v>
      </c>
      <c r="E11" s="18">
        <v>2</v>
      </c>
      <c r="F11" s="18">
        <v>2</v>
      </c>
      <c r="G11" s="19">
        <f t="shared" si="0"/>
        <v>5</v>
      </c>
      <c r="H11" s="10">
        <f t="shared" si="1"/>
        <v>6</v>
      </c>
      <c r="I11" s="39" t="s">
        <v>138</v>
      </c>
    </row>
    <row r="12" spans="1:9" x14ac:dyDescent="0.2">
      <c r="A12" s="15" t="s">
        <v>29</v>
      </c>
      <c r="B12" s="16" t="s">
        <v>52</v>
      </c>
      <c r="C12" s="17" t="s">
        <v>53</v>
      </c>
      <c r="D12" s="18">
        <v>0</v>
      </c>
      <c r="E12" s="18">
        <v>0</v>
      </c>
      <c r="F12" s="18">
        <v>0</v>
      </c>
      <c r="G12" s="19">
        <f t="shared" si="0"/>
        <v>0</v>
      </c>
      <c r="H12" s="10">
        <f t="shared" si="1"/>
        <v>1</v>
      </c>
      <c r="I12" s="39"/>
    </row>
    <row r="13" spans="1:9" x14ac:dyDescent="0.2">
      <c r="A13" s="15" t="s">
        <v>29</v>
      </c>
      <c r="B13" s="16" t="s">
        <v>54</v>
      </c>
      <c r="C13" s="17" t="s">
        <v>55</v>
      </c>
      <c r="D13" s="18">
        <v>0</v>
      </c>
      <c r="E13" s="18">
        <v>0</v>
      </c>
      <c r="F13" s="18">
        <v>0</v>
      </c>
      <c r="G13" s="19">
        <f t="shared" si="0"/>
        <v>0</v>
      </c>
      <c r="H13" s="10">
        <f t="shared" si="1"/>
        <v>1</v>
      </c>
      <c r="I13" s="39"/>
    </row>
    <row r="14" spans="1:9" ht="34" x14ac:dyDescent="0.2">
      <c r="A14" s="15" t="s">
        <v>56</v>
      </c>
      <c r="B14" s="16" t="s">
        <v>57</v>
      </c>
      <c r="C14" s="17" t="s">
        <v>58</v>
      </c>
      <c r="D14" s="18">
        <v>1</v>
      </c>
      <c r="E14" s="18">
        <v>2</v>
      </c>
      <c r="F14" s="18">
        <v>2</v>
      </c>
      <c r="G14" s="19">
        <f t="shared" si="0"/>
        <v>5</v>
      </c>
      <c r="H14" s="10">
        <f t="shared" si="1"/>
        <v>6</v>
      </c>
      <c r="I14" s="39" t="s">
        <v>138</v>
      </c>
    </row>
    <row r="15" spans="1:9" x14ac:dyDescent="0.2">
      <c r="A15" s="15" t="s">
        <v>59</v>
      </c>
      <c r="B15" s="16" t="s">
        <v>60</v>
      </c>
      <c r="C15" s="17" t="s">
        <v>40</v>
      </c>
      <c r="D15" s="18">
        <v>0</v>
      </c>
      <c r="E15" s="18">
        <v>0</v>
      </c>
      <c r="F15" s="18">
        <v>0</v>
      </c>
      <c r="G15" s="19">
        <f t="shared" si="0"/>
        <v>0</v>
      </c>
      <c r="H15" s="10">
        <f t="shared" si="1"/>
        <v>1</v>
      </c>
      <c r="I15" s="39"/>
    </row>
    <row r="16" spans="1:9" ht="51" x14ac:dyDescent="0.2">
      <c r="A16" s="15" t="s">
        <v>61</v>
      </c>
      <c r="B16" s="16" t="s">
        <v>62</v>
      </c>
      <c r="C16" s="17" t="s">
        <v>63</v>
      </c>
      <c r="D16" s="18">
        <v>0.5</v>
      </c>
      <c r="E16" s="18">
        <v>0</v>
      </c>
      <c r="F16" s="18">
        <v>2</v>
      </c>
      <c r="G16" s="19">
        <f t="shared" si="0"/>
        <v>2.5</v>
      </c>
      <c r="H16" s="10">
        <f t="shared" si="1"/>
        <v>3.5</v>
      </c>
      <c r="I16" s="39" t="s">
        <v>141</v>
      </c>
    </row>
    <row r="17" spans="1:9" ht="34" x14ac:dyDescent="0.2">
      <c r="A17" s="15" t="s">
        <v>64</v>
      </c>
      <c r="B17" s="16" t="s">
        <v>65</v>
      </c>
      <c r="C17" s="17" t="s">
        <v>66</v>
      </c>
      <c r="D17" s="18">
        <v>1</v>
      </c>
      <c r="E17" s="18">
        <v>2</v>
      </c>
      <c r="F17" s="18">
        <v>2</v>
      </c>
      <c r="G17" s="19">
        <f t="shared" si="0"/>
        <v>5</v>
      </c>
      <c r="H17" s="10">
        <f t="shared" si="1"/>
        <v>6</v>
      </c>
      <c r="I17" s="39" t="s">
        <v>138</v>
      </c>
    </row>
    <row r="18" spans="1:9" ht="51" x14ac:dyDescent="0.2">
      <c r="A18" s="46" t="s">
        <v>67</v>
      </c>
      <c r="B18" s="47" t="s">
        <v>68</v>
      </c>
      <c r="C18" s="48" t="s">
        <v>69</v>
      </c>
      <c r="D18" s="18">
        <v>0.5</v>
      </c>
      <c r="E18" s="18">
        <v>0</v>
      </c>
      <c r="F18" s="18">
        <v>2</v>
      </c>
      <c r="G18" s="19">
        <f t="shared" si="0"/>
        <v>2.5</v>
      </c>
      <c r="H18" s="42">
        <f t="shared" si="1"/>
        <v>3.5</v>
      </c>
      <c r="I18" s="39" t="s">
        <v>141</v>
      </c>
    </row>
    <row r="19" spans="1:9" ht="17" x14ac:dyDescent="0.2">
      <c r="A19" s="15" t="s">
        <v>20</v>
      </c>
      <c r="B19" s="16" t="s">
        <v>21</v>
      </c>
      <c r="C19" s="17" t="s">
        <v>19</v>
      </c>
      <c r="D19" s="18">
        <v>2</v>
      </c>
      <c r="E19" s="18">
        <v>1</v>
      </c>
      <c r="F19" s="18">
        <v>2</v>
      </c>
      <c r="G19" s="19">
        <f t="shared" si="0"/>
        <v>5</v>
      </c>
      <c r="H19" s="10">
        <f t="shared" si="1"/>
        <v>6</v>
      </c>
      <c r="I19" s="39" t="s">
        <v>142</v>
      </c>
    </row>
    <row r="20" spans="1:9" ht="17" x14ac:dyDescent="0.2">
      <c r="A20" s="15" t="s">
        <v>60</v>
      </c>
      <c r="B20" s="16" t="s">
        <v>70</v>
      </c>
      <c r="C20" s="17" t="s">
        <v>71</v>
      </c>
      <c r="D20" s="18">
        <v>2</v>
      </c>
      <c r="E20" s="18">
        <v>1</v>
      </c>
      <c r="F20" s="18">
        <v>2</v>
      </c>
      <c r="G20" s="19">
        <f t="shared" si="0"/>
        <v>5</v>
      </c>
      <c r="H20" s="10">
        <f t="shared" si="1"/>
        <v>6</v>
      </c>
      <c r="I20" s="39" t="s">
        <v>142</v>
      </c>
    </row>
    <row r="21" spans="1:9" ht="51" x14ac:dyDescent="0.2">
      <c r="A21" s="40" t="s">
        <v>72</v>
      </c>
      <c r="B21" s="37" t="s">
        <v>73</v>
      </c>
      <c r="C21" s="41" t="s">
        <v>74</v>
      </c>
      <c r="D21" s="18">
        <v>1</v>
      </c>
      <c r="E21" s="18">
        <v>1</v>
      </c>
      <c r="F21" s="18">
        <v>0.5</v>
      </c>
      <c r="G21" s="19">
        <f t="shared" si="0"/>
        <v>2.5</v>
      </c>
      <c r="H21" s="10">
        <f t="shared" si="1"/>
        <v>3.5</v>
      </c>
      <c r="I21" s="39" t="s">
        <v>143</v>
      </c>
    </row>
    <row r="22" spans="1:9" ht="34" x14ac:dyDescent="0.2">
      <c r="A22" s="15" t="s">
        <v>75</v>
      </c>
      <c r="B22" s="16" t="s">
        <v>76</v>
      </c>
      <c r="C22" s="17" t="s">
        <v>80</v>
      </c>
      <c r="D22" s="18">
        <v>1</v>
      </c>
      <c r="E22" s="18">
        <v>1</v>
      </c>
      <c r="F22" s="18">
        <v>2</v>
      </c>
      <c r="G22" s="19">
        <f t="shared" si="0"/>
        <v>4</v>
      </c>
      <c r="H22" s="10">
        <f t="shared" si="1"/>
        <v>5</v>
      </c>
      <c r="I22" s="39" t="s">
        <v>140</v>
      </c>
    </row>
    <row r="23" spans="1:9" ht="34" x14ac:dyDescent="0.2">
      <c r="A23" s="15" t="s">
        <v>75</v>
      </c>
      <c r="B23" s="16" t="s">
        <v>76</v>
      </c>
      <c r="C23" s="17" t="s">
        <v>77</v>
      </c>
      <c r="D23" s="18">
        <v>1</v>
      </c>
      <c r="E23" s="18">
        <v>1</v>
      </c>
      <c r="F23" s="18">
        <v>2</v>
      </c>
      <c r="G23" s="19">
        <f t="shared" si="0"/>
        <v>4</v>
      </c>
      <c r="H23" s="10">
        <f t="shared" si="1"/>
        <v>5</v>
      </c>
      <c r="I23" s="39" t="s">
        <v>140</v>
      </c>
    </row>
    <row r="24" spans="1:9" ht="52" thickBot="1" x14ac:dyDescent="0.25">
      <c r="A24" s="20" t="s">
        <v>78</v>
      </c>
      <c r="B24" s="21" t="s">
        <v>36</v>
      </c>
      <c r="C24" s="22" t="s">
        <v>79</v>
      </c>
      <c r="D24" s="23">
        <v>0.5</v>
      </c>
      <c r="E24" s="23">
        <v>0</v>
      </c>
      <c r="F24" s="23">
        <v>2</v>
      </c>
      <c r="G24" s="24">
        <f t="shared" si="0"/>
        <v>2.5</v>
      </c>
      <c r="H24" s="25">
        <f t="shared" si="1"/>
        <v>3.5</v>
      </c>
      <c r="I24" s="99" t="s">
        <v>139</v>
      </c>
    </row>
  </sheetData>
  <conditionalFormatting sqref="H2:H24">
    <cfRule type="cellIs" dxfId="5" priority="1" operator="lessThan">
      <formula>4</formula>
    </cfRule>
    <cfRule type="cellIs" dxfId="4" priority="2" operator="greaterThanOrEqual">
      <formula>4</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C73-87A0-FF49-A80B-34939D4A107E}">
  <dimension ref="A1:Z32"/>
  <sheetViews>
    <sheetView zoomScale="99" workbookViewId="0">
      <selection activeCell="X18" sqref="X18"/>
    </sheetView>
  </sheetViews>
  <sheetFormatPr baseColWidth="10" defaultColWidth="15" defaultRowHeight="15" x14ac:dyDescent="0.2"/>
  <cols>
    <col min="1" max="1" width="14.83203125" bestFit="1" customWidth="1"/>
    <col min="2" max="2" width="16" bestFit="1" customWidth="1"/>
    <col min="3" max="3" width="9.1640625" bestFit="1" customWidth="1"/>
    <col min="4" max="23" width="3.6640625" bestFit="1" customWidth="1"/>
    <col min="24" max="24" width="8.1640625" bestFit="1" customWidth="1"/>
    <col min="25" max="25" width="6" bestFit="1" customWidth="1"/>
  </cols>
  <sheetData>
    <row r="1" spans="1:26" ht="17" thickBot="1" x14ac:dyDescent="0.25">
      <c r="A1" s="1" t="s">
        <v>0</v>
      </c>
      <c r="B1" s="2" t="s">
        <v>1</v>
      </c>
      <c r="C1" s="3" t="s">
        <v>2</v>
      </c>
      <c r="D1" s="2" t="s">
        <v>146</v>
      </c>
      <c r="E1" s="2" t="s">
        <v>147</v>
      </c>
      <c r="F1" s="2" t="s">
        <v>148</v>
      </c>
      <c r="G1" s="2" t="s">
        <v>149</v>
      </c>
      <c r="H1" s="2" t="s">
        <v>150</v>
      </c>
      <c r="I1" s="2" t="s">
        <v>151</v>
      </c>
      <c r="J1" s="2" t="s">
        <v>152</v>
      </c>
      <c r="K1" s="2" t="s">
        <v>153</v>
      </c>
      <c r="L1" s="2" t="s">
        <v>154</v>
      </c>
      <c r="M1" s="2" t="s">
        <v>155</v>
      </c>
      <c r="N1" s="2" t="s">
        <v>156</v>
      </c>
      <c r="O1" s="2" t="s">
        <v>157</v>
      </c>
      <c r="P1" s="2" t="s">
        <v>158</v>
      </c>
      <c r="Q1" s="2" t="s">
        <v>159</v>
      </c>
      <c r="R1" s="2" t="s">
        <v>160</v>
      </c>
      <c r="S1" s="2" t="s">
        <v>161</v>
      </c>
      <c r="T1" s="2" t="s">
        <v>162</v>
      </c>
      <c r="U1" s="2" t="s">
        <v>163</v>
      </c>
      <c r="V1" s="2" t="s">
        <v>164</v>
      </c>
      <c r="W1" s="2" t="s">
        <v>165</v>
      </c>
      <c r="X1" s="4" t="s">
        <v>6</v>
      </c>
      <c r="Y1" s="5" t="s">
        <v>7</v>
      </c>
      <c r="Z1" s="3"/>
    </row>
    <row r="2" spans="1:26" ht="17" thickTop="1" x14ac:dyDescent="0.2">
      <c r="A2" s="55" t="s">
        <v>28</v>
      </c>
      <c r="B2" s="56" t="s">
        <v>29</v>
      </c>
      <c r="C2" s="57" t="s">
        <v>30</v>
      </c>
      <c r="D2" s="53">
        <v>0</v>
      </c>
      <c r="E2" s="53">
        <v>0</v>
      </c>
      <c r="F2" s="53">
        <v>0</v>
      </c>
      <c r="G2" s="53">
        <v>0</v>
      </c>
      <c r="H2" s="53">
        <v>0</v>
      </c>
      <c r="I2" s="53">
        <v>0</v>
      </c>
      <c r="J2" s="53">
        <v>0</v>
      </c>
      <c r="K2" s="53">
        <v>0</v>
      </c>
      <c r="L2" s="53">
        <v>0</v>
      </c>
      <c r="M2" s="53">
        <v>0</v>
      </c>
      <c r="N2" s="53">
        <v>0</v>
      </c>
      <c r="O2" s="53">
        <v>0</v>
      </c>
      <c r="P2" s="53">
        <v>0</v>
      </c>
      <c r="Q2" s="53">
        <v>0</v>
      </c>
      <c r="R2" s="53">
        <v>0</v>
      </c>
      <c r="S2" s="53">
        <v>0</v>
      </c>
      <c r="T2" s="53">
        <v>0</v>
      </c>
      <c r="U2" s="53">
        <v>0</v>
      </c>
      <c r="V2" s="53">
        <v>0</v>
      </c>
      <c r="W2" s="53">
        <v>0</v>
      </c>
      <c r="X2" s="54">
        <f>ROUND(SUM(D2:W2),1)</f>
        <v>0</v>
      </c>
      <c r="Y2" s="58">
        <f>X2+1</f>
        <v>1</v>
      </c>
      <c r="Z2" s="59"/>
    </row>
    <row r="3" spans="1:26" ht="16" x14ac:dyDescent="0.2">
      <c r="A3" s="15" t="s">
        <v>31</v>
      </c>
      <c r="B3" s="16" t="s">
        <v>32</v>
      </c>
      <c r="C3" s="17" t="s">
        <v>33</v>
      </c>
      <c r="D3" s="18">
        <v>0</v>
      </c>
      <c r="E3" s="18">
        <v>0</v>
      </c>
      <c r="F3" s="18">
        <v>0</v>
      </c>
      <c r="G3" s="18">
        <v>0</v>
      </c>
      <c r="H3" s="18">
        <v>0</v>
      </c>
      <c r="I3" s="18">
        <v>0</v>
      </c>
      <c r="J3" s="18">
        <v>0</v>
      </c>
      <c r="K3" s="18">
        <v>0</v>
      </c>
      <c r="L3" s="18">
        <v>0</v>
      </c>
      <c r="M3" s="18">
        <v>0</v>
      </c>
      <c r="N3" s="18">
        <v>0</v>
      </c>
      <c r="O3" s="18">
        <v>0</v>
      </c>
      <c r="P3" s="18">
        <v>0</v>
      </c>
      <c r="Q3" s="18">
        <v>0</v>
      </c>
      <c r="R3" s="18">
        <v>0</v>
      </c>
      <c r="S3" s="18">
        <v>0</v>
      </c>
      <c r="T3" s="18">
        <v>0</v>
      </c>
      <c r="U3" s="18">
        <v>0</v>
      </c>
      <c r="V3" s="18">
        <v>0</v>
      </c>
      <c r="W3" s="18">
        <v>0</v>
      </c>
      <c r="X3" s="19">
        <f t="shared" ref="X3:X24" si="0">ROUND(SUM(D3:W3),1)</f>
        <v>0</v>
      </c>
      <c r="Y3" s="10">
        <f t="shared" ref="Y3:Y24" si="1">X3+1</f>
        <v>1</v>
      </c>
      <c r="Z3" s="39"/>
    </row>
    <row r="4" spans="1:26" ht="16" x14ac:dyDescent="0.2">
      <c r="A4" s="55" t="s">
        <v>22</v>
      </c>
      <c r="B4" s="56" t="s">
        <v>34</v>
      </c>
      <c r="C4" s="57" t="s">
        <v>23</v>
      </c>
      <c r="D4" s="53">
        <v>0</v>
      </c>
      <c r="E4" s="53">
        <v>0</v>
      </c>
      <c r="F4" s="53">
        <v>0</v>
      </c>
      <c r="G4" s="53">
        <v>0</v>
      </c>
      <c r="H4" s="53">
        <v>0</v>
      </c>
      <c r="I4" s="53">
        <v>0</v>
      </c>
      <c r="J4" s="53">
        <v>0</v>
      </c>
      <c r="K4" s="53">
        <v>0</v>
      </c>
      <c r="L4" s="53">
        <v>0</v>
      </c>
      <c r="M4" s="53">
        <v>0</v>
      </c>
      <c r="N4" s="53">
        <v>0</v>
      </c>
      <c r="O4" s="53">
        <v>0</v>
      </c>
      <c r="P4" s="53">
        <v>0</v>
      </c>
      <c r="Q4" s="53">
        <v>0</v>
      </c>
      <c r="R4" s="53">
        <v>0</v>
      </c>
      <c r="S4" s="53">
        <v>0</v>
      </c>
      <c r="T4" s="53">
        <v>0</v>
      </c>
      <c r="U4" s="53">
        <v>0</v>
      </c>
      <c r="V4" s="53">
        <v>0</v>
      </c>
      <c r="W4" s="53">
        <v>0</v>
      </c>
      <c r="X4" s="54">
        <f t="shared" si="0"/>
        <v>0</v>
      </c>
      <c r="Y4" s="58">
        <f t="shared" si="1"/>
        <v>1</v>
      </c>
      <c r="Z4" s="59"/>
    </row>
    <row r="5" spans="1:26" ht="16" x14ac:dyDescent="0.2">
      <c r="A5" s="15" t="s">
        <v>35</v>
      </c>
      <c r="B5" s="16" t="s">
        <v>36</v>
      </c>
      <c r="C5" s="17" t="s">
        <v>37</v>
      </c>
      <c r="D5" s="18">
        <v>0</v>
      </c>
      <c r="E5" s="18">
        <v>0</v>
      </c>
      <c r="F5" s="18">
        <v>0</v>
      </c>
      <c r="G5" s="18">
        <v>0</v>
      </c>
      <c r="H5" s="18">
        <v>0</v>
      </c>
      <c r="I5" s="18">
        <v>0</v>
      </c>
      <c r="J5" s="18">
        <v>0</v>
      </c>
      <c r="K5" s="18">
        <v>0</v>
      </c>
      <c r="L5" s="18">
        <v>0</v>
      </c>
      <c r="M5" s="18">
        <v>0</v>
      </c>
      <c r="N5" s="18">
        <v>0</v>
      </c>
      <c r="O5" s="18">
        <v>0</v>
      </c>
      <c r="P5" s="18">
        <v>0</v>
      </c>
      <c r="Q5" s="18">
        <v>0</v>
      </c>
      <c r="R5" s="18">
        <v>0</v>
      </c>
      <c r="S5" s="18">
        <v>0</v>
      </c>
      <c r="T5" s="18">
        <v>0</v>
      </c>
      <c r="U5" s="18">
        <v>0</v>
      </c>
      <c r="V5" s="18">
        <v>0</v>
      </c>
      <c r="W5" s="18">
        <v>0</v>
      </c>
      <c r="X5" s="19">
        <f t="shared" si="0"/>
        <v>0</v>
      </c>
      <c r="Y5" s="10">
        <f t="shared" si="1"/>
        <v>1</v>
      </c>
      <c r="Z5" s="39"/>
    </row>
    <row r="6" spans="1:26" ht="16" x14ac:dyDescent="0.2">
      <c r="A6" s="55" t="s">
        <v>38</v>
      </c>
      <c r="B6" s="56" t="s">
        <v>39</v>
      </c>
      <c r="C6" s="57" t="s">
        <v>40</v>
      </c>
      <c r="D6" s="53">
        <v>0</v>
      </c>
      <c r="E6" s="53">
        <v>0</v>
      </c>
      <c r="F6" s="53">
        <v>0</v>
      </c>
      <c r="G6" s="53">
        <v>0</v>
      </c>
      <c r="H6" s="53">
        <v>0</v>
      </c>
      <c r="I6" s="53">
        <v>0</v>
      </c>
      <c r="J6" s="53">
        <v>0</v>
      </c>
      <c r="K6" s="53">
        <v>0</v>
      </c>
      <c r="L6" s="53">
        <v>0</v>
      </c>
      <c r="M6" s="53">
        <v>0</v>
      </c>
      <c r="N6" s="53">
        <v>0</v>
      </c>
      <c r="O6" s="53">
        <v>0</v>
      </c>
      <c r="P6" s="53">
        <v>0</v>
      </c>
      <c r="Q6" s="53">
        <v>0</v>
      </c>
      <c r="R6" s="53">
        <v>0</v>
      </c>
      <c r="S6" s="53">
        <v>0</v>
      </c>
      <c r="T6" s="53">
        <v>0</v>
      </c>
      <c r="U6" s="53">
        <v>0</v>
      </c>
      <c r="V6" s="53">
        <v>0</v>
      </c>
      <c r="W6" s="53">
        <v>0</v>
      </c>
      <c r="X6" s="54">
        <f t="shared" si="0"/>
        <v>0</v>
      </c>
      <c r="Y6" s="58">
        <f t="shared" si="1"/>
        <v>1</v>
      </c>
      <c r="Z6" s="59"/>
    </row>
    <row r="7" spans="1:26" ht="16" x14ac:dyDescent="0.2">
      <c r="A7" s="15" t="s">
        <v>41</v>
      </c>
      <c r="B7" s="16" t="s">
        <v>42</v>
      </c>
      <c r="C7" s="17" t="s">
        <v>40</v>
      </c>
      <c r="D7" s="18">
        <v>0</v>
      </c>
      <c r="E7" s="18">
        <v>0</v>
      </c>
      <c r="F7" s="18">
        <v>0</v>
      </c>
      <c r="G7" s="18">
        <v>0</v>
      </c>
      <c r="H7" s="18">
        <v>0</v>
      </c>
      <c r="I7" s="18">
        <v>0</v>
      </c>
      <c r="J7" s="18">
        <v>0</v>
      </c>
      <c r="K7" s="18">
        <v>0</v>
      </c>
      <c r="L7" s="18">
        <v>0</v>
      </c>
      <c r="M7" s="18">
        <v>0</v>
      </c>
      <c r="N7" s="18">
        <v>0</v>
      </c>
      <c r="O7" s="18">
        <v>0</v>
      </c>
      <c r="P7" s="18">
        <v>0</v>
      </c>
      <c r="Q7" s="18">
        <v>0</v>
      </c>
      <c r="R7" s="18">
        <v>0</v>
      </c>
      <c r="S7" s="18">
        <v>0</v>
      </c>
      <c r="T7" s="18">
        <v>0</v>
      </c>
      <c r="U7" s="18">
        <v>0</v>
      </c>
      <c r="V7" s="18">
        <v>0</v>
      </c>
      <c r="W7" s="18">
        <v>0</v>
      </c>
      <c r="X7" s="19">
        <f t="shared" si="0"/>
        <v>0</v>
      </c>
      <c r="Y7" s="10">
        <f t="shared" si="1"/>
        <v>1</v>
      </c>
      <c r="Z7" s="39"/>
    </row>
    <row r="8" spans="1:26" ht="16" x14ac:dyDescent="0.2">
      <c r="A8" s="15" t="s">
        <v>43</v>
      </c>
      <c r="B8" s="16" t="s">
        <v>44</v>
      </c>
      <c r="C8" s="17" t="s">
        <v>45</v>
      </c>
      <c r="D8" s="18">
        <v>0</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0</v>
      </c>
      <c r="X8" s="19">
        <f t="shared" si="0"/>
        <v>0</v>
      </c>
      <c r="Y8" s="10">
        <f t="shared" si="1"/>
        <v>1</v>
      </c>
      <c r="Z8" s="39"/>
    </row>
    <row r="9" spans="1:26" ht="16" x14ac:dyDescent="0.2">
      <c r="A9" s="15" t="s">
        <v>46</v>
      </c>
      <c r="B9" s="16" t="s">
        <v>47</v>
      </c>
      <c r="C9" s="17" t="s">
        <v>18</v>
      </c>
      <c r="D9" s="18">
        <v>0.3</v>
      </c>
      <c r="E9" s="18">
        <v>0.3</v>
      </c>
      <c r="F9" s="18">
        <f>(0.3/6)*5</f>
        <v>0.24999999999999997</v>
      </c>
      <c r="G9" s="18">
        <v>0.1</v>
      </c>
      <c r="H9" s="18">
        <v>0.3</v>
      </c>
      <c r="I9" s="18">
        <v>0.1</v>
      </c>
      <c r="J9" s="18">
        <v>0</v>
      </c>
      <c r="K9" s="18">
        <v>0.1</v>
      </c>
      <c r="L9" s="18">
        <v>0.3</v>
      </c>
      <c r="M9" s="18">
        <v>0.1</v>
      </c>
      <c r="N9" s="18">
        <v>0.3</v>
      </c>
      <c r="O9" s="18">
        <v>0.3</v>
      </c>
      <c r="P9" s="18">
        <v>0.3</v>
      </c>
      <c r="Q9" s="18">
        <v>0</v>
      </c>
      <c r="R9" s="18">
        <v>0</v>
      </c>
      <c r="S9" s="18">
        <v>0</v>
      </c>
      <c r="T9" s="18">
        <v>0</v>
      </c>
      <c r="U9" s="18">
        <v>0.3</v>
      </c>
      <c r="V9" s="18">
        <v>0.3</v>
      </c>
      <c r="W9" s="18">
        <v>0.3</v>
      </c>
      <c r="X9" s="19">
        <f t="shared" si="0"/>
        <v>3.7</v>
      </c>
      <c r="Y9" s="10">
        <f t="shared" si="1"/>
        <v>4.7</v>
      </c>
      <c r="Z9" s="39"/>
    </row>
    <row r="10" spans="1:26" ht="16" x14ac:dyDescent="0.2">
      <c r="A10" s="15" t="s">
        <v>17</v>
      </c>
      <c r="B10" s="16" t="s">
        <v>46</v>
      </c>
      <c r="C10" s="17" t="s">
        <v>48</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9">
        <f t="shared" si="0"/>
        <v>0</v>
      </c>
      <c r="Y10" s="105">
        <f t="shared" si="1"/>
        <v>1</v>
      </c>
      <c r="Z10" s="39"/>
    </row>
    <row r="11" spans="1:26" ht="16" x14ac:dyDescent="0.2">
      <c r="A11" s="15" t="s">
        <v>49</v>
      </c>
      <c r="B11" s="16" t="s">
        <v>50</v>
      </c>
      <c r="C11" s="17" t="s">
        <v>51</v>
      </c>
      <c r="D11" s="18">
        <v>0</v>
      </c>
      <c r="E11" s="18">
        <v>0</v>
      </c>
      <c r="F11" s="18">
        <v>0</v>
      </c>
      <c r="G11" s="18">
        <v>0</v>
      </c>
      <c r="H11" s="18">
        <v>0</v>
      </c>
      <c r="I11" s="18">
        <v>0</v>
      </c>
      <c r="J11" s="18">
        <v>0</v>
      </c>
      <c r="K11" s="18">
        <v>0</v>
      </c>
      <c r="L11" s="18">
        <v>0</v>
      </c>
      <c r="M11" s="18">
        <v>0</v>
      </c>
      <c r="N11" s="18">
        <v>0</v>
      </c>
      <c r="O11" s="18">
        <v>0</v>
      </c>
      <c r="P11" s="18">
        <v>0</v>
      </c>
      <c r="Q11" s="18">
        <v>0</v>
      </c>
      <c r="R11" s="18">
        <v>0</v>
      </c>
      <c r="S11" s="18">
        <v>0</v>
      </c>
      <c r="T11" s="18">
        <v>0</v>
      </c>
      <c r="U11" s="18">
        <v>0</v>
      </c>
      <c r="V11" s="18">
        <v>0</v>
      </c>
      <c r="W11" s="18">
        <v>0</v>
      </c>
      <c r="X11" s="19">
        <f t="shared" si="0"/>
        <v>0</v>
      </c>
      <c r="Y11" s="10">
        <f t="shared" si="1"/>
        <v>1</v>
      </c>
      <c r="Z11" s="39"/>
    </row>
    <row r="12" spans="1:26" ht="16" x14ac:dyDescent="0.2">
      <c r="A12" s="15" t="s">
        <v>29</v>
      </c>
      <c r="B12" s="16" t="s">
        <v>52</v>
      </c>
      <c r="C12" s="17" t="s">
        <v>53</v>
      </c>
      <c r="D12" s="18">
        <v>0</v>
      </c>
      <c r="E12" s="18">
        <v>0</v>
      </c>
      <c r="F12" s="18">
        <v>0</v>
      </c>
      <c r="G12" s="18">
        <v>0</v>
      </c>
      <c r="H12" s="18">
        <v>0</v>
      </c>
      <c r="I12" s="18">
        <v>0</v>
      </c>
      <c r="J12" s="18">
        <v>0</v>
      </c>
      <c r="K12" s="18">
        <v>0</v>
      </c>
      <c r="L12" s="18">
        <v>0</v>
      </c>
      <c r="M12" s="18">
        <v>0</v>
      </c>
      <c r="N12" s="18">
        <v>0</v>
      </c>
      <c r="O12" s="18">
        <v>0</v>
      </c>
      <c r="P12" s="18">
        <v>0</v>
      </c>
      <c r="Q12" s="18">
        <v>0</v>
      </c>
      <c r="R12" s="18">
        <v>0</v>
      </c>
      <c r="S12" s="18">
        <v>0</v>
      </c>
      <c r="T12" s="18">
        <v>0</v>
      </c>
      <c r="U12" s="18">
        <v>0</v>
      </c>
      <c r="V12" s="18">
        <v>0</v>
      </c>
      <c r="W12" s="18">
        <v>0</v>
      </c>
      <c r="X12" s="19">
        <f t="shared" si="0"/>
        <v>0</v>
      </c>
      <c r="Y12" s="10">
        <f t="shared" si="1"/>
        <v>1</v>
      </c>
      <c r="Z12" s="39"/>
    </row>
    <row r="13" spans="1:26" ht="16" x14ac:dyDescent="0.2">
      <c r="A13" s="15" t="s">
        <v>29</v>
      </c>
      <c r="B13" s="16" t="s">
        <v>54</v>
      </c>
      <c r="C13" s="17" t="s">
        <v>55</v>
      </c>
      <c r="D13" s="18">
        <v>0.3</v>
      </c>
      <c r="E13" s="18">
        <v>0.3</v>
      </c>
      <c r="F13" s="18">
        <f>(0.3/6)*4</f>
        <v>0.19999999999999998</v>
      </c>
      <c r="G13" s="18">
        <v>0.1</v>
      </c>
      <c r="H13" s="18">
        <v>0.3</v>
      </c>
      <c r="I13" s="18">
        <v>0.1</v>
      </c>
      <c r="J13" s="18">
        <v>0</v>
      </c>
      <c r="K13" s="18">
        <v>0.1</v>
      </c>
      <c r="L13" s="18">
        <v>0.3</v>
      </c>
      <c r="M13" s="18">
        <v>0.1</v>
      </c>
      <c r="N13" s="18">
        <v>0.3</v>
      </c>
      <c r="O13" s="18">
        <v>0.3</v>
      </c>
      <c r="P13" s="18">
        <v>0.3</v>
      </c>
      <c r="Q13" s="18">
        <v>0</v>
      </c>
      <c r="R13" s="18">
        <v>0.3</v>
      </c>
      <c r="S13" s="18">
        <v>0</v>
      </c>
      <c r="T13" s="18">
        <v>0</v>
      </c>
      <c r="U13" s="18">
        <v>0.3</v>
      </c>
      <c r="V13" s="18">
        <v>0.3</v>
      </c>
      <c r="W13" s="18">
        <v>0.3</v>
      </c>
      <c r="X13" s="19">
        <f t="shared" si="0"/>
        <v>3.9</v>
      </c>
      <c r="Y13" s="10">
        <f t="shared" si="1"/>
        <v>4.9000000000000004</v>
      </c>
      <c r="Z13" s="39"/>
    </row>
    <row r="14" spans="1:26" ht="16" x14ac:dyDescent="0.2">
      <c r="A14" s="15" t="s">
        <v>56</v>
      </c>
      <c r="B14" s="16" t="s">
        <v>57</v>
      </c>
      <c r="C14" s="17" t="s">
        <v>58</v>
      </c>
      <c r="D14" s="18">
        <v>0</v>
      </c>
      <c r="E14" s="18">
        <v>0</v>
      </c>
      <c r="F14" s="18">
        <v>0</v>
      </c>
      <c r="G14" s="18">
        <v>0</v>
      </c>
      <c r="H14" s="18">
        <v>0</v>
      </c>
      <c r="I14" s="18">
        <v>0</v>
      </c>
      <c r="J14" s="18">
        <v>0</v>
      </c>
      <c r="K14" s="18">
        <v>0</v>
      </c>
      <c r="L14" s="18">
        <v>0</v>
      </c>
      <c r="M14" s="18">
        <v>0</v>
      </c>
      <c r="N14" s="18">
        <v>0</v>
      </c>
      <c r="O14" s="18">
        <v>0</v>
      </c>
      <c r="P14" s="18">
        <v>0</v>
      </c>
      <c r="Q14" s="18">
        <v>0</v>
      </c>
      <c r="R14" s="18">
        <v>0</v>
      </c>
      <c r="S14" s="18">
        <v>0</v>
      </c>
      <c r="T14" s="18">
        <v>0</v>
      </c>
      <c r="U14" s="18">
        <v>0</v>
      </c>
      <c r="V14" s="18">
        <v>0</v>
      </c>
      <c r="W14" s="18">
        <v>0</v>
      </c>
      <c r="X14" s="19">
        <f t="shared" si="0"/>
        <v>0</v>
      </c>
      <c r="Y14" s="10">
        <f t="shared" si="1"/>
        <v>1</v>
      </c>
      <c r="Z14" s="39"/>
    </row>
    <row r="15" spans="1:26" ht="16" x14ac:dyDescent="0.2">
      <c r="A15" s="15" t="s">
        <v>59</v>
      </c>
      <c r="B15" s="16" t="s">
        <v>60</v>
      </c>
      <c r="C15" s="17" t="s">
        <v>40</v>
      </c>
      <c r="D15" s="18">
        <v>0</v>
      </c>
      <c r="E15" s="18">
        <v>0</v>
      </c>
      <c r="F15" s="18">
        <v>0</v>
      </c>
      <c r="G15" s="18">
        <v>0</v>
      </c>
      <c r="H15" s="18">
        <v>0</v>
      </c>
      <c r="I15" s="18">
        <v>0</v>
      </c>
      <c r="J15" s="18">
        <v>0</v>
      </c>
      <c r="K15" s="18">
        <v>0</v>
      </c>
      <c r="L15" s="18">
        <v>0</v>
      </c>
      <c r="M15" s="18">
        <v>0</v>
      </c>
      <c r="N15" s="18">
        <v>0</v>
      </c>
      <c r="O15" s="18">
        <v>0</v>
      </c>
      <c r="P15" s="18">
        <v>0</v>
      </c>
      <c r="Q15" s="18">
        <v>0</v>
      </c>
      <c r="R15" s="18">
        <v>0</v>
      </c>
      <c r="S15" s="18">
        <v>0</v>
      </c>
      <c r="T15" s="18">
        <v>0</v>
      </c>
      <c r="U15" s="18">
        <v>0</v>
      </c>
      <c r="V15" s="18">
        <v>0</v>
      </c>
      <c r="W15" s="18">
        <v>0</v>
      </c>
      <c r="X15" s="19">
        <f t="shared" si="0"/>
        <v>0</v>
      </c>
      <c r="Y15" s="10">
        <f t="shared" si="1"/>
        <v>1</v>
      </c>
      <c r="Z15" s="39"/>
    </row>
    <row r="16" spans="1:26" ht="16" x14ac:dyDescent="0.2">
      <c r="A16" s="15" t="s">
        <v>61</v>
      </c>
      <c r="B16" s="16" t="s">
        <v>62</v>
      </c>
      <c r="C16" s="17" t="s">
        <v>63</v>
      </c>
      <c r="D16" s="18">
        <v>0.3</v>
      </c>
      <c r="E16" s="18">
        <v>0.3</v>
      </c>
      <c r="F16" s="18">
        <f>(0.3/6)*4</f>
        <v>0.19999999999999998</v>
      </c>
      <c r="G16" s="18">
        <v>0.1</v>
      </c>
      <c r="H16" s="18">
        <v>0.3</v>
      </c>
      <c r="I16" s="18">
        <v>0.1</v>
      </c>
      <c r="J16" s="18">
        <v>0</v>
      </c>
      <c r="K16" s="18">
        <v>0.1</v>
      </c>
      <c r="L16" s="18">
        <v>0.3</v>
      </c>
      <c r="M16" s="18">
        <v>0.1</v>
      </c>
      <c r="N16" s="18">
        <v>0.3</v>
      </c>
      <c r="O16" s="18">
        <v>0.3</v>
      </c>
      <c r="P16" s="18">
        <v>0.3</v>
      </c>
      <c r="Q16" s="18">
        <v>0</v>
      </c>
      <c r="R16" s="18">
        <v>0</v>
      </c>
      <c r="S16" s="18">
        <v>0</v>
      </c>
      <c r="T16" s="18">
        <v>0</v>
      </c>
      <c r="U16" s="18">
        <v>0.3</v>
      </c>
      <c r="V16" s="18">
        <v>0</v>
      </c>
      <c r="W16" s="18">
        <v>0.3</v>
      </c>
      <c r="X16" s="19">
        <f t="shared" si="0"/>
        <v>3.3</v>
      </c>
      <c r="Y16" s="10">
        <f t="shared" si="1"/>
        <v>4.3</v>
      </c>
      <c r="Z16" s="39"/>
    </row>
    <row r="17" spans="1:26" ht="16" x14ac:dyDescent="0.2">
      <c r="A17" s="15" t="s">
        <v>64</v>
      </c>
      <c r="B17" s="16" t="s">
        <v>65</v>
      </c>
      <c r="C17" s="17" t="s">
        <v>66</v>
      </c>
      <c r="D17" s="18">
        <v>0</v>
      </c>
      <c r="E17" s="18">
        <v>0</v>
      </c>
      <c r="F17" s="18">
        <v>0</v>
      </c>
      <c r="G17" s="18">
        <v>0</v>
      </c>
      <c r="H17" s="18">
        <v>0</v>
      </c>
      <c r="I17" s="18">
        <v>0</v>
      </c>
      <c r="J17" s="18">
        <v>0</v>
      </c>
      <c r="K17" s="18">
        <v>0</v>
      </c>
      <c r="L17" s="18">
        <v>0</v>
      </c>
      <c r="M17" s="18">
        <v>0</v>
      </c>
      <c r="N17" s="18">
        <v>0</v>
      </c>
      <c r="O17" s="18">
        <v>0</v>
      </c>
      <c r="P17" s="18">
        <v>0</v>
      </c>
      <c r="Q17" s="18">
        <v>0</v>
      </c>
      <c r="R17" s="18">
        <v>0</v>
      </c>
      <c r="S17" s="18">
        <v>0</v>
      </c>
      <c r="T17" s="18">
        <v>0</v>
      </c>
      <c r="U17" s="18">
        <v>0</v>
      </c>
      <c r="V17" s="18">
        <v>0</v>
      </c>
      <c r="W17" s="18">
        <v>0</v>
      </c>
      <c r="X17" s="19">
        <f t="shared" si="0"/>
        <v>0</v>
      </c>
      <c r="Y17" s="10">
        <f t="shared" si="1"/>
        <v>1</v>
      </c>
      <c r="Z17" s="39"/>
    </row>
    <row r="18" spans="1:26" ht="16" x14ac:dyDescent="0.2">
      <c r="A18" s="46" t="s">
        <v>67</v>
      </c>
      <c r="B18" s="47" t="s">
        <v>68</v>
      </c>
      <c r="C18" s="48" t="s">
        <v>69</v>
      </c>
      <c r="D18" s="18">
        <v>0.3</v>
      </c>
      <c r="E18" s="18">
        <v>0.3</v>
      </c>
      <c r="F18" s="18">
        <f>(0.3/6)*4</f>
        <v>0.19999999999999998</v>
      </c>
      <c r="G18" s="18">
        <v>0.1</v>
      </c>
      <c r="H18" s="18">
        <v>0.3</v>
      </c>
      <c r="I18" s="18">
        <v>0.1</v>
      </c>
      <c r="J18" s="18">
        <v>0</v>
      </c>
      <c r="K18" s="18">
        <v>0.1</v>
      </c>
      <c r="L18" s="18">
        <v>0.3</v>
      </c>
      <c r="M18" s="18">
        <v>0.1</v>
      </c>
      <c r="N18" s="18">
        <v>0.3</v>
      </c>
      <c r="O18" s="18">
        <v>0.3</v>
      </c>
      <c r="P18" s="18">
        <v>0.3</v>
      </c>
      <c r="Q18" s="18">
        <v>0</v>
      </c>
      <c r="R18" s="18">
        <v>0</v>
      </c>
      <c r="S18" s="18">
        <v>0</v>
      </c>
      <c r="T18" s="18">
        <v>0</v>
      </c>
      <c r="U18" s="18">
        <v>0.3</v>
      </c>
      <c r="V18" s="18">
        <v>0.3</v>
      </c>
      <c r="W18" s="18">
        <v>0.3</v>
      </c>
      <c r="X18" s="19">
        <f t="shared" si="0"/>
        <v>3.6</v>
      </c>
      <c r="Y18" s="42">
        <f t="shared" si="1"/>
        <v>4.5999999999999996</v>
      </c>
      <c r="Z18" s="39"/>
    </row>
    <row r="19" spans="1:26" ht="16" x14ac:dyDescent="0.2">
      <c r="A19" s="15" t="s">
        <v>20</v>
      </c>
      <c r="B19" s="16" t="s">
        <v>21</v>
      </c>
      <c r="C19" s="17" t="s">
        <v>19</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X19" s="19">
        <f t="shared" si="0"/>
        <v>0</v>
      </c>
      <c r="Y19" s="10">
        <f t="shared" si="1"/>
        <v>1</v>
      </c>
      <c r="Z19" s="39"/>
    </row>
    <row r="20" spans="1:26" ht="16" x14ac:dyDescent="0.2">
      <c r="A20" s="15" t="s">
        <v>60</v>
      </c>
      <c r="B20" s="16" t="s">
        <v>70</v>
      </c>
      <c r="C20" s="17" t="s">
        <v>71</v>
      </c>
      <c r="D20" s="18">
        <v>0</v>
      </c>
      <c r="E20" s="18">
        <v>0</v>
      </c>
      <c r="F20" s="18">
        <v>0</v>
      </c>
      <c r="G20" s="18">
        <v>0</v>
      </c>
      <c r="H20" s="18">
        <v>0</v>
      </c>
      <c r="I20" s="18">
        <v>0</v>
      </c>
      <c r="J20" s="18">
        <v>0</v>
      </c>
      <c r="K20" s="18">
        <v>0</v>
      </c>
      <c r="L20" s="18">
        <v>0</v>
      </c>
      <c r="M20" s="18">
        <v>0</v>
      </c>
      <c r="N20" s="18">
        <v>0</v>
      </c>
      <c r="O20" s="18">
        <v>0</v>
      </c>
      <c r="P20" s="18">
        <v>0</v>
      </c>
      <c r="Q20" s="18">
        <v>0</v>
      </c>
      <c r="R20" s="18">
        <v>0</v>
      </c>
      <c r="S20" s="18">
        <v>0</v>
      </c>
      <c r="T20" s="18">
        <v>0</v>
      </c>
      <c r="U20" s="18">
        <v>0</v>
      </c>
      <c r="V20" s="18">
        <v>0</v>
      </c>
      <c r="W20" s="18">
        <v>0</v>
      </c>
      <c r="X20" s="19">
        <f t="shared" si="0"/>
        <v>0</v>
      </c>
      <c r="Y20" s="10">
        <f t="shared" si="1"/>
        <v>1</v>
      </c>
      <c r="Z20" s="39"/>
    </row>
    <row r="21" spans="1:26" ht="16" x14ac:dyDescent="0.2">
      <c r="A21" s="40" t="s">
        <v>72</v>
      </c>
      <c r="B21" s="37" t="s">
        <v>73</v>
      </c>
      <c r="C21" s="41" t="s">
        <v>74</v>
      </c>
      <c r="D21" s="18">
        <v>0</v>
      </c>
      <c r="E21" s="18">
        <v>0</v>
      </c>
      <c r="F21" s="18">
        <v>0</v>
      </c>
      <c r="G21" s="18">
        <v>0</v>
      </c>
      <c r="H21" s="18">
        <v>0</v>
      </c>
      <c r="I21" s="18">
        <v>0</v>
      </c>
      <c r="J21" s="18">
        <v>0</v>
      </c>
      <c r="K21" s="18">
        <v>0</v>
      </c>
      <c r="L21" s="18">
        <v>0</v>
      </c>
      <c r="M21" s="18">
        <v>0</v>
      </c>
      <c r="N21" s="18">
        <v>0</v>
      </c>
      <c r="O21" s="18">
        <v>0</v>
      </c>
      <c r="P21" s="18">
        <v>0</v>
      </c>
      <c r="Q21" s="18">
        <v>0</v>
      </c>
      <c r="R21" s="18">
        <v>0</v>
      </c>
      <c r="S21" s="18">
        <v>0</v>
      </c>
      <c r="T21" s="18">
        <v>0</v>
      </c>
      <c r="U21" s="18">
        <v>0</v>
      </c>
      <c r="V21" s="18">
        <v>0</v>
      </c>
      <c r="W21" s="18">
        <v>0</v>
      </c>
      <c r="X21" s="19">
        <f t="shared" si="0"/>
        <v>0</v>
      </c>
      <c r="Y21" s="10">
        <f t="shared" si="1"/>
        <v>1</v>
      </c>
      <c r="Z21" s="39"/>
    </row>
    <row r="22" spans="1:26" ht="16" x14ac:dyDescent="0.2">
      <c r="A22" s="15" t="s">
        <v>75</v>
      </c>
      <c r="B22" s="16" t="s">
        <v>76</v>
      </c>
      <c r="C22" s="17" t="s">
        <v>80</v>
      </c>
      <c r="D22" s="18">
        <v>0</v>
      </c>
      <c r="E22" s="18">
        <v>0</v>
      </c>
      <c r="F22" s="18">
        <v>0</v>
      </c>
      <c r="G22" s="18">
        <v>0</v>
      </c>
      <c r="H22" s="18">
        <v>0</v>
      </c>
      <c r="I22" s="18">
        <v>0</v>
      </c>
      <c r="J22" s="18">
        <v>0</v>
      </c>
      <c r="K22" s="18">
        <v>0</v>
      </c>
      <c r="L22" s="18">
        <v>0</v>
      </c>
      <c r="M22" s="18">
        <v>0</v>
      </c>
      <c r="N22" s="18">
        <v>0</v>
      </c>
      <c r="O22" s="18">
        <v>0</v>
      </c>
      <c r="P22" s="18">
        <v>0</v>
      </c>
      <c r="Q22" s="18">
        <v>0</v>
      </c>
      <c r="R22" s="18">
        <v>0</v>
      </c>
      <c r="S22" s="18">
        <v>0</v>
      </c>
      <c r="T22" s="18">
        <v>0</v>
      </c>
      <c r="U22" s="18">
        <v>0</v>
      </c>
      <c r="V22" s="18">
        <v>0</v>
      </c>
      <c r="W22" s="18">
        <v>0</v>
      </c>
      <c r="X22" s="19">
        <f t="shared" si="0"/>
        <v>0</v>
      </c>
      <c r="Y22" s="10">
        <f t="shared" si="1"/>
        <v>1</v>
      </c>
      <c r="Z22" s="39"/>
    </row>
    <row r="23" spans="1:26" ht="16" x14ac:dyDescent="0.2">
      <c r="A23" s="15" t="s">
        <v>75</v>
      </c>
      <c r="B23" s="16" t="s">
        <v>76</v>
      </c>
      <c r="C23" s="17" t="s">
        <v>77</v>
      </c>
      <c r="D23" s="18">
        <v>0</v>
      </c>
      <c r="E23" s="18">
        <v>0</v>
      </c>
      <c r="F23" s="18">
        <v>0</v>
      </c>
      <c r="G23" s="18">
        <v>0</v>
      </c>
      <c r="H23" s="18">
        <v>0</v>
      </c>
      <c r="I23" s="18">
        <v>0</v>
      </c>
      <c r="J23" s="18">
        <v>0</v>
      </c>
      <c r="K23" s="18">
        <v>0</v>
      </c>
      <c r="L23" s="18">
        <v>0</v>
      </c>
      <c r="M23" s="18">
        <v>0</v>
      </c>
      <c r="N23" s="18">
        <v>0</v>
      </c>
      <c r="O23" s="18">
        <v>0</v>
      </c>
      <c r="P23" s="18">
        <v>0</v>
      </c>
      <c r="Q23" s="18">
        <v>0</v>
      </c>
      <c r="R23" s="18">
        <v>0</v>
      </c>
      <c r="S23" s="18">
        <v>0</v>
      </c>
      <c r="T23" s="18">
        <v>0</v>
      </c>
      <c r="U23" s="18">
        <v>0</v>
      </c>
      <c r="V23" s="18">
        <v>0</v>
      </c>
      <c r="W23" s="18">
        <v>0</v>
      </c>
      <c r="X23" s="19">
        <f t="shared" si="0"/>
        <v>0</v>
      </c>
      <c r="Y23" s="10">
        <f t="shared" si="1"/>
        <v>1</v>
      </c>
      <c r="Z23" s="39"/>
    </row>
    <row r="24" spans="1:26" ht="17" thickBot="1" x14ac:dyDescent="0.25">
      <c r="A24" s="20" t="s">
        <v>78</v>
      </c>
      <c r="B24" s="21" t="s">
        <v>36</v>
      </c>
      <c r="C24" s="22" t="s">
        <v>79</v>
      </c>
      <c r="D24" s="23">
        <v>0</v>
      </c>
      <c r="E24" s="23">
        <v>0</v>
      </c>
      <c r="F24" s="23">
        <v>0</v>
      </c>
      <c r="G24" s="23">
        <v>0</v>
      </c>
      <c r="H24" s="23">
        <v>0</v>
      </c>
      <c r="I24" s="23">
        <v>0</v>
      </c>
      <c r="J24" s="23">
        <v>0</v>
      </c>
      <c r="K24" s="23">
        <v>0</v>
      </c>
      <c r="L24" s="23">
        <v>0</v>
      </c>
      <c r="M24" s="23">
        <v>0</v>
      </c>
      <c r="N24" s="23">
        <v>0</v>
      </c>
      <c r="O24" s="23">
        <v>0</v>
      </c>
      <c r="P24" s="23">
        <v>0</v>
      </c>
      <c r="Q24" s="23">
        <v>0</v>
      </c>
      <c r="R24" s="23">
        <v>0</v>
      </c>
      <c r="S24" s="23">
        <v>0</v>
      </c>
      <c r="T24" s="23">
        <v>0</v>
      </c>
      <c r="U24" s="23">
        <v>0</v>
      </c>
      <c r="V24" s="23">
        <v>0</v>
      </c>
      <c r="W24" s="23">
        <v>0</v>
      </c>
      <c r="X24" s="24">
        <f t="shared" si="0"/>
        <v>0</v>
      </c>
      <c r="Y24" s="25">
        <f t="shared" si="1"/>
        <v>1</v>
      </c>
      <c r="Z24" s="99"/>
    </row>
    <row r="32" spans="1:26" x14ac:dyDescent="0.2">
      <c r="J32" s="106"/>
    </row>
  </sheetData>
  <conditionalFormatting sqref="Y2:Y24">
    <cfRule type="cellIs" dxfId="3" priority="1" operator="lessThan">
      <formula>4</formula>
    </cfRule>
    <cfRule type="cellIs" dxfId="2" priority="2" operator="greaterThanOrEqual">
      <formula>4</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CC85F-25A2-F34A-AF99-50A7B52917A5}">
  <dimension ref="A1:N28"/>
  <sheetViews>
    <sheetView tabSelected="1" zoomScale="163" workbookViewId="0">
      <selection activeCell="M18" sqref="M18"/>
    </sheetView>
  </sheetViews>
  <sheetFormatPr baseColWidth="10" defaultRowHeight="15" x14ac:dyDescent="0.2"/>
  <cols>
    <col min="1" max="1" width="14.6640625" bestFit="1" customWidth="1"/>
    <col min="2" max="2" width="15.83203125" bestFit="1" customWidth="1"/>
    <col min="3" max="3" width="9" bestFit="1" customWidth="1"/>
    <col min="4" max="10" width="3.6640625" bestFit="1" customWidth="1"/>
    <col min="11" max="11" width="3.5" bestFit="1" customWidth="1"/>
    <col min="12" max="13" width="3.5" customWidth="1"/>
    <col min="14" max="14" width="136.5" bestFit="1" customWidth="1"/>
  </cols>
  <sheetData>
    <row r="1" spans="1:14" ht="17" thickBot="1" x14ac:dyDescent="0.25">
      <c r="A1" s="1" t="s">
        <v>0</v>
      </c>
      <c r="B1" s="2" t="s">
        <v>1</v>
      </c>
      <c r="C1" s="3" t="s">
        <v>2</v>
      </c>
      <c r="D1" s="74" t="s">
        <v>126</v>
      </c>
      <c r="E1" s="75" t="s">
        <v>127</v>
      </c>
      <c r="F1" s="75" t="s">
        <v>128</v>
      </c>
      <c r="G1" s="75" t="s">
        <v>129</v>
      </c>
      <c r="H1" s="73" t="s">
        <v>130</v>
      </c>
      <c r="I1" s="75" t="s">
        <v>131</v>
      </c>
      <c r="J1" s="75" t="s">
        <v>132</v>
      </c>
      <c r="K1" s="73" t="s">
        <v>133</v>
      </c>
      <c r="L1" s="73" t="s">
        <v>166</v>
      </c>
      <c r="M1" s="73" t="s">
        <v>167</v>
      </c>
    </row>
    <row r="2" spans="1:14" s="82" customFormat="1" ht="17" thickTop="1" x14ac:dyDescent="0.2">
      <c r="A2" s="55" t="s">
        <v>28</v>
      </c>
      <c r="B2" s="56" t="s">
        <v>29</v>
      </c>
      <c r="C2" s="57" t="s">
        <v>30</v>
      </c>
      <c r="D2" s="80">
        <f>Control1!H2</f>
        <v>1</v>
      </c>
      <c r="E2" s="81">
        <f>Control2!H2</f>
        <v>1</v>
      </c>
      <c r="F2" s="81">
        <f>'Control 3'!F2</f>
        <v>1</v>
      </c>
      <c r="G2" s="81">
        <f>'Control 4'!F2</f>
        <v>1</v>
      </c>
      <c r="H2" s="58">
        <f>ROUND(AVERAGE(D2:G2),1)</f>
        <v>1</v>
      </c>
      <c r="I2" s="81">
        <f>Solemne1!H2</f>
        <v>1</v>
      </c>
      <c r="J2" s="81">
        <f>'Solemne 2'!H2</f>
        <v>1</v>
      </c>
      <c r="K2" s="58">
        <f>ROUND(H2*0.3+I2*0.35+J2*0.35,1)</f>
        <v>1</v>
      </c>
      <c r="L2" s="58">
        <f>IF(K2&lt;5,Examen!Y2,"-")</f>
        <v>1</v>
      </c>
      <c r="M2" s="58">
        <f>IF(K2&lt;5, ROUND(K2*0.7+L2*0.3,1),K2)</f>
        <v>1</v>
      </c>
    </row>
    <row r="3" spans="1:14" ht="16" x14ac:dyDescent="0.2">
      <c r="A3" s="15" t="s">
        <v>31</v>
      </c>
      <c r="B3" s="16" t="s">
        <v>32</v>
      </c>
      <c r="C3" s="17" t="s">
        <v>33</v>
      </c>
      <c r="D3" s="76">
        <f>Control1!H3</f>
        <v>6</v>
      </c>
      <c r="E3" s="77">
        <f>Control2!H3</f>
        <v>3.7</v>
      </c>
      <c r="F3" s="77">
        <f>'Control 3'!F3</f>
        <v>7</v>
      </c>
      <c r="G3" s="77">
        <f>'Control 4'!F3</f>
        <v>7</v>
      </c>
      <c r="H3" s="10">
        <f>ROUND(AVERAGE(D3:G3),1)</f>
        <v>5.9</v>
      </c>
      <c r="I3" s="93">
        <f>Solemne1!H3</f>
        <v>1</v>
      </c>
      <c r="J3" s="77">
        <f>'Solemne 2'!H3</f>
        <v>6</v>
      </c>
      <c r="K3" s="10">
        <f t="shared" ref="K3:K24" si="0">ROUND(H3*0.3+I3*0.35+J3*0.35,1)</f>
        <v>4.2</v>
      </c>
      <c r="L3" s="10">
        <f>IF(K3&lt;5,Examen!Y3,"-")</f>
        <v>1</v>
      </c>
      <c r="M3" s="10">
        <f t="shared" ref="M3:M24" si="1">IF(K3&lt;5, ROUND(K3*0.7+L3*0.3,1),K3)</f>
        <v>3.2</v>
      </c>
    </row>
    <row r="4" spans="1:14" s="82" customFormat="1" ht="16" x14ac:dyDescent="0.2">
      <c r="A4" s="55" t="s">
        <v>22</v>
      </c>
      <c r="B4" s="56" t="s">
        <v>34</v>
      </c>
      <c r="C4" s="57" t="s">
        <v>23</v>
      </c>
      <c r="D4" s="80">
        <f>Control1!H4</f>
        <v>1</v>
      </c>
      <c r="E4" s="81">
        <f>Control2!H4</f>
        <v>1</v>
      </c>
      <c r="F4" s="81">
        <f>'Control 3'!F4</f>
        <v>1</v>
      </c>
      <c r="G4" s="81">
        <f>'Control 4'!F4</f>
        <v>1</v>
      </c>
      <c r="H4" s="58">
        <f t="shared" ref="H4:H24" si="2">ROUND(AVERAGE(D4:G4),1)</f>
        <v>1</v>
      </c>
      <c r="I4" s="81">
        <f>Solemne1!H4</f>
        <v>1</v>
      </c>
      <c r="J4" s="81">
        <f>'Solemne 2'!H4</f>
        <v>1</v>
      </c>
      <c r="K4" s="58">
        <f t="shared" si="0"/>
        <v>1</v>
      </c>
      <c r="L4" s="58">
        <f>IF(K4&lt;5,Examen!Y4,"-")</f>
        <v>1</v>
      </c>
      <c r="M4" s="58">
        <f t="shared" si="1"/>
        <v>1</v>
      </c>
    </row>
    <row r="5" spans="1:14" ht="16" x14ac:dyDescent="0.2">
      <c r="A5" s="15" t="s">
        <v>35</v>
      </c>
      <c r="B5" s="16" t="s">
        <v>36</v>
      </c>
      <c r="C5" s="17" t="s">
        <v>37</v>
      </c>
      <c r="D5" s="76">
        <f>Control1!H5</f>
        <v>4</v>
      </c>
      <c r="E5" s="77">
        <f>Control2!H5</f>
        <v>2.8</v>
      </c>
      <c r="F5" s="93">
        <v>7</v>
      </c>
      <c r="G5" s="77">
        <f>'Control 4'!F5</f>
        <v>7</v>
      </c>
      <c r="H5" s="10">
        <f>ROUND(AVERAGE(D5:G5),1)</f>
        <v>5.2</v>
      </c>
      <c r="I5" s="77">
        <f>Solemne1!H5</f>
        <v>6.3</v>
      </c>
      <c r="J5" s="77">
        <f>'Solemne 2'!H5</f>
        <v>3.5</v>
      </c>
      <c r="K5" s="10">
        <f t="shared" si="0"/>
        <v>5</v>
      </c>
      <c r="L5" s="10" t="str">
        <f>IF(K5&lt;5,Examen!Y5,"-")</f>
        <v>-</v>
      </c>
      <c r="M5" s="10">
        <f t="shared" si="1"/>
        <v>5</v>
      </c>
    </row>
    <row r="6" spans="1:14" s="82" customFormat="1" ht="16" x14ac:dyDescent="0.2">
      <c r="A6" s="55" t="s">
        <v>38</v>
      </c>
      <c r="B6" s="56" t="s">
        <v>39</v>
      </c>
      <c r="C6" s="57" t="s">
        <v>40</v>
      </c>
      <c r="D6" s="80">
        <f>Control1!H6</f>
        <v>1</v>
      </c>
      <c r="E6" s="81">
        <f>Control2!H6</f>
        <v>1</v>
      </c>
      <c r="F6" s="81">
        <f>'Control 3'!F6</f>
        <v>1</v>
      </c>
      <c r="G6" s="81">
        <f>'Control 4'!F6</f>
        <v>1</v>
      </c>
      <c r="H6" s="58">
        <f t="shared" si="2"/>
        <v>1</v>
      </c>
      <c r="I6" s="81">
        <f>Solemne1!H6</f>
        <v>1</v>
      </c>
      <c r="J6" s="81">
        <f>'Solemne 2'!H6</f>
        <v>1</v>
      </c>
      <c r="K6" s="58">
        <f t="shared" si="0"/>
        <v>1</v>
      </c>
      <c r="L6" s="58">
        <f>IF(K6&lt;5,Examen!Y6,"-")</f>
        <v>1</v>
      </c>
      <c r="M6" s="58">
        <f t="shared" si="1"/>
        <v>1</v>
      </c>
    </row>
    <row r="7" spans="1:14" ht="16" x14ac:dyDescent="0.2">
      <c r="A7" s="15" t="s">
        <v>41</v>
      </c>
      <c r="B7" s="16" t="s">
        <v>42</v>
      </c>
      <c r="C7" s="17" t="s">
        <v>40</v>
      </c>
      <c r="D7" s="76">
        <f>Control1!H7</f>
        <v>5.6</v>
      </c>
      <c r="E7" s="77">
        <f>Control2!H7</f>
        <v>4.3</v>
      </c>
      <c r="F7" s="77">
        <f>'Control 3'!F7</f>
        <v>7</v>
      </c>
      <c r="G7" s="77">
        <f>'Control 4'!F7</f>
        <v>6</v>
      </c>
      <c r="H7" s="10">
        <f t="shared" si="2"/>
        <v>5.7</v>
      </c>
      <c r="I7" s="77">
        <f>Solemne1!H7</f>
        <v>6.8</v>
      </c>
      <c r="J7" s="77">
        <f>'Solemne 2'!H7</f>
        <v>5</v>
      </c>
      <c r="K7" s="10">
        <f t="shared" si="0"/>
        <v>5.8</v>
      </c>
      <c r="L7" s="10" t="str">
        <f>IF(K7&lt;5,Examen!Y7,"-")</f>
        <v>-</v>
      </c>
      <c r="M7" s="10">
        <f t="shared" si="1"/>
        <v>5.8</v>
      </c>
    </row>
    <row r="8" spans="1:14" ht="17" thickBot="1" x14ac:dyDescent="0.25">
      <c r="A8" s="15" t="s">
        <v>43</v>
      </c>
      <c r="B8" s="16" t="s">
        <v>44</v>
      </c>
      <c r="C8" s="17" t="s">
        <v>45</v>
      </c>
      <c r="D8" s="94">
        <f>Control1!H8</f>
        <v>1</v>
      </c>
      <c r="E8" s="77">
        <f>Control2!H8</f>
        <v>3.8</v>
      </c>
      <c r="F8" s="77">
        <f>'Control 3'!F8</f>
        <v>7</v>
      </c>
      <c r="G8" s="77">
        <f>'Control 4'!F8</f>
        <v>7</v>
      </c>
      <c r="H8" s="10">
        <f t="shared" si="2"/>
        <v>4.7</v>
      </c>
      <c r="I8" s="77">
        <f>Solemne1!H8</f>
        <v>5</v>
      </c>
      <c r="J8" s="77">
        <f>'Solemne 2'!H8</f>
        <v>6</v>
      </c>
      <c r="K8" s="10">
        <f t="shared" si="0"/>
        <v>5.3</v>
      </c>
      <c r="L8" s="10" t="str">
        <f>IF(K8&lt;5,Examen!Y8,"-")</f>
        <v>-</v>
      </c>
      <c r="M8" s="10">
        <f t="shared" si="1"/>
        <v>5.3</v>
      </c>
    </row>
    <row r="9" spans="1:14" ht="17" thickBot="1" x14ac:dyDescent="0.25">
      <c r="A9" s="15" t="s">
        <v>46</v>
      </c>
      <c r="B9" s="16" t="s">
        <v>47</v>
      </c>
      <c r="C9" s="17" t="s">
        <v>18</v>
      </c>
      <c r="D9" s="76">
        <f>Control1!H9</f>
        <v>6</v>
      </c>
      <c r="E9" s="77">
        <f>Control2!H9</f>
        <v>3.8</v>
      </c>
      <c r="F9" s="77">
        <f>'Control 3'!F9</f>
        <v>7</v>
      </c>
      <c r="G9" s="77">
        <f>'Control 4'!F9</f>
        <v>7</v>
      </c>
      <c r="H9" s="10">
        <f t="shared" si="2"/>
        <v>6</v>
      </c>
      <c r="I9" s="107">
        <v>4.7</v>
      </c>
      <c r="J9" s="77">
        <f>'Solemne 2'!H9</f>
        <v>6</v>
      </c>
      <c r="K9" s="10">
        <f t="shared" si="0"/>
        <v>5.5</v>
      </c>
      <c r="L9" s="10">
        <f>Examen!Y9</f>
        <v>4.7</v>
      </c>
      <c r="M9" s="10">
        <f>ROUND(K9*0.7+L9*0.3,1)</f>
        <v>5.3</v>
      </c>
      <c r="N9" s="98" t="s">
        <v>168</v>
      </c>
    </row>
    <row r="10" spans="1:14" ht="16" x14ac:dyDescent="0.2">
      <c r="A10" s="15" t="s">
        <v>17</v>
      </c>
      <c r="B10" s="16" t="s">
        <v>46</v>
      </c>
      <c r="C10" s="17" t="s">
        <v>48</v>
      </c>
      <c r="D10" s="76">
        <f>Control1!H10</f>
        <v>6</v>
      </c>
      <c r="E10" s="77">
        <f>Control2!H10</f>
        <v>3.7</v>
      </c>
      <c r="F10" s="77">
        <f>'Control 3'!F10</f>
        <v>7</v>
      </c>
      <c r="G10" s="77">
        <f>'Control 4'!F10</f>
        <v>7</v>
      </c>
      <c r="H10" s="10">
        <f t="shared" si="2"/>
        <v>5.9</v>
      </c>
      <c r="I10" s="77">
        <f>Solemne1!H10</f>
        <v>6.7</v>
      </c>
      <c r="J10" s="77">
        <f>'Solemne 2'!H10</f>
        <v>6.2</v>
      </c>
      <c r="K10" s="10">
        <f t="shared" si="0"/>
        <v>6.3</v>
      </c>
      <c r="L10" s="10" t="str">
        <f>IF(K10&lt;5,Examen!Y10,"-")</f>
        <v>-</v>
      </c>
      <c r="M10" s="10">
        <f t="shared" si="1"/>
        <v>6.3</v>
      </c>
    </row>
    <row r="11" spans="1:14" ht="16" x14ac:dyDescent="0.2">
      <c r="A11" s="15" t="s">
        <v>49</v>
      </c>
      <c r="B11" s="16" t="s">
        <v>50</v>
      </c>
      <c r="C11" s="17" t="s">
        <v>51</v>
      </c>
      <c r="D11" s="76">
        <f>Control1!H11</f>
        <v>6</v>
      </c>
      <c r="E11" s="77">
        <f>Control2!H11</f>
        <v>3.7</v>
      </c>
      <c r="F11" s="77">
        <f>'Control 3'!F11</f>
        <v>7</v>
      </c>
      <c r="G11" s="77">
        <f>'Control 4'!F11</f>
        <v>7</v>
      </c>
      <c r="H11" s="10">
        <f t="shared" si="2"/>
        <v>5.9</v>
      </c>
      <c r="I11" s="77">
        <f>Solemne1!H11</f>
        <v>6.3</v>
      </c>
      <c r="J11" s="77">
        <f>'Solemne 2'!H11</f>
        <v>6</v>
      </c>
      <c r="K11" s="10">
        <f t="shared" si="0"/>
        <v>6.1</v>
      </c>
      <c r="L11" s="10" t="str">
        <f>IF(K11&lt;5,Examen!Y11,"-")</f>
        <v>-</v>
      </c>
      <c r="M11" s="10">
        <f t="shared" si="1"/>
        <v>6.1</v>
      </c>
    </row>
    <row r="12" spans="1:14" ht="17" thickBot="1" x14ac:dyDescent="0.25">
      <c r="A12" s="15" t="s">
        <v>29</v>
      </c>
      <c r="B12" s="16" t="s">
        <v>52</v>
      </c>
      <c r="C12" s="17" t="s">
        <v>53</v>
      </c>
      <c r="D12" s="94">
        <f>Control1!H12</f>
        <v>1</v>
      </c>
      <c r="E12" s="93">
        <f>Control2!H12</f>
        <v>1</v>
      </c>
      <c r="F12" s="93">
        <f>'Control 3'!F12</f>
        <v>1</v>
      </c>
      <c r="G12" s="93">
        <f>'Control 4'!F12</f>
        <v>1</v>
      </c>
      <c r="H12" s="10">
        <f t="shared" si="2"/>
        <v>1</v>
      </c>
      <c r="I12" s="93">
        <f>Solemne1!H12</f>
        <v>1</v>
      </c>
      <c r="J12" s="77">
        <f>'Solemne 2'!H12</f>
        <v>1</v>
      </c>
      <c r="K12" s="10">
        <f t="shared" si="0"/>
        <v>1</v>
      </c>
      <c r="L12" s="10">
        <f>IF(K12&lt;5,Examen!Y12,"-")</f>
        <v>1</v>
      </c>
      <c r="M12" s="10">
        <f t="shared" si="1"/>
        <v>1</v>
      </c>
    </row>
    <row r="13" spans="1:14" ht="17" thickBot="1" x14ac:dyDescent="0.25">
      <c r="A13" s="15" t="s">
        <v>29</v>
      </c>
      <c r="B13" s="16" t="s">
        <v>54</v>
      </c>
      <c r="C13" s="17" t="s">
        <v>55</v>
      </c>
      <c r="D13" s="76">
        <f>Control1!H13</f>
        <v>6.1</v>
      </c>
      <c r="E13" s="77">
        <f>Control2!H13</f>
        <v>4.3</v>
      </c>
      <c r="F13" s="77">
        <f>'Control 3'!F13</f>
        <v>6</v>
      </c>
      <c r="G13" s="107">
        <v>4.9000000000000004</v>
      </c>
      <c r="H13" s="10">
        <f t="shared" si="2"/>
        <v>5.3</v>
      </c>
      <c r="I13" s="77">
        <f>Solemne1!H13</f>
        <v>6.3</v>
      </c>
      <c r="J13" s="77">
        <f>'Solemne 2'!H13</f>
        <v>1</v>
      </c>
      <c r="K13" s="10">
        <f t="shared" si="0"/>
        <v>4.0999999999999996</v>
      </c>
      <c r="L13" s="10">
        <f>IF(K13&lt;5,Examen!Y13,"-")</f>
        <v>4.9000000000000004</v>
      </c>
      <c r="M13" s="10">
        <f t="shared" si="1"/>
        <v>4.3</v>
      </c>
    </row>
    <row r="14" spans="1:14" ht="16" x14ac:dyDescent="0.2">
      <c r="A14" s="15" t="s">
        <v>56</v>
      </c>
      <c r="B14" s="16" t="s">
        <v>57</v>
      </c>
      <c r="C14" s="17" t="s">
        <v>58</v>
      </c>
      <c r="D14" s="94">
        <v>5</v>
      </c>
      <c r="E14" s="77">
        <f>Control2!H14</f>
        <v>3.6</v>
      </c>
      <c r="F14" s="77">
        <f>'Control 3'!F14</f>
        <v>4</v>
      </c>
      <c r="G14" s="77">
        <f>'Control 4'!F14</f>
        <v>6</v>
      </c>
      <c r="H14" s="10">
        <f t="shared" si="2"/>
        <v>4.7</v>
      </c>
      <c r="I14" s="77">
        <f>Solemne1!H14</f>
        <v>4.8</v>
      </c>
      <c r="J14" s="77">
        <f>'Solemne 2'!H14</f>
        <v>6</v>
      </c>
      <c r="K14" s="10">
        <f t="shared" si="0"/>
        <v>5.2</v>
      </c>
      <c r="L14" s="10" t="str">
        <f>IF(K14&lt;5,Examen!Y14,"-")</f>
        <v>-</v>
      </c>
      <c r="M14" s="10">
        <f t="shared" si="1"/>
        <v>5.2</v>
      </c>
      <c r="N14" s="98" t="s">
        <v>169</v>
      </c>
    </row>
    <row r="15" spans="1:14" ht="17" thickBot="1" x14ac:dyDescent="0.25">
      <c r="A15" s="15" t="s">
        <v>59</v>
      </c>
      <c r="B15" s="16" t="s">
        <v>60</v>
      </c>
      <c r="C15" s="17" t="s">
        <v>40</v>
      </c>
      <c r="D15" s="76">
        <f>Control1!H15</f>
        <v>4.8</v>
      </c>
      <c r="E15" s="77">
        <f>Control2!H15</f>
        <v>2.7</v>
      </c>
      <c r="F15" s="93">
        <f>'Control 3'!F15</f>
        <v>1</v>
      </c>
      <c r="G15" s="93">
        <f>'Control 4'!F15</f>
        <v>1</v>
      </c>
      <c r="H15" s="10">
        <f t="shared" si="2"/>
        <v>2.4</v>
      </c>
      <c r="I15" s="93">
        <f>Solemne1!H15</f>
        <v>1</v>
      </c>
      <c r="J15" s="77">
        <f>'Solemne 2'!H15</f>
        <v>1</v>
      </c>
      <c r="K15" s="10">
        <f t="shared" si="0"/>
        <v>1.4</v>
      </c>
      <c r="L15" s="10">
        <f>IF(K15&lt;5,Examen!Y15,"-")</f>
        <v>1</v>
      </c>
      <c r="M15" s="10">
        <f t="shared" si="1"/>
        <v>1.3</v>
      </c>
    </row>
    <row r="16" spans="1:14" ht="17" thickBot="1" x14ac:dyDescent="0.25">
      <c r="A16" s="15" t="s">
        <v>61</v>
      </c>
      <c r="B16" s="16" t="s">
        <v>62</v>
      </c>
      <c r="C16" s="17" t="s">
        <v>63</v>
      </c>
      <c r="D16" s="76">
        <f>Control1!H16</f>
        <v>4.8</v>
      </c>
      <c r="E16" s="77">
        <f>Control2!H16</f>
        <v>2.7</v>
      </c>
      <c r="F16" s="77">
        <f>'Control 3'!F16</f>
        <v>4</v>
      </c>
      <c r="G16" s="77">
        <f>'Control 4'!F16</f>
        <v>7</v>
      </c>
      <c r="H16" s="10">
        <f t="shared" si="2"/>
        <v>4.5999999999999996</v>
      </c>
      <c r="I16" s="107">
        <v>4.3</v>
      </c>
      <c r="J16" s="77">
        <f>'Solemne 2'!H16</f>
        <v>3.5</v>
      </c>
      <c r="K16" s="10">
        <f t="shared" si="0"/>
        <v>4.0999999999999996</v>
      </c>
      <c r="L16" s="10">
        <f>IF(K16&lt;5,Examen!Y16,"-")</f>
        <v>4.3</v>
      </c>
      <c r="M16" s="10">
        <f t="shared" si="1"/>
        <v>4.2</v>
      </c>
    </row>
    <row r="17" spans="1:14" ht="16" x14ac:dyDescent="0.2">
      <c r="A17" s="15" t="s">
        <v>64</v>
      </c>
      <c r="B17" s="16" t="s">
        <v>65</v>
      </c>
      <c r="C17" s="17" t="s">
        <v>66</v>
      </c>
      <c r="D17" s="76">
        <f>Control1!H17</f>
        <v>6</v>
      </c>
      <c r="E17" s="77">
        <f>Control2!H17</f>
        <v>3.7</v>
      </c>
      <c r="F17" s="77">
        <f>'Control 3'!F17</f>
        <v>7</v>
      </c>
      <c r="G17" s="77">
        <f>'Control 4'!F17</f>
        <v>7</v>
      </c>
      <c r="H17" s="10">
        <f t="shared" si="2"/>
        <v>5.9</v>
      </c>
      <c r="I17" s="77">
        <f>Solemne1!H17</f>
        <v>6.6</v>
      </c>
      <c r="J17" s="77">
        <f>'Solemne 2'!H17</f>
        <v>6</v>
      </c>
      <c r="K17" s="10">
        <f t="shared" si="0"/>
        <v>6.2</v>
      </c>
      <c r="L17" s="10" t="str">
        <f>IF(K17&lt;5,Examen!Y17,"-")</f>
        <v>-</v>
      </c>
      <c r="M17" s="10">
        <f t="shared" si="1"/>
        <v>6.2</v>
      </c>
    </row>
    <row r="18" spans="1:14" ht="16" x14ac:dyDescent="0.2">
      <c r="A18" s="46" t="s">
        <v>67</v>
      </c>
      <c r="B18" s="47" t="s">
        <v>68</v>
      </c>
      <c r="C18" s="48" t="s">
        <v>69</v>
      </c>
      <c r="D18" s="76">
        <f>Control1!H18</f>
        <v>4.8</v>
      </c>
      <c r="E18" s="77">
        <f>Control2!H18</f>
        <v>2.7</v>
      </c>
      <c r="F18" s="77">
        <f>'Control 3'!F18</f>
        <v>4</v>
      </c>
      <c r="G18" s="77">
        <f>'Control 4'!F18</f>
        <v>7</v>
      </c>
      <c r="H18" s="10">
        <f t="shared" si="2"/>
        <v>4.5999999999999996</v>
      </c>
      <c r="I18" s="77">
        <f>Solemne1!H18</f>
        <v>4.8</v>
      </c>
      <c r="J18" s="77">
        <f>'Solemne 2'!H18</f>
        <v>3.5</v>
      </c>
      <c r="K18" s="10">
        <f t="shared" si="0"/>
        <v>4.3</v>
      </c>
      <c r="L18" s="10">
        <f>IF(K18&lt;5,Examen!Y18,"-")</f>
        <v>4.5999999999999996</v>
      </c>
      <c r="M18" s="10">
        <f t="shared" si="1"/>
        <v>4.4000000000000004</v>
      </c>
    </row>
    <row r="19" spans="1:14" ht="16" x14ac:dyDescent="0.2">
      <c r="A19" s="15" t="s">
        <v>20</v>
      </c>
      <c r="B19" s="16" t="s">
        <v>21</v>
      </c>
      <c r="C19" s="17" t="s">
        <v>19</v>
      </c>
      <c r="D19" s="76">
        <f>Control1!H19</f>
        <v>6.1</v>
      </c>
      <c r="E19" s="77">
        <f>Control2!H19</f>
        <v>6</v>
      </c>
      <c r="F19" s="77">
        <f>'Control 3'!F19</f>
        <v>7</v>
      </c>
      <c r="G19" s="77">
        <f>'Control 4'!F19</f>
        <v>7</v>
      </c>
      <c r="H19" s="10">
        <f t="shared" si="2"/>
        <v>6.5</v>
      </c>
      <c r="I19" s="77">
        <f>Solemne1!H19</f>
        <v>6.7</v>
      </c>
      <c r="J19" s="77">
        <f>'Solemne 2'!H19</f>
        <v>6</v>
      </c>
      <c r="K19" s="10">
        <f t="shared" si="0"/>
        <v>6.4</v>
      </c>
      <c r="L19" s="10" t="str">
        <f>IF(K19&lt;5,Examen!Y19,"-")</f>
        <v>-</v>
      </c>
      <c r="M19" s="10">
        <f t="shared" si="1"/>
        <v>6.4</v>
      </c>
    </row>
    <row r="20" spans="1:14" ht="16" x14ac:dyDescent="0.2">
      <c r="A20" s="15" t="s">
        <v>60</v>
      </c>
      <c r="B20" s="16" t="s">
        <v>70</v>
      </c>
      <c r="C20" s="17" t="s">
        <v>71</v>
      </c>
      <c r="D20" s="76">
        <f>Control1!H20</f>
        <v>6.1</v>
      </c>
      <c r="E20" s="77">
        <f>Control2!H20</f>
        <v>4.3</v>
      </c>
      <c r="F20" s="77">
        <f>'Control 3'!F20</f>
        <v>7</v>
      </c>
      <c r="G20" s="77">
        <f>'Control 4'!F20</f>
        <v>6</v>
      </c>
      <c r="H20" s="10">
        <f>ROUND(AVERAGE(D20:G20),1)</f>
        <v>5.9</v>
      </c>
      <c r="I20" s="77">
        <f>Solemne1!H20</f>
        <v>6.5</v>
      </c>
      <c r="J20" s="77">
        <f>'Solemne 2'!H20</f>
        <v>6</v>
      </c>
      <c r="K20" s="10">
        <f t="shared" si="0"/>
        <v>6.1</v>
      </c>
      <c r="L20" s="10" t="str">
        <f>IF(K20&lt;5,Examen!Y20,"-")</f>
        <v>-</v>
      </c>
      <c r="M20" s="10">
        <f t="shared" si="1"/>
        <v>6.1</v>
      </c>
    </row>
    <row r="21" spans="1:14" ht="16" x14ac:dyDescent="0.2">
      <c r="A21" s="40" t="s">
        <v>72</v>
      </c>
      <c r="B21" s="37" t="s">
        <v>73</v>
      </c>
      <c r="C21" s="41" t="s">
        <v>74</v>
      </c>
      <c r="D21" s="76">
        <f>Control1!H21</f>
        <v>6.1</v>
      </c>
      <c r="E21" s="77">
        <f>Control2!H21</f>
        <v>3.1</v>
      </c>
      <c r="F21" s="77">
        <f>'Control 3'!F21</f>
        <v>7</v>
      </c>
      <c r="G21" s="77">
        <f>'Control 4'!F21</f>
        <v>7</v>
      </c>
      <c r="H21" s="10">
        <f t="shared" si="2"/>
        <v>5.8</v>
      </c>
      <c r="I21" s="77">
        <f>Solemne1!H21</f>
        <v>6.2</v>
      </c>
      <c r="J21" s="77">
        <f>'Solemne 2'!H21</f>
        <v>3.5</v>
      </c>
      <c r="K21" s="10">
        <f t="shared" si="0"/>
        <v>5.0999999999999996</v>
      </c>
      <c r="L21" s="10" t="str">
        <f>IF(K21&lt;5,Examen!Y21,"-")</f>
        <v>-</v>
      </c>
      <c r="M21" s="10">
        <f t="shared" si="1"/>
        <v>5.0999999999999996</v>
      </c>
    </row>
    <row r="22" spans="1:14" ht="16" x14ac:dyDescent="0.2">
      <c r="A22" s="15" t="s">
        <v>75</v>
      </c>
      <c r="B22" s="16" t="s">
        <v>76</v>
      </c>
      <c r="C22" s="17" t="s">
        <v>80</v>
      </c>
      <c r="D22" s="76">
        <f>Control1!H22</f>
        <v>5.6</v>
      </c>
      <c r="E22" s="77">
        <f>Control2!H22</f>
        <v>4.3</v>
      </c>
      <c r="F22" s="77">
        <f>'Control 3'!F22</f>
        <v>7</v>
      </c>
      <c r="G22" s="77">
        <f>'Control 4'!F22</f>
        <v>6</v>
      </c>
      <c r="H22" s="10">
        <f t="shared" si="2"/>
        <v>5.7</v>
      </c>
      <c r="I22" s="77">
        <f>Solemne1!H22</f>
        <v>4.4000000000000004</v>
      </c>
      <c r="J22" s="77">
        <f>'Solemne 2'!H22</f>
        <v>5</v>
      </c>
      <c r="K22" s="10">
        <f t="shared" si="0"/>
        <v>5</v>
      </c>
      <c r="L22" s="10" t="str">
        <f>IF(K22&lt;5,Examen!Y22,"-")</f>
        <v>-</v>
      </c>
      <c r="M22" s="10">
        <f t="shared" si="1"/>
        <v>5</v>
      </c>
    </row>
    <row r="23" spans="1:14" ht="16" x14ac:dyDescent="0.2">
      <c r="A23" s="15" t="s">
        <v>75</v>
      </c>
      <c r="B23" s="16" t="s">
        <v>76</v>
      </c>
      <c r="C23" s="17" t="s">
        <v>77</v>
      </c>
      <c r="D23" s="76">
        <f>Control1!H23</f>
        <v>5.6</v>
      </c>
      <c r="E23" s="77">
        <f>Control2!H23</f>
        <v>4.3</v>
      </c>
      <c r="F23" s="77">
        <f>'Control 3'!F23</f>
        <v>7</v>
      </c>
      <c r="G23" s="77">
        <f>'Control 4'!F23</f>
        <v>6</v>
      </c>
      <c r="H23" s="10">
        <f t="shared" si="2"/>
        <v>5.7</v>
      </c>
      <c r="I23" s="77">
        <f>Solemne1!H23</f>
        <v>4.7</v>
      </c>
      <c r="J23" s="77">
        <f>'Solemne 2'!H23</f>
        <v>5</v>
      </c>
      <c r="K23" s="10">
        <f t="shared" si="0"/>
        <v>5.0999999999999996</v>
      </c>
      <c r="L23" s="10" t="str">
        <f>IF(K23&lt;5,Examen!Y23,"-")</f>
        <v>-</v>
      </c>
      <c r="M23" s="10">
        <f t="shared" si="1"/>
        <v>5.0999999999999996</v>
      </c>
    </row>
    <row r="24" spans="1:14" ht="17" thickBot="1" x14ac:dyDescent="0.25">
      <c r="A24" s="20" t="s">
        <v>78</v>
      </c>
      <c r="B24" s="21" t="s">
        <v>36</v>
      </c>
      <c r="C24" s="22" t="s">
        <v>79</v>
      </c>
      <c r="D24" s="78">
        <f>Control1!H24</f>
        <v>5.8</v>
      </c>
      <c r="E24" s="79">
        <f>Control2!H24</f>
        <v>2.8</v>
      </c>
      <c r="F24" s="95">
        <v>7</v>
      </c>
      <c r="G24" s="79">
        <f>'Control 4'!F24</f>
        <v>7</v>
      </c>
      <c r="H24" s="25">
        <f t="shared" si="2"/>
        <v>5.7</v>
      </c>
      <c r="I24" s="79">
        <f>Solemne1!H24</f>
        <v>6.3</v>
      </c>
      <c r="J24" s="79">
        <f>'Solemne 2'!H24</f>
        <v>3.5</v>
      </c>
      <c r="K24" s="25">
        <f t="shared" si="0"/>
        <v>5.0999999999999996</v>
      </c>
      <c r="L24" s="25" t="str">
        <f>IF(K24&lt;5,Examen!Y24,"-")</f>
        <v>-</v>
      </c>
      <c r="M24" s="25">
        <f t="shared" si="1"/>
        <v>5.0999999999999996</v>
      </c>
    </row>
    <row r="27" spans="1:14" x14ac:dyDescent="0.2">
      <c r="K27" s="97"/>
      <c r="L27" s="97"/>
      <c r="M27" s="97"/>
      <c r="N27" t="s">
        <v>137</v>
      </c>
    </row>
    <row r="28" spans="1:14" x14ac:dyDescent="0.2">
      <c r="K28" s="96"/>
      <c r="L28" s="96"/>
      <c r="M28" s="96"/>
      <c r="N28" t="s">
        <v>136</v>
      </c>
    </row>
  </sheetData>
  <conditionalFormatting sqref="K2:M24 H2:H24">
    <cfRule type="cellIs" dxfId="1" priority="3" operator="lessThan">
      <formula>4</formula>
    </cfRule>
    <cfRule type="cellIs" dxfId="0" priority="4" operator="greaterThanOrEqual">
      <formula>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Control1</vt:lpstr>
      <vt:lpstr>Control2</vt:lpstr>
      <vt:lpstr>Control 3</vt:lpstr>
      <vt:lpstr>Control 4</vt:lpstr>
      <vt:lpstr>Solemne1</vt:lpstr>
      <vt:lpstr>Solemne 2</vt:lpstr>
      <vt:lpstr>Examen</vt:lpstr>
      <vt:lpstr>Consolidado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Marcelo Alid</cp:lastModifiedBy>
  <dcterms:created xsi:type="dcterms:W3CDTF">2020-08-12T14:15:22Z</dcterms:created>
  <dcterms:modified xsi:type="dcterms:W3CDTF">2020-09-25T21:33:11Z</dcterms:modified>
</cp:coreProperties>
</file>