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navjhatakia/Documents/Thesis.nosync/"/>
    </mc:Choice>
  </mc:AlternateContent>
  <xr:revisionPtr revIDLastSave="0" documentId="8_{BFFA355F-8DAC-2A41-BF79-4D482C094BB7}" xr6:coauthVersionLast="47" xr6:coauthVersionMax="47" xr10:uidLastSave="{00000000-0000-0000-0000-000000000000}"/>
  <bookViews>
    <workbookView xWindow="3660" yWindow="2660" windowWidth="27640" windowHeight="16940" xr2:uid="{6CC4C69A-2B74-9943-A447-DE57B6884518}"/>
  </bookViews>
  <sheets>
    <sheet name="epsilon_core_calculation" sheetId="2" r:id="rId1"/>
    <sheet name="epsilon_bounds" sheetId="3" r:id="rId2"/>
    <sheet name="marginal_contribution_calcs" sheetId="4" r:id="rId3"/>
  </sheets>
  <definedNames>
    <definedName name="solver_adj" localSheetId="0" hidden="1">epsilon_core_calculation!$B$13:$B$15,epsilon_core_calculation!$B$19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epsilon_core_calculation!$B$12</definedName>
    <definedName name="solver_lhs10" localSheetId="0" hidden="1">epsilon_core_calculation!$E$6</definedName>
    <definedName name="solver_lhs11" localSheetId="0" hidden="1">epsilon_core_calculation!$E$7</definedName>
    <definedName name="solver_lhs12" localSheetId="0" hidden="1">epsilon_core_calculation!$E$8</definedName>
    <definedName name="solver_lhs2" localSheetId="0" hidden="1">epsilon_core_calculation!$B$13</definedName>
    <definedName name="solver_lhs3" localSheetId="0" hidden="1">epsilon_core_calculation!$B$13</definedName>
    <definedName name="solver_lhs4" localSheetId="0" hidden="1">epsilon_core_calculation!$B$14</definedName>
    <definedName name="solver_lhs5" localSheetId="0" hidden="1">epsilon_core_calculation!$B$14</definedName>
    <definedName name="solver_lhs6" localSheetId="0" hidden="1">epsilon_core_calculation!$C$3:$C$8</definedName>
    <definedName name="solver_lhs7" localSheetId="0" hidden="1">epsilon_core_calculation!$E$3</definedName>
    <definedName name="solver_lhs8" localSheetId="0" hidden="1">epsilon_core_calculation!$E$4</definedName>
    <definedName name="solver_lhs9" localSheetId="0" hidden="1">epsilon_core_calculation!$E$5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opt" localSheetId="0" hidden="1">epsilon_core_calculation!$F$9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epsilon_core_calculation!$B$9</definedName>
    <definedName name="solver_rhs10" localSheetId="0" hidden="1">epsilon_core_calculation!$C$6</definedName>
    <definedName name="solver_rhs11" localSheetId="0" hidden="1">epsilon_core_calculation!$C$7</definedName>
    <definedName name="solver_rhs12" localSheetId="0" hidden="1">epsilon_core_calculation!$C$8</definedName>
    <definedName name="solver_rhs2" localSheetId="0" hidden="1">epsilon_core_calculation!$B$15</definedName>
    <definedName name="solver_rhs3" localSheetId="0" hidden="1">epsilon_core_calculation!$C$3</definedName>
    <definedName name="solver_rhs4" localSheetId="0" hidden="1">epsilon_core_calculation!$C$4</definedName>
    <definedName name="solver_rhs5" localSheetId="0" hidden="1">epsilon_core_calculation!$C$5</definedName>
    <definedName name="solver_rhs6" localSheetId="0" hidden="1">0</definedName>
    <definedName name="solver_rhs7" localSheetId="0" hidden="1">epsilon_core_calculation!$C$3</definedName>
    <definedName name="solver_rhs8" localSheetId="0" hidden="1">epsilon_core_calculation!$C$4</definedName>
    <definedName name="solver_rhs9" localSheetId="0" hidden="1">epsilon_core_calculation!$C$5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3" i="4"/>
  <c r="F2" i="4" s="1"/>
  <c r="B4" i="4"/>
  <c r="G5" i="4" s="1"/>
  <c r="H5" i="4" s="1"/>
  <c r="C4" i="4"/>
  <c r="C14" i="4" s="1"/>
  <c r="G4" i="4"/>
  <c r="B5" i="4"/>
  <c r="H6" i="4" s="1"/>
  <c r="G6" i="4" s="1"/>
  <c r="B6" i="4"/>
  <c r="F4" i="4" s="1"/>
  <c r="C6" i="4"/>
  <c r="B7" i="4"/>
  <c r="C7" i="4" s="1"/>
  <c r="C17" i="4" s="1"/>
  <c r="B8" i="4"/>
  <c r="C8" i="4"/>
  <c r="B9" i="4"/>
  <c r="C9" i="4"/>
  <c r="C19" i="4" s="1"/>
  <c r="C16" i="4"/>
  <c r="C18" i="4"/>
  <c r="B3" i="3"/>
  <c r="C14" i="3" s="1"/>
  <c r="C18" i="3" s="1"/>
  <c r="B4" i="3"/>
  <c r="E13" i="3" s="1"/>
  <c r="E17" i="3" s="1"/>
  <c r="B5" i="3"/>
  <c r="G13" i="3" s="1"/>
  <c r="B6" i="3"/>
  <c r="H13" i="3" s="1"/>
  <c r="H17" i="3" s="1"/>
  <c r="B7" i="3"/>
  <c r="B8" i="3"/>
  <c r="B9" i="3"/>
  <c r="D13" i="3" s="1"/>
  <c r="D17" i="3" s="1"/>
  <c r="D12" i="3"/>
  <c r="D16" i="3" s="1"/>
  <c r="F12" i="3"/>
  <c r="F16" i="3" s="1"/>
  <c r="C13" i="3"/>
  <c r="C17" i="3" s="1"/>
  <c r="F13" i="3"/>
  <c r="D14" i="3"/>
  <c r="D18" i="3" s="1"/>
  <c r="E14" i="3"/>
  <c r="E18" i="3" s="1"/>
  <c r="F14" i="3"/>
  <c r="F18" i="3" s="1"/>
  <c r="G14" i="3"/>
  <c r="G18" i="3" s="1"/>
  <c r="B3" i="2"/>
  <c r="C3" i="2" s="1"/>
  <c r="G3" i="2" s="1"/>
  <c r="E3" i="2"/>
  <c r="B4" i="2"/>
  <c r="C14" i="2" s="1"/>
  <c r="C4" i="2"/>
  <c r="E4" i="2"/>
  <c r="F4" i="2"/>
  <c r="G4" i="2"/>
  <c r="B5" i="2"/>
  <c r="C5" i="2" s="1"/>
  <c r="G5" i="2" s="1"/>
  <c r="E5" i="2"/>
  <c r="B6" i="2"/>
  <c r="C6" i="2"/>
  <c r="E6" i="2"/>
  <c r="F6" i="2"/>
  <c r="G6" i="2"/>
  <c r="B7" i="2"/>
  <c r="C7" i="2" s="1"/>
  <c r="B8" i="2"/>
  <c r="C8" i="2"/>
  <c r="F8" i="2"/>
  <c r="B9" i="2"/>
  <c r="C23" i="2" s="1"/>
  <c r="B12" i="2"/>
  <c r="B16" i="2"/>
  <c r="B17" i="2"/>
  <c r="E7" i="2" s="1"/>
  <c r="B18" i="2"/>
  <c r="E8" i="2" s="1"/>
  <c r="G8" i="2" s="1"/>
  <c r="B22" i="2"/>
  <c r="B23" i="2"/>
  <c r="B24" i="2"/>
  <c r="F6" i="4" l="1"/>
  <c r="G7" i="2"/>
  <c r="H12" i="3"/>
  <c r="H16" i="3" s="1"/>
  <c r="E12" i="3"/>
  <c r="E16" i="3" s="1"/>
  <c r="C15" i="2"/>
  <c r="C24" i="2"/>
  <c r="C12" i="3"/>
  <c r="C13" i="2"/>
  <c r="F7" i="2"/>
  <c r="F5" i="2"/>
  <c r="F3" i="2"/>
  <c r="F9" i="2" s="1"/>
  <c r="H7" i="4"/>
  <c r="F7" i="4" s="1"/>
  <c r="G7" i="4" s="1"/>
  <c r="C22" i="2"/>
  <c r="G12" i="3"/>
  <c r="G16" i="3" s="1"/>
  <c r="G17" i="3"/>
  <c r="C16" i="3"/>
  <c r="F17" i="3"/>
  <c r="H14" i="3"/>
  <c r="H18" i="3" s="1"/>
  <c r="F5" i="4"/>
  <c r="F3" i="4"/>
  <c r="C5" i="4"/>
  <c r="C15" i="4" s="1"/>
  <c r="C3" i="4"/>
  <c r="C13" i="4" s="1"/>
  <c r="H4" i="4"/>
  <c r="H2" i="4"/>
  <c r="G2" i="4"/>
  <c r="H3" i="4" l="1"/>
  <c r="G3" i="4" s="1"/>
  <c r="F10" i="4"/>
  <c r="K10" i="4" s="1"/>
  <c r="F9" i="4"/>
  <c r="K9" i="4" s="1"/>
  <c r="H10" i="4"/>
  <c r="M10" i="4" s="1"/>
  <c r="H9" i="4"/>
  <c r="M9" i="4" s="1"/>
  <c r="G9" i="4" l="1"/>
  <c r="L9" i="4" s="1"/>
  <c r="G10" i="4"/>
  <c r="L10" i="4" s="1"/>
</calcChain>
</file>

<file path=xl/sharedStrings.xml><?xml version="1.0" encoding="utf-8"?>
<sst xmlns="http://schemas.openxmlformats.org/spreadsheetml/2006/main" count="78" uniqueCount="50">
  <si>
    <t>Omega3 - epsilon</t>
  </si>
  <si>
    <t>Omega2 - epsilon</t>
  </si>
  <si>
    <t>Omega1 - epsilon</t>
  </si>
  <si>
    <t>epsilon</t>
  </si>
  <si>
    <t>omega2 + omega3</t>
  </si>
  <si>
    <t>omega1 + omega3</t>
  </si>
  <si>
    <t>omega1 + omega2</t>
  </si>
  <si>
    <t>omega3</t>
  </si>
  <si>
    <t>omega2</t>
  </si>
  <si>
    <t>omega1</t>
  </si>
  <si>
    <t>sum(omega)</t>
  </si>
  <si>
    <t>Egypt Sudan Ethiopia</t>
  </si>
  <si>
    <t>≤</t>
  </si>
  <si>
    <t>Sudan Ethiopia</t>
  </si>
  <si>
    <t>Egypt Ethiopia</t>
  </si>
  <si>
    <t>Egypt Sudan</t>
  </si>
  <si>
    <t>Ethiopia</t>
  </si>
  <si>
    <t>Sudan</t>
  </si>
  <si>
    <t>Egypt</t>
  </si>
  <si>
    <t>null</t>
  </si>
  <si>
    <t xml:space="preserve">Difference </t>
  </si>
  <si>
    <t>Ineq.</t>
  </si>
  <si>
    <t>char_func - epsilon</t>
  </si>
  <si>
    <t>characteristic_functions</t>
  </si>
  <si>
    <t>Coalitions</t>
  </si>
  <si>
    <t>Ethigh</t>
  </si>
  <si>
    <t>Etlow</t>
  </si>
  <si>
    <t>Shigh</t>
  </si>
  <si>
    <t>Slow</t>
  </si>
  <si>
    <t>Ehigh</t>
  </si>
  <si>
    <t>Elow</t>
  </si>
  <si>
    <t>Epsilon</t>
  </si>
  <si>
    <t>E-S-Et</t>
  </si>
  <si>
    <t>S-Et</t>
  </si>
  <si>
    <t>E-Et</t>
  </si>
  <si>
    <t>E-S</t>
  </si>
  <si>
    <t>utility</t>
  </si>
  <si>
    <t>Max</t>
  </si>
  <si>
    <t>conversion</t>
  </si>
  <si>
    <t>Min</t>
  </si>
  <si>
    <t>Et - E - S</t>
  </si>
  <si>
    <t xml:space="preserve">Et - S - E </t>
  </si>
  <si>
    <t xml:space="preserve">S - Et - E </t>
  </si>
  <si>
    <t>S - E - Et</t>
  </si>
  <si>
    <t>E -Et - S</t>
  </si>
  <si>
    <t>E - S - Et</t>
  </si>
  <si>
    <t xml:space="preserve">Et </t>
  </si>
  <si>
    <t xml:space="preserve">S </t>
  </si>
  <si>
    <t>E</t>
  </si>
  <si>
    <t xml:space="preserve">Marginal Contributions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</si>
</sst>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19B1-2D0E-E140-81AA-DE58787DD560}">
  <dimension ref="A1:G24"/>
  <sheetViews>
    <sheetView tabSelected="1" workbookViewId="0">
      <selection activeCell="B19" sqref="B19"/>
    </sheetView>
  </sheetViews>
  <sheetFormatPr baseColWidth="10" defaultRowHeight="16" x14ac:dyDescent="0.2"/>
  <cols>
    <col min="1" max="1" width="19.83203125" customWidth="1"/>
    <col min="2" max="2" width="21.5" customWidth="1"/>
    <col min="3" max="3" width="17" customWidth="1"/>
    <col min="5" max="5" width="11.1640625" bestFit="1" customWidth="1"/>
  </cols>
  <sheetData>
    <row r="1" spans="1:7" x14ac:dyDescent="0.2">
      <c r="A1" t="s">
        <v>24</v>
      </c>
      <c r="B1" t="s">
        <v>23</v>
      </c>
      <c r="C1" t="s">
        <v>22</v>
      </c>
      <c r="D1" t="s">
        <v>21</v>
      </c>
      <c r="F1" t="s">
        <v>20</v>
      </c>
    </row>
    <row r="2" spans="1:7" x14ac:dyDescent="0.2">
      <c r="A2" t="s">
        <v>19</v>
      </c>
      <c r="B2">
        <v>0</v>
      </c>
    </row>
    <row r="3" spans="1:7" x14ac:dyDescent="0.2">
      <c r="A3" t="s">
        <v>18</v>
      </c>
      <c r="B3">
        <f>5125744170/1000000000</f>
        <v>5.1257441699999999</v>
      </c>
      <c r="C3">
        <f>B3-$B$19</f>
        <v>5.0630680569999997</v>
      </c>
      <c r="D3" t="s">
        <v>12</v>
      </c>
      <c r="E3">
        <f>B13</f>
        <v>5.7606027739999996</v>
      </c>
      <c r="F3">
        <f>B3-C3</f>
        <v>6.26761130000002E-2</v>
      </c>
      <c r="G3" t="b">
        <f>IF(E3&gt;=C3,TRUE,FALSE)</f>
        <v>1</v>
      </c>
    </row>
    <row r="4" spans="1:7" x14ac:dyDescent="0.2">
      <c r="A4" t="s">
        <v>17</v>
      </c>
      <c r="B4">
        <f>460925711/1000000000</f>
        <v>0.46092571100000002</v>
      </c>
      <c r="C4">
        <f>B4-$B$19</f>
        <v>0.39824959799999993</v>
      </c>
      <c r="D4" t="s">
        <v>12</v>
      </c>
      <c r="E4">
        <f>B14</f>
        <v>0.52078911299999908</v>
      </c>
      <c r="F4">
        <f>B4-C4</f>
        <v>6.2676113000000089E-2</v>
      </c>
      <c r="G4" t="b">
        <f>IF(E4&gt;=C4,TRUE,FALSE)</f>
        <v>1</v>
      </c>
    </row>
    <row r="5" spans="1:7" x14ac:dyDescent="0.2">
      <c r="A5" t="s">
        <v>16</v>
      </c>
      <c r="B5">
        <f>463206226/1000000000</f>
        <v>0.463206226</v>
      </c>
      <c r="C5">
        <f>B5-$B$19</f>
        <v>0.40053011299999991</v>
      </c>
      <c r="D5" t="s">
        <v>12</v>
      </c>
      <c r="E5">
        <f>B15</f>
        <v>0.40053011299999991</v>
      </c>
      <c r="F5">
        <f>B5-C5</f>
        <v>6.2676113000000089E-2</v>
      </c>
      <c r="G5" t="b">
        <f>IF(E5&gt;=C5,TRUE,FALSE)</f>
        <v>1</v>
      </c>
    </row>
    <row r="6" spans="1:7" x14ac:dyDescent="0.2">
      <c r="A6" t="s">
        <v>15</v>
      </c>
      <c r="B6">
        <f>6344068000/1000000000</f>
        <v>6.344068</v>
      </c>
      <c r="C6">
        <f>B6-$B$19</f>
        <v>6.2813918869999998</v>
      </c>
      <c r="D6" t="s">
        <v>12</v>
      </c>
      <c r="E6">
        <f>B16</f>
        <v>6.281391886999999</v>
      </c>
      <c r="F6">
        <f>B6-C6</f>
        <v>6.26761130000002E-2</v>
      </c>
      <c r="G6" t="b">
        <f>IF(E6&gt;=C6,TRUE,FALSE)</f>
        <v>1</v>
      </c>
    </row>
    <row r="7" spans="1:7" x14ac:dyDescent="0.2">
      <c r="A7" t="s">
        <v>14</v>
      </c>
      <c r="B7">
        <f>6223809000/1000000000</f>
        <v>6.2238090000000001</v>
      </c>
      <c r="C7">
        <f>B7-$B$19</f>
        <v>6.1611328869999999</v>
      </c>
      <c r="D7" t="s">
        <v>12</v>
      </c>
      <c r="E7">
        <f>B17</f>
        <v>6.1611328869999999</v>
      </c>
      <c r="F7">
        <f>B7-C7</f>
        <v>6.26761130000002E-2</v>
      </c>
      <c r="G7" t="b">
        <f>IF(E7&gt;=C7,TRUE,FALSE)</f>
        <v>1</v>
      </c>
    </row>
    <row r="8" spans="1:7" x14ac:dyDescent="0.2">
      <c r="A8" t="s">
        <v>13</v>
      </c>
      <c r="B8">
        <f>925918900/1000000000</f>
        <v>0.92591889999999999</v>
      </c>
      <c r="C8">
        <f>B8-$B$19</f>
        <v>0.8632427869999999</v>
      </c>
      <c r="D8" t="s">
        <v>12</v>
      </c>
      <c r="E8">
        <f>B18</f>
        <v>0.92131922599999894</v>
      </c>
      <c r="F8">
        <f>B8-C8</f>
        <v>6.2676113000000089E-2</v>
      </c>
      <c r="G8" t="b">
        <f>IF(E8&gt;=C8,TRUE,FALSE)</f>
        <v>1</v>
      </c>
    </row>
    <row r="9" spans="1:7" x14ac:dyDescent="0.2">
      <c r="A9" t="s">
        <v>11</v>
      </c>
      <c r="B9">
        <f>6681922000/1000000000</f>
        <v>6.6819220000000001</v>
      </c>
      <c r="F9">
        <f>SUM(F3:F8)</f>
        <v>0.37605667800000087</v>
      </c>
    </row>
    <row r="12" spans="1:7" x14ac:dyDescent="0.2">
      <c r="A12" t="s">
        <v>10</v>
      </c>
      <c r="B12">
        <f>B13+B14+B15</f>
        <v>6.6819219999999993</v>
      </c>
    </row>
    <row r="13" spans="1:7" x14ac:dyDescent="0.2">
      <c r="A13" t="s">
        <v>9</v>
      </c>
      <c r="B13">
        <v>5.7606027739999996</v>
      </c>
      <c r="C13" t="b">
        <f>IF(B13&gt;=B3-B19,TRUE,FALSE)</f>
        <v>1</v>
      </c>
    </row>
    <row r="14" spans="1:7" x14ac:dyDescent="0.2">
      <c r="A14" t="s">
        <v>8</v>
      </c>
      <c r="B14">
        <v>0.52078911299999908</v>
      </c>
      <c r="C14" t="b">
        <f>IF(B14&gt;=B4-B19,TRUE,FALSE)</f>
        <v>1</v>
      </c>
    </row>
    <row r="15" spans="1:7" x14ac:dyDescent="0.2">
      <c r="A15" t="s">
        <v>7</v>
      </c>
      <c r="B15">
        <v>0.40053011299999991</v>
      </c>
      <c r="C15" t="b">
        <f>IF(B15&gt;=B5-B19,TRUE,FALSE)</f>
        <v>1</v>
      </c>
    </row>
    <row r="16" spans="1:7" x14ac:dyDescent="0.2">
      <c r="A16" t="s">
        <v>6</v>
      </c>
      <c r="B16">
        <f>B13+B14</f>
        <v>6.281391886999999</v>
      </c>
    </row>
    <row r="17" spans="1:3" x14ac:dyDescent="0.2">
      <c r="A17" t="s">
        <v>5</v>
      </c>
      <c r="B17">
        <f>B13+B15</f>
        <v>6.1611328869999999</v>
      </c>
    </row>
    <row r="18" spans="1:3" x14ac:dyDescent="0.2">
      <c r="A18" t="s">
        <v>4</v>
      </c>
      <c r="B18">
        <f>B14+B15</f>
        <v>0.92131922599999894</v>
      </c>
    </row>
    <row r="19" spans="1:3" x14ac:dyDescent="0.2">
      <c r="A19" t="s">
        <v>3</v>
      </c>
      <c r="B19">
        <v>6.2676113000000089E-2</v>
      </c>
    </row>
    <row r="22" spans="1:3" x14ac:dyDescent="0.2">
      <c r="A22" t="s">
        <v>2</v>
      </c>
      <c r="B22">
        <f>B13-B19</f>
        <v>5.6979266609999994</v>
      </c>
      <c r="C22" t="b">
        <f>IF((B9-B8)&gt;=B22,TRUE,FALSE)</f>
        <v>1</v>
      </c>
    </row>
    <row r="23" spans="1:3" x14ac:dyDescent="0.2">
      <c r="A23" t="s">
        <v>1</v>
      </c>
      <c r="B23">
        <f>B14-B19</f>
        <v>0.45811299999999899</v>
      </c>
      <c r="C23" t="b">
        <f>IF((B9-B7)&gt;=B23,TRUE,FALSE)</f>
        <v>1</v>
      </c>
    </row>
    <row r="24" spans="1:3" x14ac:dyDescent="0.2">
      <c r="A24" t="s">
        <v>0</v>
      </c>
      <c r="B24">
        <f>B15-B19</f>
        <v>0.33785399999999982</v>
      </c>
      <c r="C24" t="b">
        <f>IF((B9-B6)&gt;=B24,TRUE,FALSE)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A50B-8BCE-0F48-BC7E-05B41AFE9277}">
  <dimension ref="A1:H18"/>
  <sheetViews>
    <sheetView workbookViewId="0">
      <selection sqref="A1:XFD1048576"/>
    </sheetView>
  </sheetViews>
  <sheetFormatPr baseColWidth="10" defaultRowHeight="16" x14ac:dyDescent="0.2"/>
  <cols>
    <col min="1" max="1" width="18.5" bestFit="1" customWidth="1"/>
    <col min="2" max="2" width="20.83203125" bestFit="1" customWidth="1"/>
  </cols>
  <sheetData>
    <row r="1" spans="1:8" x14ac:dyDescent="0.2">
      <c r="A1" t="s">
        <v>24</v>
      </c>
      <c r="B1" t="s">
        <v>23</v>
      </c>
    </row>
    <row r="2" spans="1:8" x14ac:dyDescent="0.2">
      <c r="A2" t="s">
        <v>19</v>
      </c>
      <c r="B2">
        <v>0</v>
      </c>
    </row>
    <row r="3" spans="1:8" x14ac:dyDescent="0.2">
      <c r="A3" t="s">
        <v>18</v>
      </c>
      <c r="B3">
        <f>5125744170/1000000000</f>
        <v>5.1257441699999999</v>
      </c>
    </row>
    <row r="4" spans="1:8" x14ac:dyDescent="0.2">
      <c r="A4" t="s">
        <v>17</v>
      </c>
      <c r="B4">
        <f>460925711/1000000000</f>
        <v>0.46092571100000002</v>
      </c>
    </row>
    <row r="5" spans="1:8" x14ac:dyDescent="0.2">
      <c r="A5" t="s">
        <v>16</v>
      </c>
      <c r="B5">
        <f>463206226/1000000000</f>
        <v>0.463206226</v>
      </c>
    </row>
    <row r="6" spans="1:8" x14ac:dyDescent="0.2">
      <c r="A6" t="s">
        <v>15</v>
      </c>
      <c r="B6">
        <f>6344068000/1000000000</f>
        <v>6.344068</v>
      </c>
    </row>
    <row r="7" spans="1:8" x14ac:dyDescent="0.2">
      <c r="A7" t="s">
        <v>14</v>
      </c>
      <c r="B7">
        <f>6223809000/1000000000</f>
        <v>6.2238090000000001</v>
      </c>
    </row>
    <row r="8" spans="1:8" x14ac:dyDescent="0.2">
      <c r="A8" t="s">
        <v>13</v>
      </c>
      <c r="B8">
        <f>925918900/1000000000</f>
        <v>0.92591889999999999</v>
      </c>
    </row>
    <row r="9" spans="1:8" x14ac:dyDescent="0.2">
      <c r="A9" t="s">
        <v>11</v>
      </c>
      <c r="B9">
        <f>6681922000/1000000000</f>
        <v>6.6819220000000001</v>
      </c>
    </row>
    <row r="11" spans="1:8" x14ac:dyDescent="0.2">
      <c r="B11" t="s">
        <v>31</v>
      </c>
      <c r="C11" t="s">
        <v>30</v>
      </c>
      <c r="D11" t="s">
        <v>29</v>
      </c>
      <c r="E11" t="s">
        <v>28</v>
      </c>
      <c r="F11" t="s">
        <v>27</v>
      </c>
      <c r="G11" t="s">
        <v>26</v>
      </c>
      <c r="H11" t="s">
        <v>25</v>
      </c>
    </row>
    <row r="12" spans="1:8" x14ac:dyDescent="0.2">
      <c r="B12">
        <v>6.7000000000000004E-2</v>
      </c>
      <c r="C12">
        <f>$B$3-B12</f>
        <v>5.0587441699999998</v>
      </c>
      <c r="D12">
        <f>$B$9-$B$8+B12</f>
        <v>5.8230031000000002</v>
      </c>
      <c r="E12">
        <f>$B$4-B12</f>
        <v>0.39392571100000001</v>
      </c>
      <c r="F12">
        <f>$B$9-$B$7+B12</f>
        <v>0.52511299999999994</v>
      </c>
      <c r="G12">
        <f>$B$5-B12</f>
        <v>0.39620622599999999</v>
      </c>
      <c r="H12">
        <f>$B$9-$B$6+B12</f>
        <v>0.4048540000000001</v>
      </c>
    </row>
    <row r="13" spans="1:8" x14ac:dyDescent="0.2">
      <c r="B13">
        <v>0.16</v>
      </c>
      <c r="C13">
        <f>$B$3-B13</f>
        <v>4.9657441699999998</v>
      </c>
      <c r="D13">
        <f>$B$9-$B$8+B13</f>
        <v>5.9160031000000002</v>
      </c>
      <c r="E13">
        <f>$B$4-B13</f>
        <v>0.30092571099999998</v>
      </c>
      <c r="F13">
        <f>$B$9-$B$7+B13</f>
        <v>0.61811300000000002</v>
      </c>
      <c r="G13">
        <f>$B$5-B13</f>
        <v>0.30320622600000002</v>
      </c>
      <c r="H13">
        <f>$B$9-$B$6+B13</f>
        <v>0.49785400000000013</v>
      </c>
    </row>
    <row r="14" spans="1:8" x14ac:dyDescent="0.2">
      <c r="B14">
        <v>0.10199999999999999</v>
      </c>
      <c r="C14">
        <f>$B$3-B14</f>
        <v>5.0237441699999996</v>
      </c>
      <c r="D14">
        <f>$B$9-$B$8+B14</f>
        <v>5.8580031000000004</v>
      </c>
      <c r="E14">
        <f>$B$4-B14</f>
        <v>0.35892571100000004</v>
      </c>
      <c r="F14">
        <f>$B$9-$B$7+B14</f>
        <v>0.56011299999999997</v>
      </c>
      <c r="G14">
        <f>$B$5-B14</f>
        <v>0.36120622600000002</v>
      </c>
      <c r="H14">
        <f>$B$9-$B$6+B14</f>
        <v>0.43985400000000008</v>
      </c>
    </row>
    <row r="16" spans="1:8" x14ac:dyDescent="0.2">
      <c r="C16">
        <f>$B$9-C12</f>
        <v>1.6231778300000004</v>
      </c>
      <c r="D16">
        <f>$B$9-D12</f>
        <v>0.85891889999999993</v>
      </c>
      <c r="E16">
        <f>$B$9-E12</f>
        <v>6.2879962890000005</v>
      </c>
      <c r="F16">
        <f>$B$9-F12</f>
        <v>6.156809</v>
      </c>
      <c r="G16">
        <f>$B$9-G12</f>
        <v>6.2857157739999998</v>
      </c>
      <c r="H16">
        <f>$B$9-H12</f>
        <v>6.2770679999999999</v>
      </c>
    </row>
    <row r="17" spans="3:8" x14ac:dyDescent="0.2">
      <c r="C17">
        <f>$B$9-C13</f>
        <v>1.7161778300000003</v>
      </c>
      <c r="D17">
        <f>$B$9-D13</f>
        <v>0.76591889999999996</v>
      </c>
      <c r="E17">
        <f>$B$9-E13</f>
        <v>6.3809962890000005</v>
      </c>
      <c r="F17">
        <f>$B$9-F13</f>
        <v>6.063809</v>
      </c>
      <c r="G17">
        <f>$B$9-G13</f>
        <v>6.3787157739999998</v>
      </c>
      <c r="H17">
        <f>$B$9-H13</f>
        <v>6.1840679999999999</v>
      </c>
    </row>
    <row r="18" spans="3:8" x14ac:dyDescent="0.2">
      <c r="C18">
        <f>$B$9-C14</f>
        <v>1.6581778300000005</v>
      </c>
      <c r="D18">
        <f>$B$9-D14</f>
        <v>0.82391889999999979</v>
      </c>
      <c r="E18">
        <f>$B$9-E14</f>
        <v>6.3229962889999998</v>
      </c>
      <c r="F18">
        <f>$B$9-F14</f>
        <v>6.1218089999999998</v>
      </c>
      <c r="G18">
        <f>$B$9-G14</f>
        <v>6.320715774</v>
      </c>
      <c r="H18">
        <f>$B$9-H14</f>
        <v>6.2420679999999997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AA9B-9CC8-8545-8CD8-2E9813705584}">
  <dimension ref="A1:M19"/>
  <sheetViews>
    <sheetView workbookViewId="0">
      <selection activeCell="D16" sqref="D16"/>
    </sheetView>
  </sheetViews>
  <sheetFormatPr baseColWidth="10" defaultRowHeight="16" x14ac:dyDescent="0.2"/>
  <cols>
    <col min="1" max="1" width="18.5" bestFit="1" customWidth="1"/>
    <col min="2" max="2" width="20.83203125" bestFit="1" customWidth="1"/>
    <col min="5" max="5" width="21.83203125" customWidth="1"/>
  </cols>
  <sheetData>
    <row r="1" spans="1:13" x14ac:dyDescent="0.2">
      <c r="A1" t="s">
        <v>24</v>
      </c>
      <c r="B1" t="s">
        <v>23</v>
      </c>
      <c r="E1" s="1" t="s">
        <v>49</v>
      </c>
      <c r="F1" t="s">
        <v>48</v>
      </c>
      <c r="G1" t="s">
        <v>47</v>
      </c>
      <c r="H1" t="s">
        <v>46</v>
      </c>
    </row>
    <row r="2" spans="1:13" x14ac:dyDescent="0.2">
      <c r="A2" t="s">
        <v>19</v>
      </c>
      <c r="B2" s="2">
        <v>0</v>
      </c>
      <c r="C2">
        <f>B2/1000000000</f>
        <v>0</v>
      </c>
      <c r="E2" t="s">
        <v>45</v>
      </c>
      <c r="F2" s="2">
        <f>B3</f>
        <v>5125744170</v>
      </c>
      <c r="G2" s="2">
        <f>B6-B3</f>
        <v>1218323830</v>
      </c>
      <c r="H2" s="2">
        <f>B9-F2-G2</f>
        <v>337854000</v>
      </c>
      <c r="I2" s="2"/>
    </row>
    <row r="3" spans="1:13" x14ac:dyDescent="0.2">
      <c r="A3" t="s">
        <v>18</v>
      </c>
      <c r="B3" s="2">
        <f>5125744170</f>
        <v>5125744170</v>
      </c>
      <c r="C3">
        <f>B3/1000000000</f>
        <v>5.1257441699999999</v>
      </c>
      <c r="E3" t="s">
        <v>44</v>
      </c>
      <c r="F3" s="2">
        <f>B3</f>
        <v>5125744170</v>
      </c>
      <c r="G3" s="2">
        <f>B9-F3-H3</f>
        <v>458113000</v>
      </c>
      <c r="H3" s="2">
        <f>B7-F3</f>
        <v>1098064830</v>
      </c>
      <c r="I3" s="2"/>
    </row>
    <row r="4" spans="1:13" x14ac:dyDescent="0.2">
      <c r="A4" t="s">
        <v>17</v>
      </c>
      <c r="B4" s="2">
        <f>460925711</f>
        <v>460925711</v>
      </c>
      <c r="C4">
        <f>B4/1000000000</f>
        <v>0.46092571100000002</v>
      </c>
      <c r="E4" t="s">
        <v>43</v>
      </c>
      <c r="F4" s="2">
        <f>B6-G4</f>
        <v>5883142289</v>
      </c>
      <c r="G4" s="2">
        <f>B4</f>
        <v>460925711</v>
      </c>
      <c r="H4" s="2">
        <f>B9-G4-F4</f>
        <v>337854000</v>
      </c>
      <c r="I4" s="2"/>
    </row>
    <row r="5" spans="1:13" x14ac:dyDescent="0.2">
      <c r="A5" t="s">
        <v>16</v>
      </c>
      <c r="B5" s="2">
        <f>463206226</f>
        <v>463206226</v>
      </c>
      <c r="C5">
        <f>B5/1000000000</f>
        <v>0.463206226</v>
      </c>
      <c r="E5" t="s">
        <v>42</v>
      </c>
      <c r="F5" s="2">
        <f>B9-G5-H5</f>
        <v>5756003100</v>
      </c>
      <c r="G5" s="2">
        <f>B4</f>
        <v>460925711</v>
      </c>
      <c r="H5" s="2">
        <f>B8-G5</f>
        <v>464993189</v>
      </c>
      <c r="I5" s="2"/>
    </row>
    <row r="6" spans="1:13" x14ac:dyDescent="0.2">
      <c r="A6" t="s">
        <v>15</v>
      </c>
      <c r="B6" s="2">
        <f>6344068000</f>
        <v>6344068000</v>
      </c>
      <c r="C6">
        <f>B6/1000000000</f>
        <v>6.344068</v>
      </c>
      <c r="E6" t="s">
        <v>41</v>
      </c>
      <c r="F6" s="2">
        <f>B9-G6-H6</f>
        <v>5756003100</v>
      </c>
      <c r="G6" s="2">
        <f>B8-H6</f>
        <v>462712674</v>
      </c>
      <c r="H6" s="2">
        <f>B5</f>
        <v>463206226</v>
      </c>
      <c r="I6" s="2"/>
    </row>
    <row r="7" spans="1:13" x14ac:dyDescent="0.2">
      <c r="A7" t="s">
        <v>14</v>
      </c>
      <c r="B7" s="2">
        <f>6223809000</f>
        <v>6223809000</v>
      </c>
      <c r="C7">
        <f>B7/1000000000</f>
        <v>6.2238090000000001</v>
      </c>
      <c r="E7" t="s">
        <v>40</v>
      </c>
      <c r="F7" s="2">
        <f>B7-H7</f>
        <v>5760602774</v>
      </c>
      <c r="G7" s="2">
        <f>B9-F7-H7</f>
        <v>458113000</v>
      </c>
      <c r="H7" s="2">
        <f>B5</f>
        <v>463206226</v>
      </c>
      <c r="I7" s="2"/>
    </row>
    <row r="8" spans="1:13" x14ac:dyDescent="0.2">
      <c r="A8" t="s">
        <v>13</v>
      </c>
      <c r="B8" s="2">
        <f>925918900</f>
        <v>925918900</v>
      </c>
      <c r="C8">
        <f>B8/1000000000</f>
        <v>0.92591889999999999</v>
      </c>
    </row>
    <row r="9" spans="1:13" x14ac:dyDescent="0.2">
      <c r="A9" t="s">
        <v>11</v>
      </c>
      <c r="B9" s="2">
        <f>6681922000</f>
        <v>6681922000</v>
      </c>
      <c r="C9">
        <f>B9/1000000000</f>
        <v>6.6819220000000001</v>
      </c>
      <c r="E9" t="s">
        <v>39</v>
      </c>
      <c r="F9" s="2">
        <f>MIN(F2:F7)</f>
        <v>5125744170</v>
      </c>
      <c r="G9" s="2">
        <f>MIN(G2:G7)</f>
        <v>458113000</v>
      </c>
      <c r="H9" s="2">
        <f>MIN(H2:H7)</f>
        <v>337854000</v>
      </c>
      <c r="J9" t="s">
        <v>38</v>
      </c>
      <c r="K9">
        <f>F9/1000000000</f>
        <v>5.1257441699999999</v>
      </c>
      <c r="L9">
        <f>G9/1000000000</f>
        <v>0.45811299999999999</v>
      </c>
      <c r="M9">
        <f>H9/1000000000</f>
        <v>0.33785399999999999</v>
      </c>
    </row>
    <row r="10" spans="1:13" x14ac:dyDescent="0.2">
      <c r="E10" t="s">
        <v>37</v>
      </c>
      <c r="F10" s="2">
        <f>MAX(F2:F7)</f>
        <v>5883142289</v>
      </c>
      <c r="G10" s="2">
        <f>MAX(G2:G7)</f>
        <v>1218323830</v>
      </c>
      <c r="H10" s="2">
        <f>MAX(H2:H7)</f>
        <v>1098064830</v>
      </c>
      <c r="K10">
        <f>F10/1000000000</f>
        <v>5.8831422890000002</v>
      </c>
      <c r="L10">
        <f>G10/1000000000</f>
        <v>1.2183238300000001</v>
      </c>
      <c r="M10">
        <f>H10/1000000000</f>
        <v>1.09806483</v>
      </c>
    </row>
    <row r="11" spans="1:13" x14ac:dyDescent="0.2">
      <c r="F11" s="2"/>
      <c r="G11" s="2"/>
      <c r="H11" s="2"/>
    </row>
    <row r="12" spans="1:13" x14ac:dyDescent="0.2">
      <c r="B12" s="1" t="s">
        <v>36</v>
      </c>
    </row>
    <row r="13" spans="1:13" x14ac:dyDescent="0.2">
      <c r="B13" t="s">
        <v>18</v>
      </c>
      <c r="C13">
        <f>C3/1</f>
        <v>5.1257441699999999</v>
      </c>
    </row>
    <row r="14" spans="1:13" x14ac:dyDescent="0.2">
      <c r="B14" t="s">
        <v>17</v>
      </c>
      <c r="C14">
        <f>C4/1</f>
        <v>0.46092571100000002</v>
      </c>
    </row>
    <row r="15" spans="1:13" x14ac:dyDescent="0.2">
      <c r="B15" t="s">
        <v>16</v>
      </c>
      <c r="C15">
        <f>C5/1</f>
        <v>0.463206226</v>
      </c>
    </row>
    <row r="16" spans="1:13" x14ac:dyDescent="0.2">
      <c r="B16" t="s">
        <v>35</v>
      </c>
      <c r="C16">
        <f>C6/2</f>
        <v>3.172034</v>
      </c>
    </row>
    <row r="17" spans="2:3" x14ac:dyDescent="0.2">
      <c r="B17" t="s">
        <v>34</v>
      </c>
      <c r="C17">
        <f>C7/2</f>
        <v>3.1119045000000001</v>
      </c>
    </row>
    <row r="18" spans="2:3" x14ac:dyDescent="0.2">
      <c r="B18" t="s">
        <v>33</v>
      </c>
      <c r="C18">
        <f>C8/2</f>
        <v>0.46295944999999999</v>
      </c>
    </row>
    <row r="19" spans="2:3" x14ac:dyDescent="0.2">
      <c r="B19" t="s">
        <v>32</v>
      </c>
      <c r="C19">
        <f>C9/3</f>
        <v>2.2273073333333335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epsilon_core_calculation</vt:lpstr>
      <vt:lpstr>epsilon_bounds</vt:lpstr>
      <vt:lpstr>marginal_contribution_calcs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Maanav Jhatakia</dc:creator>
  <cp:lastModifiedBy>Maanav Jhatakia</cp:lastModifiedBy>
  <dcterms:created xsi:type="dcterms:W3CDTF">2023-05-15T06:06:41Z</dcterms:created>
  <dcterms:modified xsi:type="dcterms:W3CDTF">2023-05-15T06:07:27Z</dcterms:modified>
</cp:coreProperties>
</file>