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workspace\buildersrecords\tests\data\"/>
    </mc:Choice>
  </mc:AlternateContent>
  <bookViews>
    <workbookView xWindow="0" yWindow="0" windowWidth="24000" windowHeight="12075" tabRatio="618" firstSheet="1" activeTab="1"/>
  </bookViews>
  <sheets>
    <sheet name="Invoices indexed by Contractor" sheetId="12" r:id="rId1"/>
    <sheet name="Invoices indexed by date" sheetId="9" r:id="rId2"/>
    <sheet name="Invoices indexed by Category" sheetId="11" r:id="rId3"/>
    <sheet name="UBI Cost Review" sheetId="4" r:id="rId4"/>
    <sheet name="Instructions" sheetId="5" r:id="rId5"/>
    <sheet name="IndyMac Line Item Cost" sheetId="6" r:id="rId6"/>
  </sheets>
  <definedNames>
    <definedName name="Job_Total" localSheetId="2">#REF!</definedName>
    <definedName name="Job_Total" localSheetId="0">#REF!</definedName>
    <definedName name="Job_Total">#REF!</definedName>
    <definedName name="_xlnm.Print_Area" localSheetId="5">'IndyMac Line Item Cost'!$B$1:$L$79</definedName>
    <definedName name="_xlnm.Print_Area" localSheetId="4">Instructions!$A$1:$P$105</definedName>
    <definedName name="_xlnm.Print_Area" localSheetId="2">'Invoices indexed by Category'!$A$1:$H$252</definedName>
    <definedName name="_xlnm.Print_Area" localSheetId="3">'UBI Cost Review'!$B$5:$K$1048576</definedName>
    <definedName name="_xlnm.Print_Titles" localSheetId="3">'UBI Cost Review'!$3:$5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2" i="4" l="1"/>
  <c r="J89" i="4"/>
  <c r="F115" i="11"/>
  <c r="F67" i="4"/>
  <c r="H67" i="4"/>
  <c r="H126" i="4"/>
  <c r="F236" i="11"/>
  <c r="F120" i="4"/>
  <c r="H120" i="4"/>
  <c r="H119" i="4"/>
  <c r="H116" i="4"/>
  <c r="F159" i="11"/>
  <c r="F84" i="4"/>
  <c r="H158" i="11"/>
  <c r="H159" i="11"/>
  <c r="I84" i="4"/>
  <c r="E126" i="11"/>
  <c r="G126" i="11"/>
  <c r="H127" i="11"/>
  <c r="H128" i="11"/>
  <c r="H130" i="11"/>
  <c r="H131" i="11"/>
  <c r="H132" i="11"/>
  <c r="G128" i="11"/>
  <c r="G129" i="11"/>
  <c r="G132" i="11"/>
  <c r="F132" i="11"/>
  <c r="H161" i="11"/>
  <c r="H162" i="11"/>
  <c r="H163" i="11"/>
  <c r="G163" i="11"/>
  <c r="F163" i="11"/>
  <c r="H101" i="11"/>
  <c r="H102" i="11"/>
  <c r="H99" i="11"/>
  <c r="H100" i="11"/>
  <c r="H103" i="11"/>
  <c r="H10" i="11"/>
  <c r="H11" i="11"/>
  <c r="H12" i="11"/>
  <c r="H13" i="11"/>
  <c r="H15" i="11"/>
  <c r="H16" i="11"/>
  <c r="H17" i="11"/>
  <c r="E19" i="11"/>
  <c r="G19" i="11"/>
  <c r="H19" i="11"/>
  <c r="E20" i="11"/>
  <c r="G20" i="11"/>
  <c r="H20" i="11"/>
  <c r="H21" i="11"/>
  <c r="H23" i="11"/>
  <c r="H24" i="11"/>
  <c r="H27" i="11"/>
  <c r="H29" i="11"/>
  <c r="H30" i="11"/>
  <c r="H31" i="11"/>
  <c r="H33" i="11"/>
  <c r="H34" i="11"/>
  <c r="H35" i="11"/>
  <c r="H37" i="11"/>
  <c r="H38" i="11"/>
  <c r="H40" i="11"/>
  <c r="H41" i="11"/>
  <c r="H42" i="11"/>
  <c r="H43" i="11"/>
  <c r="H45" i="11"/>
  <c r="H46" i="11"/>
  <c r="H47" i="11"/>
  <c r="H48" i="11"/>
  <c r="H50" i="11"/>
  <c r="H51" i="11"/>
  <c r="H52" i="11"/>
  <c r="H54" i="11"/>
  <c r="H55" i="11"/>
  <c r="H56" i="11"/>
  <c r="H58" i="11"/>
  <c r="H59" i="11"/>
  <c r="H60" i="11"/>
  <c r="H61" i="11"/>
  <c r="H63" i="11"/>
  <c r="H64" i="11"/>
  <c r="H65" i="11"/>
  <c r="H66" i="11"/>
  <c r="H68" i="11"/>
  <c r="H69" i="11"/>
  <c r="G71" i="11"/>
  <c r="H71" i="11"/>
  <c r="H72" i="11"/>
  <c r="H73" i="11"/>
  <c r="H74" i="11"/>
  <c r="H75" i="11"/>
  <c r="H77" i="11"/>
  <c r="H78" i="11"/>
  <c r="H80" i="11"/>
  <c r="H81" i="11"/>
  <c r="H83" i="11"/>
  <c r="H84" i="11"/>
  <c r="H86" i="11"/>
  <c r="H87" i="11"/>
  <c r="H88" i="11"/>
  <c r="H91" i="11"/>
  <c r="H92" i="11"/>
  <c r="E147" i="11"/>
  <c r="E150" i="11"/>
  <c r="E94" i="11"/>
  <c r="H94" i="11"/>
  <c r="E95" i="11"/>
  <c r="H95" i="11"/>
  <c r="H96" i="11"/>
  <c r="H97" i="11"/>
  <c r="H105" i="11"/>
  <c r="H106" i="11"/>
  <c r="H107" i="11"/>
  <c r="H108" i="11"/>
  <c r="H110" i="11"/>
  <c r="H111" i="11"/>
  <c r="H112" i="11"/>
  <c r="H114" i="11"/>
  <c r="H115" i="11"/>
  <c r="H117" i="11"/>
  <c r="H119" i="11"/>
  <c r="H120" i="11"/>
  <c r="H123" i="11"/>
  <c r="H124" i="11"/>
  <c r="H136" i="11"/>
  <c r="H140" i="11"/>
  <c r="H145" i="11"/>
  <c r="H147" i="11"/>
  <c r="H148" i="11"/>
  <c r="H150" i="11"/>
  <c r="H151" i="11"/>
  <c r="H154" i="11"/>
  <c r="H155" i="11"/>
  <c r="H156" i="11"/>
  <c r="H165" i="11"/>
  <c r="H166" i="11"/>
  <c r="H167" i="11"/>
  <c r="H168" i="11"/>
  <c r="H171" i="11"/>
  <c r="H177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E192" i="11"/>
  <c r="G192" i="11"/>
  <c r="H193" i="11"/>
  <c r="H194" i="11"/>
  <c r="H195" i="11"/>
  <c r="H196" i="11"/>
  <c r="H198" i="11"/>
  <c r="H204" i="11"/>
  <c r="H205" i="11"/>
  <c r="E207" i="11"/>
  <c r="G207" i="11"/>
  <c r="H208" i="11"/>
  <c r="H209" i="11"/>
  <c r="H210" i="11"/>
  <c r="H211" i="11"/>
  <c r="H212" i="11"/>
  <c r="H213" i="11"/>
  <c r="H214" i="11"/>
  <c r="H216" i="11"/>
  <c r="H218" i="11"/>
  <c r="H220" i="11"/>
  <c r="H221" i="11"/>
  <c r="H224" i="11"/>
  <c r="E224" i="11"/>
  <c r="G224" i="11"/>
  <c r="H225" i="11"/>
  <c r="H226" i="11"/>
  <c r="H227" i="11"/>
  <c r="H228" i="11"/>
  <c r="H229" i="11"/>
  <c r="H230" i="11"/>
  <c r="H233" i="11"/>
  <c r="H239" i="11"/>
  <c r="H236" i="11"/>
  <c r="H200" i="11"/>
  <c r="E201" i="11"/>
  <c r="H201" i="11"/>
  <c r="H202" i="11"/>
  <c r="H241" i="11"/>
  <c r="G134" i="11"/>
  <c r="G137" i="11"/>
  <c r="G138" i="11"/>
  <c r="G139" i="11"/>
  <c r="G135" i="11"/>
  <c r="G136" i="11"/>
  <c r="G141" i="11"/>
  <c r="G142" i="11"/>
  <c r="G143" i="11"/>
  <c r="G144" i="11"/>
  <c r="G145" i="11"/>
  <c r="G13" i="11"/>
  <c r="G17" i="11"/>
  <c r="G21" i="11"/>
  <c r="G25" i="11"/>
  <c r="G26" i="11"/>
  <c r="G27" i="11"/>
  <c r="G31" i="11"/>
  <c r="G35" i="11"/>
  <c r="G38" i="11"/>
  <c r="G43" i="11"/>
  <c r="G48" i="11"/>
  <c r="G52" i="11"/>
  <c r="G61" i="11"/>
  <c r="G66" i="11"/>
  <c r="G69" i="11"/>
  <c r="G75" i="11"/>
  <c r="G78" i="11"/>
  <c r="G81" i="11"/>
  <c r="G84" i="11"/>
  <c r="G88" i="11"/>
  <c r="G90" i="11"/>
  <c r="G92" i="11"/>
  <c r="G97" i="11"/>
  <c r="G103" i="11"/>
  <c r="G105" i="11"/>
  <c r="G108" i="11"/>
  <c r="G112" i="11"/>
  <c r="G115" i="11"/>
  <c r="G117" i="11"/>
  <c r="G118" i="11"/>
  <c r="G120" i="11"/>
  <c r="G122" i="11"/>
  <c r="G124" i="11"/>
  <c r="G148" i="11"/>
  <c r="G151" i="11"/>
  <c r="G153" i="11"/>
  <c r="G156" i="11"/>
  <c r="G168" i="11"/>
  <c r="G170" i="11"/>
  <c r="G171" i="11"/>
  <c r="G174" i="11"/>
  <c r="E175" i="11"/>
  <c r="G175" i="11"/>
  <c r="G176" i="11"/>
  <c r="G177" i="11"/>
  <c r="G195" i="11"/>
  <c r="G196" i="11"/>
  <c r="G197" i="11"/>
  <c r="G198" i="11"/>
  <c r="G205" i="11"/>
  <c r="G217" i="11"/>
  <c r="G218" i="11"/>
  <c r="G221" i="11"/>
  <c r="G231" i="11"/>
  <c r="G232" i="11"/>
  <c r="G233" i="11"/>
  <c r="G239" i="11"/>
  <c r="G235" i="11"/>
  <c r="G236" i="11"/>
  <c r="G202" i="11"/>
  <c r="G159" i="11"/>
  <c r="G241" i="11"/>
  <c r="F177" i="11"/>
  <c r="F97" i="11"/>
  <c r="E5" i="9"/>
  <c r="E18" i="9"/>
  <c r="E19" i="9"/>
  <c r="E61" i="9"/>
  <c r="E62" i="9"/>
  <c r="E73" i="9"/>
  <c r="E86" i="9"/>
  <c r="E94" i="9"/>
  <c r="E96" i="9"/>
  <c r="E133" i="9"/>
  <c r="E131" i="9"/>
  <c r="E132" i="9"/>
  <c r="E130" i="9"/>
  <c r="E134" i="9"/>
  <c r="E143" i="9"/>
  <c r="F85" i="4"/>
  <c r="J85" i="4"/>
  <c r="F120" i="11"/>
  <c r="F69" i="4"/>
  <c r="H69" i="4"/>
  <c r="J69" i="4"/>
  <c r="F124" i="11"/>
  <c r="F70" i="4"/>
  <c r="H70" i="4"/>
  <c r="J70" i="4"/>
  <c r="F71" i="4"/>
  <c r="H71" i="4"/>
  <c r="J71" i="4"/>
  <c r="F171" i="11"/>
  <c r="F91" i="4"/>
  <c r="H91" i="4"/>
  <c r="J91" i="4"/>
  <c r="H77" i="4"/>
  <c r="H78" i="4"/>
  <c r="J78" i="4"/>
  <c r="H87" i="4"/>
  <c r="H89" i="4"/>
  <c r="J94" i="4"/>
  <c r="J139" i="4"/>
  <c r="F205" i="11"/>
  <c r="F105" i="4"/>
  <c r="H105" i="4"/>
  <c r="F218" i="11"/>
  <c r="F110" i="4"/>
  <c r="J110" i="4"/>
  <c r="H97" i="4"/>
  <c r="J97" i="4"/>
  <c r="H100" i="4"/>
  <c r="J100" i="4"/>
  <c r="H104" i="4"/>
  <c r="H106" i="4"/>
  <c r="H107" i="4"/>
  <c r="J107" i="4"/>
  <c r="J113" i="4"/>
  <c r="H114" i="4"/>
  <c r="J116" i="4"/>
  <c r="H118" i="4"/>
  <c r="J118" i="4"/>
  <c r="H128" i="4"/>
  <c r="J128" i="4"/>
  <c r="J131" i="4"/>
  <c r="J140" i="4"/>
  <c r="F48" i="11"/>
  <c r="F18" i="4"/>
  <c r="H18" i="4"/>
  <c r="J18" i="4"/>
  <c r="F52" i="11"/>
  <c r="F21" i="4"/>
  <c r="H21" i="4"/>
  <c r="J21" i="4"/>
  <c r="F56" i="11"/>
  <c r="F23" i="4"/>
  <c r="H23" i="4"/>
  <c r="J23" i="4"/>
  <c r="F61" i="11"/>
  <c r="F25" i="4"/>
  <c r="H25" i="4"/>
  <c r="J25" i="4"/>
  <c r="H30" i="4"/>
  <c r="J34" i="4"/>
  <c r="J134" i="4"/>
  <c r="F55" i="4"/>
  <c r="H55" i="4"/>
  <c r="J61" i="4"/>
  <c r="J138" i="4"/>
  <c r="J16" i="4"/>
  <c r="J133" i="4"/>
  <c r="H42" i="4"/>
  <c r="J42" i="4"/>
  <c r="J44" i="4"/>
  <c r="J135" i="4"/>
  <c r="J136" i="4"/>
  <c r="J53" i="4"/>
  <c r="J137" i="4"/>
  <c r="J141" i="4"/>
  <c r="I110" i="4"/>
  <c r="I120" i="4"/>
  <c r="I96" i="4"/>
  <c r="I98" i="4"/>
  <c r="I99" i="4"/>
  <c r="I105" i="4"/>
  <c r="I115" i="4"/>
  <c r="I116" i="4"/>
  <c r="I131" i="4"/>
  <c r="I140" i="4"/>
  <c r="I7" i="4"/>
  <c r="I8" i="4"/>
  <c r="I10" i="4"/>
  <c r="I11" i="4"/>
  <c r="I12" i="4"/>
  <c r="I13" i="4"/>
  <c r="I15" i="4"/>
  <c r="I16" i="4"/>
  <c r="I133" i="4"/>
  <c r="I18" i="4"/>
  <c r="I21" i="4"/>
  <c r="I23" i="4"/>
  <c r="I25" i="4"/>
  <c r="I28" i="4"/>
  <c r="I29" i="4"/>
  <c r="I32" i="4"/>
  <c r="I34" i="4"/>
  <c r="I134" i="4"/>
  <c r="I36" i="4"/>
  <c r="I37" i="4"/>
  <c r="I39" i="4"/>
  <c r="I44" i="4"/>
  <c r="I135" i="4"/>
  <c r="I50" i="4"/>
  <c r="I51" i="4"/>
  <c r="I53" i="4"/>
  <c r="I137" i="4"/>
  <c r="I55" i="4"/>
  <c r="I56" i="4"/>
  <c r="I61" i="4"/>
  <c r="I138" i="4"/>
  <c r="I63" i="4"/>
  <c r="I65" i="4"/>
  <c r="I67" i="4"/>
  <c r="I69" i="4"/>
  <c r="I70" i="4"/>
  <c r="I71" i="4"/>
  <c r="I72" i="4"/>
  <c r="I73" i="4"/>
  <c r="I75" i="4"/>
  <c r="I76" i="4"/>
  <c r="I85" i="4"/>
  <c r="I86" i="4"/>
  <c r="I91" i="4"/>
  <c r="I94" i="4"/>
  <c r="I139" i="4"/>
  <c r="I136" i="4"/>
  <c r="I141" i="4"/>
  <c r="H145" i="4"/>
  <c r="F202" i="11"/>
  <c r="F99" i="4"/>
  <c r="F8" i="11"/>
  <c r="F13" i="11"/>
  <c r="F17" i="11"/>
  <c r="F21" i="11"/>
  <c r="F27" i="11"/>
  <c r="F31" i="11"/>
  <c r="F35" i="11"/>
  <c r="F38" i="11"/>
  <c r="F43" i="11"/>
  <c r="F66" i="11"/>
  <c r="F69" i="11"/>
  <c r="F75" i="11"/>
  <c r="F78" i="11"/>
  <c r="F81" i="11"/>
  <c r="F84" i="11"/>
  <c r="F88" i="11"/>
  <c r="F92" i="11"/>
  <c r="F103" i="11"/>
  <c r="F108" i="11"/>
  <c r="F112" i="11"/>
  <c r="F145" i="11"/>
  <c r="F148" i="11"/>
  <c r="F151" i="11"/>
  <c r="F156" i="11"/>
  <c r="F168" i="11"/>
  <c r="E196" i="11"/>
  <c r="F198" i="11"/>
  <c r="F221" i="11"/>
  <c r="F233" i="11"/>
  <c r="F239" i="11"/>
  <c r="F241" i="11"/>
  <c r="D68" i="12"/>
  <c r="D7" i="12"/>
  <c r="D8" i="12"/>
  <c r="D125" i="12"/>
  <c r="D126" i="12"/>
  <c r="D36" i="12"/>
  <c r="D2" i="12"/>
  <c r="D32" i="12"/>
  <c r="D83" i="12"/>
  <c r="D130" i="12"/>
  <c r="H99" i="4"/>
  <c r="H102" i="4"/>
  <c r="H103" i="4"/>
  <c r="H110" i="4"/>
  <c r="H113" i="4"/>
  <c r="F117" i="4"/>
  <c r="H117" i="4"/>
  <c r="H84" i="4"/>
  <c r="H85" i="4"/>
  <c r="H88" i="4"/>
  <c r="I130" i="4"/>
  <c r="K76" i="4"/>
  <c r="F96" i="4"/>
  <c r="F98" i="4"/>
  <c r="F115" i="4"/>
  <c r="F130" i="4"/>
  <c r="F131" i="4"/>
  <c r="F63" i="4"/>
  <c r="F65" i="4"/>
  <c r="F72" i="4"/>
  <c r="F73" i="4"/>
  <c r="F75" i="4"/>
  <c r="F76" i="4"/>
  <c r="F86" i="4"/>
  <c r="F94" i="4"/>
  <c r="F56" i="4"/>
  <c r="F61" i="4"/>
  <c r="F50" i="4"/>
  <c r="F51" i="4"/>
  <c r="F53" i="4"/>
  <c r="F48" i="4"/>
  <c r="F36" i="4"/>
  <c r="F37" i="4"/>
  <c r="F39" i="4"/>
  <c r="F44" i="4"/>
  <c r="F28" i="4"/>
  <c r="F29" i="4"/>
  <c r="F32" i="4"/>
  <c r="F34" i="4"/>
  <c r="F7" i="4"/>
  <c r="F8" i="4"/>
  <c r="F10" i="4"/>
  <c r="F11" i="4"/>
  <c r="F12" i="4"/>
  <c r="F13" i="4"/>
  <c r="F14" i="4"/>
  <c r="F15" i="4"/>
  <c r="F16" i="4"/>
  <c r="F141" i="4"/>
  <c r="E131" i="4"/>
  <c r="E94" i="4"/>
  <c r="E61" i="4"/>
  <c r="E53" i="4"/>
  <c r="E48" i="4"/>
  <c r="E44" i="4"/>
  <c r="E34" i="4"/>
  <c r="E16" i="4"/>
  <c r="E141" i="4"/>
  <c r="F142" i="4"/>
  <c r="D248" i="11"/>
  <c r="H2" i="11"/>
  <c r="H3" i="11"/>
  <c r="H4" i="11"/>
  <c r="H5" i="11"/>
  <c r="H6" i="11"/>
  <c r="H7" i="11"/>
  <c r="H8" i="11"/>
  <c r="G8" i="11"/>
  <c r="H75" i="4"/>
  <c r="F133" i="4"/>
  <c r="G16" i="4"/>
  <c r="G133" i="4"/>
  <c r="E133" i="4"/>
  <c r="H133" i="4"/>
  <c r="F134" i="4"/>
  <c r="G34" i="4"/>
  <c r="G134" i="4"/>
  <c r="E134" i="4"/>
  <c r="H134" i="4"/>
  <c r="F135" i="4"/>
  <c r="G44" i="4"/>
  <c r="G135" i="4"/>
  <c r="E135" i="4"/>
  <c r="H135" i="4"/>
  <c r="F136" i="4"/>
  <c r="G48" i="4"/>
  <c r="G136" i="4"/>
  <c r="E136" i="4"/>
  <c r="H136" i="4"/>
  <c r="F137" i="4"/>
  <c r="G53" i="4"/>
  <c r="G137" i="4"/>
  <c r="E137" i="4"/>
  <c r="H137" i="4"/>
  <c r="F138" i="4"/>
  <c r="G61" i="4"/>
  <c r="G138" i="4"/>
  <c r="E138" i="4"/>
  <c r="H138" i="4"/>
  <c r="F139" i="4"/>
  <c r="G94" i="4"/>
  <c r="G139" i="4"/>
  <c r="E139" i="4"/>
  <c r="H139" i="4"/>
  <c r="F140" i="4"/>
  <c r="G131" i="4"/>
  <c r="G140" i="4"/>
  <c r="E140" i="4"/>
  <c r="H140" i="4"/>
  <c r="H141" i="4"/>
  <c r="H240" i="11"/>
  <c r="F243" i="11"/>
  <c r="F245" i="11"/>
  <c r="H76" i="4"/>
  <c r="H15" i="4"/>
  <c r="H14" i="4"/>
  <c r="H13" i="4"/>
  <c r="H12" i="4"/>
  <c r="H10" i="4"/>
  <c r="H63" i="4"/>
  <c r="K10" i="4"/>
  <c r="H9" i="4"/>
  <c r="K142" i="4"/>
  <c r="L4" i="4"/>
  <c r="K78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1" i="4"/>
  <c r="M132" i="4"/>
  <c r="F22" i="6"/>
  <c r="K21" i="6"/>
  <c r="F21" i="6"/>
  <c r="K20" i="6"/>
  <c r="F20" i="6"/>
  <c r="K19" i="6"/>
  <c r="F19" i="6"/>
  <c r="F69" i="6"/>
  <c r="F68" i="6"/>
  <c r="K67" i="6"/>
  <c r="F67" i="6"/>
  <c r="K66" i="6"/>
  <c r="F66" i="6"/>
  <c r="K65" i="6"/>
  <c r="F65" i="6"/>
  <c r="K64" i="6"/>
  <c r="F64" i="6"/>
  <c r="K63" i="6"/>
  <c r="F63" i="6"/>
  <c r="K62" i="6"/>
  <c r="F62" i="6"/>
  <c r="K61" i="6"/>
  <c r="F61" i="6"/>
  <c r="K60" i="6"/>
  <c r="F60" i="6"/>
  <c r="K59" i="6"/>
  <c r="F59" i="6"/>
  <c r="K58" i="6"/>
  <c r="F58" i="6"/>
  <c r="K57" i="6"/>
  <c r="F57" i="6"/>
  <c r="K56" i="6"/>
  <c r="F56" i="6"/>
  <c r="F70" i="6"/>
  <c r="K55" i="6"/>
  <c r="K54" i="6"/>
  <c r="F54" i="6"/>
  <c r="K53" i="6"/>
  <c r="F53" i="6"/>
  <c r="K52" i="6"/>
  <c r="F52" i="6"/>
  <c r="K51" i="6"/>
  <c r="F51" i="6"/>
  <c r="K50" i="6"/>
  <c r="F50" i="6"/>
  <c r="K49" i="6"/>
  <c r="F49" i="6"/>
  <c r="K48" i="6"/>
  <c r="F48" i="6"/>
  <c r="K47" i="6"/>
  <c r="K46" i="6"/>
  <c r="F46" i="6"/>
  <c r="K45" i="6"/>
  <c r="F45" i="6"/>
  <c r="K44" i="6"/>
  <c r="F44" i="6"/>
  <c r="K43" i="6"/>
  <c r="F43" i="6"/>
  <c r="F37" i="6"/>
  <c r="F38" i="6"/>
  <c r="F39" i="6"/>
  <c r="F40" i="6"/>
  <c r="F41" i="6"/>
  <c r="F42" i="6"/>
  <c r="F47" i="6"/>
  <c r="K41" i="6"/>
  <c r="K40" i="6"/>
  <c r="K39" i="6"/>
  <c r="K38" i="6"/>
  <c r="K37" i="6"/>
  <c r="K36" i="6"/>
  <c r="K35" i="6"/>
  <c r="K34" i="6"/>
  <c r="F34" i="6"/>
  <c r="F33" i="6"/>
  <c r="K32" i="6"/>
  <c r="F32" i="6"/>
  <c r="K31" i="6"/>
  <c r="F31" i="6"/>
  <c r="K30" i="6"/>
  <c r="F30" i="6"/>
  <c r="K29" i="6"/>
  <c r="F29" i="6"/>
  <c r="K28" i="6"/>
  <c r="F28" i="6"/>
  <c r="K27" i="6"/>
  <c r="F27" i="6"/>
  <c r="K26" i="6"/>
  <c r="K25" i="6"/>
  <c r="K22" i="6"/>
  <c r="K23" i="6"/>
  <c r="K24" i="6"/>
  <c r="K33" i="6"/>
  <c r="F24" i="6"/>
  <c r="F23" i="6"/>
  <c r="F25" i="6"/>
  <c r="K68" i="6"/>
  <c r="F55" i="6"/>
  <c r="K42" i="6"/>
  <c r="B10" i="4"/>
  <c r="B11" i="4"/>
  <c r="B12" i="4"/>
  <c r="B14" i="4"/>
  <c r="B15" i="4"/>
  <c r="B18" i="4"/>
  <c r="B19" i="4"/>
  <c r="B21" i="4"/>
  <c r="B23" i="4"/>
  <c r="B26" i="4"/>
  <c r="B27" i="4"/>
  <c r="B28" i="4"/>
  <c r="B30" i="4"/>
  <c r="B32" i="4"/>
  <c r="B41" i="4"/>
  <c r="B42" i="4"/>
  <c r="B66" i="4"/>
  <c r="B67" i="4"/>
  <c r="B74" i="4"/>
  <c r="B76" i="4"/>
  <c r="B77" i="4"/>
  <c r="B78" i="4"/>
  <c r="B80" i="4"/>
  <c r="B89" i="4"/>
  <c r="B92" i="4"/>
  <c r="B93" i="4"/>
  <c r="B97" i="4"/>
  <c r="B102" i="4"/>
  <c r="B107" i="4"/>
  <c r="B109" i="4"/>
  <c r="B112" i="4"/>
  <c r="B113" i="4"/>
  <c r="B114" i="4"/>
  <c r="B115" i="4"/>
  <c r="B116" i="4"/>
  <c r="B117" i="4"/>
  <c r="B119" i="4"/>
  <c r="B120" i="4"/>
  <c r="B124" i="4"/>
  <c r="B125" i="4"/>
  <c r="B126" i="4"/>
  <c r="B127" i="4"/>
  <c r="B128" i="4"/>
  <c r="B129" i="4"/>
  <c r="K131" i="4"/>
  <c r="H94" i="4"/>
  <c r="K94" i="4"/>
  <c r="K61" i="4"/>
  <c r="H53" i="4"/>
  <c r="K48" i="4"/>
  <c r="H44" i="4"/>
  <c r="K34" i="4"/>
  <c r="K100" i="4"/>
  <c r="K101" i="4"/>
  <c r="K102" i="4"/>
  <c r="K103" i="4"/>
  <c r="K104" i="4"/>
  <c r="K105" i="4"/>
  <c r="K121" i="4"/>
  <c r="K113" i="4"/>
  <c r="K114" i="4"/>
  <c r="K115" i="4"/>
  <c r="K116" i="4"/>
  <c r="K96" i="4"/>
  <c r="K97" i="4"/>
  <c r="K29" i="4"/>
  <c r="K89" i="4"/>
  <c r="K122" i="4"/>
  <c r="K129" i="4"/>
  <c r="K123" i="4"/>
  <c r="K79" i="4"/>
  <c r="K80" i="4"/>
  <c r="K117" i="4"/>
  <c r="K98" i="4"/>
  <c r="K83" i="4"/>
  <c r="K124" i="4"/>
  <c r="K118" i="4"/>
  <c r="K119" i="4"/>
  <c r="K38" i="4"/>
  <c r="K125" i="4"/>
  <c r="K41" i="4"/>
  <c r="K42" i="4"/>
  <c r="K91" i="4"/>
  <c r="K92" i="4"/>
  <c r="K93" i="4"/>
  <c r="K128" i="4"/>
  <c r="K81" i="4"/>
  <c r="K111" i="4"/>
  <c r="K112" i="4"/>
  <c r="K110" i="4"/>
  <c r="K120" i="4"/>
  <c r="K106" i="4"/>
  <c r="K87" i="4"/>
  <c r="K107" i="4"/>
  <c r="K126" i="4"/>
  <c r="K127" i="4"/>
  <c r="K99" i="4"/>
  <c r="K108" i="4"/>
  <c r="K109" i="4"/>
  <c r="K85" i="4"/>
  <c r="K84" i="4"/>
  <c r="K88" i="4"/>
  <c r="K63" i="4"/>
  <c r="K64" i="4"/>
  <c r="K73" i="4"/>
  <c r="K75" i="4"/>
  <c r="K74" i="4"/>
  <c r="K86" i="4"/>
  <c r="K65" i="4"/>
  <c r="K66" i="4"/>
  <c r="K90" i="4"/>
  <c r="K77" i="4"/>
  <c r="K8" i="4"/>
  <c r="K9" i="4"/>
  <c r="K11" i="4"/>
  <c r="K13" i="4"/>
  <c r="K7" i="4"/>
  <c r="K19" i="4"/>
  <c r="K14" i="4"/>
  <c r="K20" i="4"/>
  <c r="K22" i="4"/>
  <c r="K23" i="4"/>
  <c r="K25" i="4"/>
  <c r="K15" i="4"/>
  <c r="K18" i="4"/>
  <c r="K143" i="4"/>
  <c r="K55" i="4"/>
  <c r="K52" i="4"/>
  <c r="K33" i="4"/>
  <c r="K36" i="4"/>
  <c r="K37" i="4"/>
  <c r="K39" i="4"/>
  <c r="K40" i="4"/>
  <c r="K31" i="4"/>
  <c r="K46" i="4"/>
  <c r="K26" i="4"/>
  <c r="K47" i="4"/>
  <c r="K27" i="4"/>
  <c r="K28" i="4"/>
  <c r="K24" i="4"/>
  <c r="K32" i="4"/>
  <c r="K43" i="4"/>
  <c r="K50" i="4"/>
  <c r="K51" i="4"/>
  <c r="K21" i="4"/>
  <c r="K30" i="4"/>
  <c r="K57" i="4"/>
  <c r="K59" i="4"/>
  <c r="K58" i="4"/>
  <c r="K56" i="4"/>
  <c r="K60" i="4"/>
  <c r="K69" i="4"/>
  <c r="K70" i="4"/>
  <c r="K71" i="4"/>
  <c r="K72" i="4"/>
  <c r="K82" i="4"/>
  <c r="K67" i="4"/>
  <c r="K68" i="4"/>
  <c r="H143" i="4"/>
  <c r="H16" i="4"/>
  <c r="H48" i="4"/>
  <c r="H61" i="4"/>
  <c r="G141" i="4"/>
  <c r="G144" i="4"/>
  <c r="F144" i="4"/>
  <c r="H96" i="4"/>
  <c r="H98" i="4"/>
  <c r="H101" i="4"/>
  <c r="H108" i="4"/>
  <c r="H109" i="4"/>
  <c r="H111" i="4"/>
  <c r="H112" i="4"/>
  <c r="H115" i="4"/>
  <c r="H121" i="4"/>
  <c r="H122" i="4"/>
  <c r="H123" i="4"/>
  <c r="H124" i="4"/>
  <c r="H125" i="4"/>
  <c r="H127" i="4"/>
  <c r="H129" i="4"/>
  <c r="H64" i="4"/>
  <c r="H65" i="4"/>
  <c r="H66" i="4"/>
  <c r="H68" i="4"/>
  <c r="H72" i="4"/>
  <c r="H73" i="4"/>
  <c r="H74" i="4"/>
  <c r="H79" i="4"/>
  <c r="H80" i="4"/>
  <c r="H81" i="4"/>
  <c r="H82" i="4"/>
  <c r="H83" i="4"/>
  <c r="H86" i="4"/>
  <c r="H90" i="4"/>
  <c r="H92" i="4"/>
  <c r="H93" i="4"/>
  <c r="H56" i="4"/>
  <c r="H57" i="4"/>
  <c r="H58" i="4"/>
  <c r="H59" i="4"/>
  <c r="H60" i="4"/>
  <c r="H19" i="4"/>
  <c r="H20" i="4"/>
  <c r="H22" i="4"/>
  <c r="H24" i="4"/>
  <c r="H26" i="4"/>
  <c r="H27" i="4"/>
  <c r="H28" i="4"/>
  <c r="H29" i="4"/>
  <c r="H31" i="4"/>
  <c r="H32" i="4"/>
  <c r="H33" i="4"/>
  <c r="H8" i="4"/>
  <c r="H11" i="4"/>
  <c r="H36" i="4"/>
  <c r="H37" i="4"/>
  <c r="H38" i="4"/>
  <c r="H39" i="4"/>
  <c r="H40" i="4"/>
  <c r="H41" i="4"/>
  <c r="H43" i="4"/>
  <c r="H46" i="4"/>
  <c r="H47" i="4"/>
  <c r="H50" i="4"/>
  <c r="H51" i="4"/>
  <c r="H52" i="4"/>
  <c r="K133" i="4"/>
  <c r="E144" i="4"/>
  <c r="D2" i="4"/>
  <c r="F35" i="6"/>
  <c r="F36" i="6"/>
  <c r="K69" i="6"/>
  <c r="K70" i="6"/>
  <c r="K134" i="4"/>
  <c r="K44" i="4"/>
  <c r="K53" i="4"/>
  <c r="K16" i="4"/>
  <c r="K141" i="4"/>
  <c r="K144" i="4"/>
  <c r="K140" i="4"/>
  <c r="K136" i="4"/>
  <c r="H131" i="4"/>
  <c r="H34" i="4"/>
  <c r="H144" i="4"/>
  <c r="K135" i="4"/>
  <c r="K137" i="4"/>
  <c r="K139" i="4"/>
  <c r="K138" i="4"/>
  <c r="G242" i="11"/>
  <c r="H243" i="11"/>
  <c r="H245" i="11"/>
  <c r="D247" i="11"/>
  <c r="D249" i="11"/>
  <c r="I142" i="4"/>
  <c r="J142" i="4"/>
  <c r="E247" i="11"/>
  <c r="G245" i="11"/>
  <c r="G243" i="11"/>
</calcChain>
</file>

<file path=xl/comments1.xml><?xml version="1.0" encoding="utf-8"?>
<comments xmlns="http://schemas.openxmlformats.org/spreadsheetml/2006/main">
  <authors>
    <author>Kenneth Cornett</author>
  </authors>
  <commentList>
    <comment ref="D2" authorId="0" shapeId="0">
      <text>
        <r>
          <rPr>
            <b/>
            <sz val="14"/>
            <color indexed="81"/>
            <rFont val="Arial"/>
            <family val="2"/>
          </rPr>
          <t>Shows a running display of the total so you don't have to go to the end of the spreadsheet everytime you want to know what the new total is.</t>
        </r>
        <r>
          <rPr>
            <sz val="12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<sst xmlns="http://schemas.openxmlformats.org/spreadsheetml/2006/main" count="1411" uniqueCount="557">
  <si>
    <t>Vendor</t>
  </si>
  <si>
    <t>Date</t>
  </si>
  <si>
    <t>Description</t>
  </si>
  <si>
    <t>Amount</t>
  </si>
  <si>
    <t>Notes</t>
  </si>
  <si>
    <t>84 Lumber</t>
  </si>
  <si>
    <t>Lumber</t>
  </si>
  <si>
    <t>Blanco</t>
  </si>
  <si>
    <t>Madera Ventanas Puertas</t>
  </si>
  <si>
    <t>ABP Technology</t>
  </si>
  <si>
    <t>UTP cables, video cameras</t>
  </si>
  <si>
    <t>Messer</t>
  </si>
  <si>
    <t>Camera + AP</t>
  </si>
  <si>
    <t>Amazon</t>
  </si>
  <si>
    <t>Kitchen faucets</t>
  </si>
  <si>
    <t>Bathroom faucet</t>
  </si>
  <si>
    <t>Door Stops</t>
  </si>
  <si>
    <t>Door handles</t>
  </si>
  <si>
    <t>Bathroom accessories</t>
  </si>
  <si>
    <t>Door handles keypad</t>
  </si>
  <si>
    <t>Closet Door pull</t>
  </si>
  <si>
    <t>Capital Lighting Vanity Mist Scavo Creek Stone</t>
  </si>
  <si>
    <t>6x Capital Lighting Wall Lantern (Medium)</t>
  </si>
  <si>
    <t>2x Capital Lighting Wall Lantern (Large)</t>
  </si>
  <si>
    <t>Kichler Lighting</t>
  </si>
  <si>
    <t>1X Millennium Lighting (Flush Mounted)</t>
  </si>
  <si>
    <t>1X MB Sink faucet</t>
  </si>
  <si>
    <t>2x shower flange</t>
  </si>
  <si>
    <t>2x shower faucets &amp; valves</t>
  </si>
  <si>
    <t>1X Tub faucet</t>
  </si>
  <si>
    <t>Powder Room Vanity Light</t>
  </si>
  <si>
    <t>Bathroom Drain</t>
  </si>
  <si>
    <t>Bathroom Faucet</t>
  </si>
  <si>
    <t>Wiring-networking (group of invoices)</t>
  </si>
  <si>
    <t>Monogram Brass</t>
  </si>
  <si>
    <t>Yamaha natural sound 120 watts</t>
  </si>
  <si>
    <t>Low Voltage</t>
  </si>
  <si>
    <t>Ameri Surveyors</t>
  </si>
  <si>
    <t>Form Check Boundary</t>
  </si>
  <si>
    <t>Associated Plumbing</t>
  </si>
  <si>
    <t>First Draw</t>
  </si>
  <si>
    <t>Plumbing</t>
  </si>
  <si>
    <t>ATG Stores</t>
  </si>
  <si>
    <t>2X Millennium Lighting (Flush Mounted)</t>
  </si>
  <si>
    <t>BCL Quality Masonry Works, LLC</t>
  </si>
  <si>
    <t>Stone Work - Stucco work</t>
  </si>
  <si>
    <t>Material for exterior Stucco Work</t>
  </si>
  <si>
    <t>Stucco</t>
  </si>
  <si>
    <t>Stone labor</t>
  </si>
  <si>
    <t>Blue Sky Propane</t>
  </si>
  <si>
    <t>Tank propane 250 gallons</t>
  </si>
  <si>
    <t>Brooks Stone Ranch</t>
  </si>
  <si>
    <t>Stones</t>
  </si>
  <si>
    <t>Cables 4 Sure</t>
  </si>
  <si>
    <t>Ethernet cables</t>
  </si>
  <si>
    <t>Canyon Lake Water Service</t>
  </si>
  <si>
    <t>Temporary Water</t>
  </si>
  <si>
    <t>Water</t>
  </si>
  <si>
    <t>Champion Termite &amp; Pest Services Inc</t>
  </si>
  <si>
    <t>Bee in Tree</t>
  </si>
  <si>
    <t>Comal County</t>
  </si>
  <si>
    <t>Certifcates</t>
  </si>
  <si>
    <t>Comal County Engineer's Office</t>
  </si>
  <si>
    <t>Permit</t>
  </si>
  <si>
    <t>DHGate</t>
  </si>
  <si>
    <t>Bathroom fixture</t>
  </si>
  <si>
    <t>FedEx</t>
  </si>
  <si>
    <t>Copies</t>
  </si>
  <si>
    <t>Geotechnical Solutions</t>
  </si>
  <si>
    <t>Soil Test</t>
  </si>
  <si>
    <t>Greg Setzer</t>
  </si>
  <si>
    <t>Architectural Design Review</t>
  </si>
  <si>
    <t>1st Design</t>
  </si>
  <si>
    <t>High Sierra</t>
  </si>
  <si>
    <t>Portapotti</t>
  </si>
  <si>
    <t>High Sierra Toilet Co. Inc</t>
  </si>
  <si>
    <t>Const Unit (1/WK clean out)</t>
  </si>
  <si>
    <t>Ikea</t>
  </si>
  <si>
    <t>Closet Transport</t>
  </si>
  <si>
    <t>Closet</t>
  </si>
  <si>
    <t>Impact Electric</t>
  </si>
  <si>
    <t>Rough In electrical wire</t>
  </si>
  <si>
    <t>Lone Star</t>
  </si>
  <si>
    <t>Jet Prints</t>
  </si>
  <si>
    <t>LoneStar</t>
  </si>
  <si>
    <t>Plans copies</t>
  </si>
  <si>
    <t>1st design</t>
  </si>
  <si>
    <t>Lowes</t>
  </si>
  <si>
    <t>A+R Capistrano, Pfolio 3Lt, 3x DPR Pfolio</t>
  </si>
  <si>
    <t>Portfolio 13IN 2LT/ 3LT NKHRN IRNSTN</t>
  </si>
  <si>
    <t>9LT Linkhorn, 3LT Linkhorn, 5LT Linkhorn</t>
  </si>
  <si>
    <t>Dishwasher/Dryer</t>
  </si>
  <si>
    <t>PVC coupling</t>
  </si>
  <si>
    <t>PVC adapter</t>
  </si>
  <si>
    <t>BathTube Toilet Central water Thermostat</t>
  </si>
  <si>
    <t>Fireplace</t>
  </si>
  <si>
    <t>Duct Tape</t>
  </si>
  <si>
    <t>Metro</t>
  </si>
  <si>
    <t>Bathroom tile</t>
  </si>
  <si>
    <t>Partial payment. Total $2154.46</t>
  </si>
  <si>
    <t>Morrison Supply Company</t>
  </si>
  <si>
    <t>Tub/ Sink/ Toilet</t>
  </si>
  <si>
    <t>Mystic Shores POA</t>
  </si>
  <si>
    <t>Architectural review</t>
  </si>
  <si>
    <t>Application fee</t>
  </si>
  <si>
    <t>Paul Swoyer Septics,LLC</t>
  </si>
  <si>
    <t>Aerobic Septic Systems</t>
  </si>
  <si>
    <t>Pedernales</t>
  </si>
  <si>
    <t>Electricity</t>
  </si>
  <si>
    <t>Platinum Tile Partners</t>
  </si>
  <si>
    <t>Title</t>
  </si>
  <si>
    <t>Principal Custom Homes</t>
  </si>
  <si>
    <t>10 Year Warranty for home</t>
  </si>
  <si>
    <t>Privado (Craigs List)</t>
  </si>
  <si>
    <t>Mirrors</t>
  </si>
  <si>
    <t>Vanity/Faucte/Lamp</t>
  </si>
  <si>
    <t>R&amp;J Construction Inc.</t>
  </si>
  <si>
    <t>FRAM</t>
  </si>
  <si>
    <t>Ranger Concrete</t>
  </si>
  <si>
    <t>Site work</t>
  </si>
  <si>
    <t>Excavation &amp; Construction Road</t>
  </si>
  <si>
    <t>Load Bull Rock</t>
  </si>
  <si>
    <t>Foundation</t>
  </si>
  <si>
    <t>RD Drywall</t>
  </si>
  <si>
    <t>Drywall</t>
  </si>
  <si>
    <t>Ring</t>
  </si>
  <si>
    <t>Ring Video Dorbell</t>
  </si>
  <si>
    <t>Rosin Group</t>
  </si>
  <si>
    <t>Survey</t>
  </si>
  <si>
    <t>RVOS</t>
  </si>
  <si>
    <t>Insurance</t>
  </si>
  <si>
    <t>San Marcos Doors</t>
  </si>
  <si>
    <t>Main Door</t>
  </si>
  <si>
    <t>San Marcos Group LLC</t>
  </si>
  <si>
    <t>Septic Sustems Express</t>
  </si>
  <si>
    <t>Septic Design &amp; Inspections</t>
  </si>
  <si>
    <t>Termimesh</t>
  </si>
  <si>
    <t>Termite</t>
  </si>
  <si>
    <t>Texas Disposal Systems</t>
  </si>
  <si>
    <t>Waste</t>
  </si>
  <si>
    <t>Texas Dispossal System</t>
  </si>
  <si>
    <t>The Central Roof Company</t>
  </si>
  <si>
    <t>Roof</t>
  </si>
  <si>
    <t>Ubuildit</t>
  </si>
  <si>
    <t>july 17 2013</t>
  </si>
  <si>
    <t>Contract Signing</t>
  </si>
  <si>
    <t>Re-Bidding</t>
  </si>
  <si>
    <t>Completion of Planning Phase @ closing at the bank</t>
  </si>
  <si>
    <t>Completion of Slab</t>
  </si>
  <si>
    <t>Framing Rafters</t>
  </si>
  <si>
    <t>Westbrook Engineering</t>
  </si>
  <si>
    <t>Foundation Design</t>
  </si>
  <si>
    <t>1st Design: US$225 Onsite inspection</t>
  </si>
  <si>
    <t>Inspection</t>
  </si>
  <si>
    <t>Westside</t>
  </si>
  <si>
    <t>Wall plates + switch + outlets</t>
  </si>
  <si>
    <t>Bath Fan+ light</t>
  </si>
  <si>
    <t>Westside Wholesale</t>
  </si>
  <si>
    <t>switches, outlets</t>
  </si>
  <si>
    <t>Switches, wall plates, networking items</t>
  </si>
  <si>
    <t>INVOICES</t>
  </si>
  <si>
    <t>Kitchen</t>
  </si>
  <si>
    <t>Appliance (Vent Hood)</t>
  </si>
  <si>
    <t>Hardware</t>
  </si>
  <si>
    <t>Bathroom</t>
  </si>
  <si>
    <t>Closets</t>
  </si>
  <si>
    <t>Cool Component</t>
  </si>
  <si>
    <t>HVAC</t>
  </si>
  <si>
    <t>Washer</t>
  </si>
  <si>
    <t>South Texas Insulation</t>
  </si>
  <si>
    <t>Insulation</t>
  </si>
  <si>
    <t>2nd Draw</t>
  </si>
  <si>
    <t>Light outlet</t>
  </si>
  <si>
    <t>Classified line</t>
  </si>
  <si>
    <t>Total</t>
  </si>
  <si>
    <t>Copy</t>
  </si>
  <si>
    <t>On site inspection + charge</t>
  </si>
  <si>
    <r>
      <t>1st Design</t>
    </r>
    <r>
      <rPr>
        <sz val="12"/>
        <color theme="1"/>
        <rFont val="Calibri"/>
        <family val="2"/>
        <scheme val="minor"/>
      </rPr>
      <t xml:space="preserve"> not included</t>
    </r>
    <r>
      <rPr>
        <sz val="12"/>
        <color theme="1"/>
        <rFont val="Calibri"/>
        <family val="2"/>
        <scheme val="minor"/>
      </rPr>
      <t xml:space="preserve">: </t>
    </r>
    <r>
      <rPr>
        <sz val="12"/>
        <color theme="1"/>
        <rFont val="Calibri"/>
        <family val="2"/>
        <scheme val="minor"/>
      </rPr>
      <t>U$319.49 + $15 copy</t>
    </r>
  </si>
  <si>
    <t xml:space="preserve">Excavation </t>
  </si>
  <si>
    <t>In the same invoice than below</t>
  </si>
  <si>
    <t xml:space="preserve"> Construction Road</t>
  </si>
  <si>
    <t>In the same invoice than previous</t>
  </si>
  <si>
    <t>Wood for framing</t>
  </si>
  <si>
    <t>Duct Tape, galvanized ducts</t>
  </si>
  <si>
    <t>Thermostat</t>
  </si>
  <si>
    <t xml:space="preserve">Iris </t>
  </si>
  <si>
    <t>Windows</t>
  </si>
  <si>
    <t>Ext doors</t>
  </si>
  <si>
    <t>Firetable</t>
  </si>
  <si>
    <t>Refrigerator/Range/Microwave oven/trash disp</t>
  </si>
  <si>
    <r>
      <t>Bathroom Drain</t>
    </r>
    <r>
      <rPr>
        <sz val="12"/>
        <color theme="1"/>
        <rFont val="Calibri"/>
        <family val="2"/>
        <scheme val="minor"/>
      </rPr>
      <t xml:space="preserve"> for 2nd bath</t>
    </r>
  </si>
  <si>
    <r>
      <t>Bathroom Faucet</t>
    </r>
    <r>
      <rPr>
        <sz val="12"/>
        <color theme="1"/>
        <rFont val="Calibri"/>
        <family val="2"/>
        <scheme val="minor"/>
      </rPr>
      <t xml:space="preserve"> for 2nd Bath</t>
    </r>
  </si>
  <si>
    <t>LED fluorescents lights</t>
  </si>
  <si>
    <r>
      <t>Bathroom tile</t>
    </r>
    <r>
      <rPr>
        <sz val="12"/>
        <color theme="1"/>
        <rFont val="Calibri"/>
        <family val="2"/>
        <scheme val="minor"/>
      </rPr>
      <t xml:space="preserve"> bath surrounds</t>
    </r>
  </si>
  <si>
    <r>
      <t>Bathroom tile</t>
    </r>
    <r>
      <rPr>
        <sz val="12"/>
        <color theme="1"/>
        <rFont val="Calibri"/>
        <family val="2"/>
        <scheme val="minor"/>
      </rPr>
      <t xml:space="preserve"> floor</t>
    </r>
  </si>
  <si>
    <t>BathTube Toilet Central water softner</t>
  </si>
  <si>
    <t>In Budget</t>
  </si>
  <si>
    <t>Total Budgeted</t>
  </si>
  <si>
    <t>Execution</t>
  </si>
  <si>
    <t>With additionals out of budget</t>
  </si>
  <si>
    <t>Pending</t>
  </si>
  <si>
    <t>Project Cost Total  ---------&gt;</t>
  </si>
  <si>
    <t>UBuildIt - Client Cost Review</t>
  </si>
  <si>
    <t>NAME:   Tim &amp; Maritza Messer</t>
  </si>
  <si>
    <t>Date:</t>
  </si>
  <si>
    <t>LINE</t>
  </si>
  <si>
    <t>Cost Category/Detail</t>
  </si>
  <si>
    <t>Budget</t>
  </si>
  <si>
    <t>Actual</t>
  </si>
  <si>
    <t>Change          Orders</t>
  </si>
  <si>
    <r>
      <t>Over</t>
    </r>
    <r>
      <rPr>
        <b/>
        <sz val="11"/>
        <rFont val="Arial"/>
        <family val="2"/>
      </rPr>
      <t>/(Under) Budget</t>
    </r>
  </si>
  <si>
    <t>Paid by Blanco</t>
  </si>
  <si>
    <t>Remaining payments</t>
  </si>
  <si>
    <t>Total                      Cost</t>
  </si>
  <si>
    <t xml:space="preserve">Explanations / Options / Details </t>
  </si>
  <si>
    <t>Pre-Construction Costs (Permits/Fees)</t>
  </si>
  <si>
    <t>Construction Permits</t>
  </si>
  <si>
    <t>Engineering Fees (Structural)</t>
  </si>
  <si>
    <t>Foundation inspection + design allowance</t>
  </si>
  <si>
    <t>Engineering Fees (Mechanical)</t>
  </si>
  <si>
    <t>Engineering Fees (Other)</t>
  </si>
  <si>
    <t>Form or Slab surveys</t>
  </si>
  <si>
    <t>Verify requirement with lender</t>
  </si>
  <si>
    <t>Architect Fees</t>
  </si>
  <si>
    <t>Soils Study Fees</t>
  </si>
  <si>
    <t>Project Insurance</t>
  </si>
  <si>
    <t>Client Builder's Risk &amp; General Liability Policy</t>
  </si>
  <si>
    <t>Structural Warranty</t>
  </si>
  <si>
    <t>10 years by Principal Custom Homes, LLC</t>
  </si>
  <si>
    <t>UBuildIt Phase I Consulting Fee</t>
  </si>
  <si>
    <t>UBuildIt (Phase I Fee)</t>
  </si>
  <si>
    <t>S.1</t>
  </si>
  <si>
    <t>Total Pre-Construction Costs (Permits/Fees)</t>
  </si>
  <si>
    <t>Site Development Costs</t>
  </si>
  <si>
    <t>UBuildIt Phase II Consulting Fee</t>
  </si>
  <si>
    <t>UBuildIt (Phase II Fee)</t>
  </si>
  <si>
    <t>Utility Connection Fees</t>
  </si>
  <si>
    <t>Power (temporary)</t>
  </si>
  <si>
    <t>Consumption during construction</t>
  </si>
  <si>
    <t>Permanent power connection</t>
  </si>
  <si>
    <t>Allowance</t>
  </si>
  <si>
    <t>Water (temporary)</t>
  </si>
  <si>
    <t>During construction</t>
  </si>
  <si>
    <t>Water Meter</t>
  </si>
  <si>
    <t>Water (Domestic Well)</t>
  </si>
  <si>
    <t xml:space="preserve">Temporary sanitation </t>
  </si>
  <si>
    <t>Porta Potti allowance</t>
  </si>
  <si>
    <t>Sanitation</t>
  </si>
  <si>
    <t>Sewer connection allowance</t>
  </si>
  <si>
    <t>Gravity System allowance</t>
  </si>
  <si>
    <t>Aerobic System allowance</t>
  </si>
  <si>
    <t>Includes engineering &amp; permits</t>
  </si>
  <si>
    <t>On-site fuel tank (permanent)</t>
  </si>
  <si>
    <t>Propane fuel tank allowance</t>
  </si>
  <si>
    <t>Ditch Digging (Underground Utilities)</t>
  </si>
  <si>
    <t>Water/Gas/Power/ Communication allowance</t>
  </si>
  <si>
    <t>Rockeries or retaining walls (if applicable)</t>
  </si>
  <si>
    <t>Dumpster</t>
  </si>
  <si>
    <t>Varify approved providers with city</t>
  </si>
  <si>
    <t>Demolition</t>
  </si>
  <si>
    <t>S.2</t>
  </si>
  <si>
    <t>Total Site Development Costs</t>
  </si>
  <si>
    <t>Site Preparation</t>
  </si>
  <si>
    <t>Clearing</t>
  </si>
  <si>
    <t>Tree removal allowance</t>
  </si>
  <si>
    <t>Excavation &amp; Backfill</t>
  </si>
  <si>
    <t>Fine Grading of Fill</t>
  </si>
  <si>
    <t>Driveway Base</t>
  </si>
  <si>
    <t>Two inch rock base</t>
  </si>
  <si>
    <t>Finish Gravel</t>
  </si>
  <si>
    <t>Driveway Topping</t>
  </si>
  <si>
    <t>Asphalt</t>
  </si>
  <si>
    <t>Concrete Allowance</t>
  </si>
  <si>
    <t>$3.75 sq.ft.</t>
  </si>
  <si>
    <t>Erosion control</t>
  </si>
  <si>
    <t>Filter fence, plastic, straw bales, etc.</t>
  </si>
  <si>
    <t>S.3</t>
  </si>
  <si>
    <t>Total Site Preparation Costs</t>
  </si>
  <si>
    <t>Waterproofing (if applicable)</t>
  </si>
  <si>
    <t>French Drain</t>
  </si>
  <si>
    <t>Perforated pipe &amp; rock</t>
  </si>
  <si>
    <t>S.4</t>
  </si>
  <si>
    <t>Total Foundation Costs</t>
  </si>
  <si>
    <t>Slab Work</t>
  </si>
  <si>
    <t>Slab - Pest Control</t>
  </si>
  <si>
    <t>Preventative Pest Control allowance</t>
  </si>
  <si>
    <t>Slab--TURNKEY BID</t>
  </si>
  <si>
    <t>Labor &amp; materials</t>
  </si>
  <si>
    <t>Slab - Misc. Rental  Equipment</t>
  </si>
  <si>
    <t>Compactor, hammer drill, etc.</t>
  </si>
  <si>
    <t>S.5</t>
  </si>
  <si>
    <t>Total Slab Work Costs</t>
  </si>
  <si>
    <t>Main Structure</t>
  </si>
  <si>
    <t>Framing Lumber</t>
  </si>
  <si>
    <t>Lumber bid plus 10% contingency allowance</t>
  </si>
  <si>
    <t>Framing Labor</t>
  </si>
  <si>
    <t>Contractor's bid</t>
  </si>
  <si>
    <t>Structural Masonry</t>
  </si>
  <si>
    <t>Labor &amp; Material</t>
  </si>
  <si>
    <t>Trusses</t>
  </si>
  <si>
    <t>Other (specifiy)</t>
  </si>
  <si>
    <t>Structural Steel</t>
  </si>
  <si>
    <t>Misc. Labor</t>
  </si>
  <si>
    <t>Other (Dentil Details)</t>
  </si>
  <si>
    <t>S.6</t>
  </si>
  <si>
    <t>Total Main Structure Costs</t>
  </si>
  <si>
    <t>General Trades</t>
  </si>
  <si>
    <t>Roofing</t>
  </si>
  <si>
    <t>Materials//Labor</t>
  </si>
  <si>
    <t>Galvalume</t>
  </si>
  <si>
    <t>Masonry - Exterior Veneer</t>
  </si>
  <si>
    <t>Stone Material</t>
  </si>
  <si>
    <t>Labor</t>
  </si>
  <si>
    <t>Masonry - Fireplace</t>
  </si>
  <si>
    <t>Firebox materials &amp; installation allowance</t>
  </si>
  <si>
    <t>Stone veneer</t>
  </si>
  <si>
    <t>Labor &amp; materials excluding fixtures</t>
  </si>
  <si>
    <t>HVAC System</t>
  </si>
  <si>
    <t>5 tons 16seer Comfort maker</t>
  </si>
  <si>
    <t>Electric</t>
  </si>
  <si>
    <t>Includes recess fixtures &amp; vent fans</t>
  </si>
  <si>
    <t>Rough-in low voltage allowance</t>
  </si>
  <si>
    <t>Wiring for phone, TV, computer &amp; security syst.</t>
  </si>
  <si>
    <t>Vinyl with low-E insulated glass</t>
  </si>
  <si>
    <t>Skylights</t>
  </si>
  <si>
    <t>Exterior Doors</t>
  </si>
  <si>
    <t>Metal door units</t>
  </si>
  <si>
    <t>Front door allowance</t>
  </si>
  <si>
    <t>Garage Doors</t>
  </si>
  <si>
    <t>Raised panel metal doors</t>
  </si>
  <si>
    <t>insulated</t>
  </si>
  <si>
    <t>Garage Door Opener(s)</t>
  </si>
  <si>
    <t>Belt drive units installed</t>
  </si>
  <si>
    <t>Vacuum System</t>
  </si>
  <si>
    <t xml:space="preserve">Rough-in allowance      </t>
  </si>
  <si>
    <t>Equipment allowance</t>
  </si>
  <si>
    <t>General Clean-up Labor</t>
  </si>
  <si>
    <t>Fire sprinklers</t>
  </si>
  <si>
    <t>Venting (Appliances)</t>
  </si>
  <si>
    <t>Cooktop &amp; dryer piping allowance</t>
  </si>
  <si>
    <t>In a/c bid</t>
  </si>
  <si>
    <t xml:space="preserve">Insulation  </t>
  </si>
  <si>
    <t>Spray foam walls and attic</t>
  </si>
  <si>
    <t>Labor &amp; materials including texture</t>
  </si>
  <si>
    <t>Hand trowel walls,mont ceilings</t>
  </si>
  <si>
    <t>Labor &amp; materials including painting</t>
  </si>
  <si>
    <t>Painting/Staining Interior &amp; Exterior</t>
  </si>
  <si>
    <t>Labor &amp; materials including cabnt finish</t>
  </si>
  <si>
    <t>Gutters and Downspouts</t>
  </si>
  <si>
    <t>Decks &amp; Rails</t>
  </si>
  <si>
    <t>Labor &amp; materials allowance</t>
  </si>
  <si>
    <t>Iron &amp; Metal Work</t>
  </si>
  <si>
    <t>Breezeway gates</t>
  </si>
  <si>
    <t>Landscaping</t>
  </si>
  <si>
    <t>Irrigation</t>
  </si>
  <si>
    <t>Fencing including gates</t>
  </si>
  <si>
    <t>S.7</t>
  </si>
  <si>
    <t>Total General Trades Costs</t>
  </si>
  <si>
    <t>Interior Finishing</t>
  </si>
  <si>
    <t>Appliances</t>
  </si>
  <si>
    <t>Appliance installation allowance</t>
  </si>
  <si>
    <t>Lighting Fixtures</t>
  </si>
  <si>
    <t>Cabinets</t>
  </si>
  <si>
    <t>Materials excluding staining &amp; installation</t>
  </si>
  <si>
    <t>Includes $2000 for Family room</t>
  </si>
  <si>
    <t>Countertops</t>
  </si>
  <si>
    <t>Granite tops allowance</t>
  </si>
  <si>
    <t>Cultured marble tops, sinks &amp; splashes</t>
  </si>
  <si>
    <t>Kitchen tile backsplash allowance</t>
  </si>
  <si>
    <t>$2.50 tile meterial Allowance</t>
  </si>
  <si>
    <t>Decorative tile allowance</t>
  </si>
  <si>
    <t>Surrounds</t>
  </si>
  <si>
    <t>Tile at tubs allowance for labor &amp; materials</t>
  </si>
  <si>
    <t>Tile at showers allowance for labor &amp; materials</t>
  </si>
  <si>
    <t>Millwork &amp; Doors</t>
  </si>
  <si>
    <t>Interior door units</t>
  </si>
  <si>
    <t xml:space="preserve">Millwork &amp; Trim </t>
  </si>
  <si>
    <t>Includes 10% contigency allowance</t>
  </si>
  <si>
    <t>Stairs &amp; Rails</t>
  </si>
  <si>
    <t>Material</t>
  </si>
  <si>
    <t>Labor to install</t>
  </si>
  <si>
    <t>Finish Carpentry</t>
  </si>
  <si>
    <t>Labor including doors, trim, cabinets &amp; hdwr</t>
  </si>
  <si>
    <t>Floors</t>
  </si>
  <si>
    <t>Stained concrete allowance</t>
  </si>
  <si>
    <t>Hardwood Allowance</t>
  </si>
  <si>
    <t>$8.00 sq. ft. allowance</t>
  </si>
  <si>
    <t>Tile labor allowance</t>
  </si>
  <si>
    <t>Tile material allowance</t>
  </si>
  <si>
    <t>Carpet Allowance</t>
  </si>
  <si>
    <t>$25.00 per sq. yard allowance</t>
  </si>
  <si>
    <t>Plumbing Fixtures</t>
  </si>
  <si>
    <t>Allowance including water heaters &amp; softener</t>
  </si>
  <si>
    <t>Interior Glass - Shower Doors</t>
  </si>
  <si>
    <t>Shower door &amp; glass panels</t>
  </si>
  <si>
    <t>Interior Glass - Mirrors</t>
  </si>
  <si>
    <t>Vanity mirrors allowance</t>
  </si>
  <si>
    <t>Finish Hardware</t>
  </si>
  <si>
    <t>Wall coverings</t>
  </si>
  <si>
    <t>Wallpapers</t>
  </si>
  <si>
    <t>Masonry, Interior</t>
  </si>
  <si>
    <t>Veneers</t>
  </si>
  <si>
    <t>Intercom</t>
  </si>
  <si>
    <t>Solar Backup</t>
  </si>
  <si>
    <t>Pool</t>
  </si>
  <si>
    <t>Fireplace Mantles</t>
  </si>
  <si>
    <t>Glass Block</t>
  </si>
  <si>
    <t>Final Cleaning</t>
  </si>
  <si>
    <t>Special Equipment</t>
  </si>
  <si>
    <t>Loan costs</t>
  </si>
  <si>
    <t>S.8</t>
  </si>
  <si>
    <t>Total Interior Finishing</t>
  </si>
  <si>
    <t>Project Cost Summary</t>
  </si>
  <si>
    <t xml:space="preserve">Pre-Construction Costs (Permits/Fees)  </t>
  </si>
  <si>
    <t xml:space="preserve">Site Construction Costs  </t>
  </si>
  <si>
    <t xml:space="preserve">Site Preparation Costs  </t>
  </si>
  <si>
    <t>Total living:                  2816</t>
  </si>
  <si>
    <t xml:space="preserve">Foundation Costs  </t>
  </si>
  <si>
    <t>Garage:                          804</t>
  </si>
  <si>
    <t xml:space="preserve">Slab Work Costs  </t>
  </si>
  <si>
    <t>Porch:                            338</t>
  </si>
  <si>
    <t xml:space="preserve">Main Structure Costs  </t>
  </si>
  <si>
    <t>Covered patio:</t>
  </si>
  <si>
    <t xml:space="preserve">General Trades Costs  </t>
  </si>
  <si>
    <t>Total area:                    3954</t>
  </si>
  <si>
    <t xml:space="preserve">Interior Finishing  </t>
  </si>
  <si>
    <t>$    per sq ft                   124.55</t>
  </si>
  <si>
    <t xml:space="preserve">Job Total  </t>
  </si>
  <si>
    <t xml:space="preserve">Overall Contingency Percentage </t>
  </si>
  <si>
    <t xml:space="preserve">Sales Tax (if applicable) </t>
  </si>
  <si>
    <t xml:space="preserve">   </t>
  </si>
  <si>
    <t xml:space="preserve">                              LINE ITEM COST BREAKDOWN</t>
  </si>
  <si>
    <t xml:space="preserve">Borrower:   </t>
  </si>
  <si>
    <t xml:space="preserve">Tel # </t>
  </si>
  <si>
    <t xml:space="preserve">Permit #  </t>
  </si>
  <si>
    <t xml:space="preserve">Loan #  </t>
  </si>
  <si>
    <t xml:space="preserve">Project Address:   </t>
  </si>
  <si>
    <t>Architect:</t>
  </si>
  <si>
    <t xml:space="preserve">Tel#  </t>
  </si>
  <si>
    <t xml:space="preserve">Contractor:   </t>
  </si>
  <si>
    <t xml:space="preserve">Tel #  </t>
  </si>
  <si>
    <t xml:space="preserve">Engineer:  </t>
  </si>
  <si>
    <t>Original</t>
  </si>
  <si>
    <t xml:space="preserve"> </t>
  </si>
  <si>
    <t>Line Item Description</t>
  </si>
  <si>
    <t>A</t>
  </si>
  <si>
    <t xml:space="preserve">  A. PRE CONSTRUCTION COSTS:</t>
  </si>
  <si>
    <t xml:space="preserve">  Architect, Engineering &amp; Soils Study Fees</t>
  </si>
  <si>
    <t xml:space="preserve">  Waterproofing decks, shower pans, etc.</t>
  </si>
  <si>
    <t xml:space="preserve">  Design Review/Plan Check Fees</t>
  </si>
  <si>
    <t xml:space="preserve">  Gutters, downspouts, sheetmetal</t>
  </si>
  <si>
    <t xml:space="preserve">  Permits - City/County</t>
  </si>
  <si>
    <t xml:space="preserve">  Roof covering</t>
  </si>
  <si>
    <t xml:space="preserve">  Utility Connection Fees</t>
  </si>
  <si>
    <t xml:space="preserve">  Windows</t>
  </si>
  <si>
    <t xml:space="preserve">  School/Park/Misc. Taxes</t>
  </si>
  <si>
    <t xml:space="preserve">  Exterior doors</t>
  </si>
  <si>
    <t xml:space="preserve">  Project Bonds</t>
  </si>
  <si>
    <t xml:space="preserve">  Skylights</t>
  </si>
  <si>
    <t xml:space="preserve">TOTAL PRE-CONSTRUCTION COSTS  </t>
  </si>
  <si>
    <t xml:space="preserve">  Glazing</t>
  </si>
  <si>
    <t xml:space="preserve">  'B. "SITE" CONSTRUCTION COSTS:</t>
  </si>
  <si>
    <t xml:space="preserve">  Exterior siding (See Project Profile)</t>
  </si>
  <si>
    <t xml:space="preserve">  Temporary Utilities &amp; Facilities</t>
  </si>
  <si>
    <t xml:space="preserve">  Exterior trim</t>
  </si>
  <si>
    <t xml:space="preserve">  Special Inspections/Testing-Geo-tech, Structural</t>
  </si>
  <si>
    <t xml:space="preserve">  Stucco</t>
  </si>
  <si>
    <t xml:space="preserve">  Job Security</t>
  </si>
  <si>
    <t xml:space="preserve">  Masonry veneer</t>
  </si>
  <si>
    <t xml:space="preserve">  Equipment Rental</t>
  </si>
  <si>
    <t xml:space="preserve">  Ornamental Iron</t>
  </si>
  <si>
    <t xml:space="preserve">  Jobsite overhead</t>
  </si>
  <si>
    <t xml:space="preserve">  Garage Doors</t>
  </si>
  <si>
    <t xml:space="preserve">  UBuildIt Fees: Project Management/Supervision</t>
  </si>
  <si>
    <t xml:space="preserve">  Exterior painting</t>
  </si>
  <si>
    <t xml:space="preserve">  General Contractor's office overhead/profit.</t>
  </si>
  <si>
    <t xml:space="preserve">SUB-TOTAL EXTERIOR WEATHER-TIGHT  </t>
  </si>
  <si>
    <t xml:space="preserve">  State Sales Tax (where applicable)</t>
  </si>
  <si>
    <t xml:space="preserve">  Insulation</t>
  </si>
  <si>
    <t xml:space="preserve">  Builder Contingency</t>
  </si>
  <si>
    <t xml:space="preserve">  Drywall/Plaster</t>
  </si>
  <si>
    <t xml:space="preserve">SUB-TOTAL GENERAL REQUIREMENTS  </t>
  </si>
  <si>
    <t xml:space="preserve">  Interior stairways</t>
  </si>
  <si>
    <t xml:space="preserve">  Demolition</t>
  </si>
  <si>
    <t xml:space="preserve">  Cabinetry</t>
  </si>
  <si>
    <t xml:space="preserve">  Clearing/Stakeout</t>
  </si>
  <si>
    <t xml:space="preserve">  Finish Materials/Millwork</t>
  </si>
  <si>
    <t xml:space="preserve">  Rough grading/shoring/excavation/fill</t>
  </si>
  <si>
    <t xml:space="preserve">  Interior Doors</t>
  </si>
  <si>
    <t xml:space="preserve">  Site retaining walls/waterproofing/backfill</t>
  </si>
  <si>
    <t xml:space="preserve">  Finish Hardware</t>
  </si>
  <si>
    <t xml:space="preserve">  Site drainage</t>
  </si>
  <si>
    <t xml:space="preserve">  Finish Carpentry Labor</t>
  </si>
  <si>
    <t xml:space="preserve">  Private septic system</t>
  </si>
  <si>
    <t xml:space="preserve">SUB-TOTAL DRYWALL/FINISH CARPENTRY  </t>
  </si>
  <si>
    <t xml:space="preserve">  Domestic Water well</t>
  </si>
  <si>
    <t xml:space="preserve">  Countertops</t>
  </si>
  <si>
    <t xml:space="preserve">  Pump house &amp; Pressure water system</t>
  </si>
  <si>
    <t xml:space="preserve">  Tub/shower/enclosures</t>
  </si>
  <si>
    <t xml:space="preserve">  Environmental</t>
  </si>
  <si>
    <t xml:space="preserve">  Interior painting/Wall Coverings</t>
  </si>
  <si>
    <t xml:space="preserve">  Off-site improvements</t>
  </si>
  <si>
    <t xml:space="preserve">  Hard surface finish flooring</t>
  </si>
  <si>
    <t xml:space="preserve">  SUB-TOTAL SITE PREPARATION  </t>
  </si>
  <si>
    <t xml:space="preserve">  Carpeting</t>
  </si>
  <si>
    <t xml:space="preserve">  Embedded hardware</t>
  </si>
  <si>
    <t xml:space="preserve">  Built-in Appliances</t>
  </si>
  <si>
    <t xml:space="preserve">  Ground Plumbing</t>
  </si>
  <si>
    <t xml:space="preserve">  Special Equipment (see property profile)</t>
  </si>
  <si>
    <t xml:space="preserve">  Ground Mechanical</t>
  </si>
  <si>
    <t xml:space="preserve">  Security system</t>
  </si>
  <si>
    <t xml:space="preserve">  Ground Electrical</t>
  </si>
  <si>
    <t xml:space="preserve">  Intercom</t>
  </si>
  <si>
    <t xml:space="preserve">  Underground utilities</t>
  </si>
  <si>
    <t xml:space="preserve">  Built-in Vacuum Cleaner</t>
  </si>
  <si>
    <t xml:space="preserve">  Foundation &amp; Building retaining walls poured</t>
  </si>
  <si>
    <t xml:space="preserve">  Finish Plumbing</t>
  </si>
  <si>
    <t xml:space="preserve">  Concrete slab poured-house, garage</t>
  </si>
  <si>
    <t xml:space="preserve">  Plumbing Fixtures</t>
  </si>
  <si>
    <t xml:space="preserve">  SUB-TOTAL FOUNDATION COMPLETE  </t>
  </si>
  <si>
    <t xml:space="preserve">  Finish Electrical</t>
  </si>
  <si>
    <t xml:space="preserve">  Structural masonry</t>
  </si>
  <si>
    <t xml:space="preserve">  Lighting Fixtures</t>
  </si>
  <si>
    <t xml:space="preserve">  Rough framing materials</t>
  </si>
  <si>
    <t xml:space="preserve">  Finish Heating, Ventilating, Air Cond.</t>
  </si>
  <si>
    <t xml:space="preserve">  Structural steel</t>
  </si>
  <si>
    <t xml:space="preserve">  Solar Backup</t>
  </si>
  <si>
    <t xml:space="preserve">  Modular or Sectional Mfg. Home</t>
  </si>
  <si>
    <t xml:space="preserve">  Bath Accessories</t>
  </si>
  <si>
    <t xml:space="preserve">  Package/Kit Home</t>
  </si>
  <si>
    <t xml:space="preserve">  Tub and Shower Doors/Mirrors</t>
  </si>
  <si>
    <t xml:space="preserve">  Mfg. Trusses/components</t>
  </si>
  <si>
    <t xml:space="preserve">  Finish Grading</t>
  </si>
  <si>
    <t xml:space="preserve">  Rough framing labor</t>
  </si>
  <si>
    <t xml:space="preserve">  Pool/Spa</t>
  </si>
  <si>
    <t xml:space="preserve">  Lightweight concrete interior floors</t>
  </si>
  <si>
    <t xml:space="preserve">  Hardscape-Driveway, Walkways, Steps</t>
  </si>
  <si>
    <t xml:space="preserve">  Plumbing top-out</t>
  </si>
  <si>
    <t xml:space="preserve">  Landscaping</t>
  </si>
  <si>
    <t xml:space="preserve">  Rough heating, ventilation, air conditioning</t>
  </si>
  <si>
    <t xml:space="preserve">  Irrigation System</t>
  </si>
  <si>
    <t xml:space="preserve">  Rough electrical</t>
  </si>
  <si>
    <t xml:space="preserve">  Fencing including Gates</t>
  </si>
  <si>
    <t xml:space="preserve">  Fire protection sprinklers</t>
  </si>
  <si>
    <t xml:space="preserve">  Touch-up/Final Cleaning</t>
  </si>
  <si>
    <t xml:space="preserve">  Fireplaces incl. Flues</t>
  </si>
  <si>
    <t xml:space="preserve">SUB-TOTAL BUILDING COMPLETION  </t>
  </si>
  <si>
    <t xml:space="preserve">  Security &amp; Communications pre-wiring</t>
  </si>
  <si>
    <t xml:space="preserve">TOTAL "SITE" COSTS  </t>
  </si>
  <si>
    <t xml:space="preserve">  SUB-TOTAL BUILDING ROUGH-IN COMPLETION  </t>
  </si>
  <si>
    <t xml:space="preserve">TOTAL PROJECT COSTS  </t>
  </si>
  <si>
    <t xml:space="preserve">I hereby certify that the above referenced numbers are accurate and complete to the best of my knowledge.            </t>
  </si>
  <si>
    <t>X</t>
  </si>
  <si>
    <t xml:space="preserve">Borrower                        </t>
  </si>
  <si>
    <t xml:space="preserve">X </t>
  </si>
  <si>
    <t xml:space="preserve">UBuildIt Representative                        </t>
  </si>
  <si>
    <t>Includes rail closets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</si>
</sst>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7" formatCode="&quot;$&quot;#,##0.00_);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&quot;$&quot;#,##0.00"/>
    <numFmt numFmtId="166" formatCode="&quot;$&quot;#,##0"/>
    <numFmt numFmtId="167" formatCode="\(000\)\ 000\-0000"/>
    <numFmt numFmtId="168" formatCode="[$-409]mmmm\ d\,\ yyyy;@"/>
    <numFmt numFmtId="169" formatCode="_([$$-409]* #,##0.00_);_([$$-409]* \(#,##0.00\);_([$$-409]* &quot;-&quot;??_);_(@_)"/>
    <numFmt numFmtId="170" formatCode="_-[$$-409]* #,##0.00_ ;_-[$$-409]* \-#,##0.00\ ;_-[$$-409]* &quot;-&quot;??_ ;_-@_ "/>
  </numFmts>
  <fonts count="64">
    <font>
      <sz val="10"/>
      <name val="Arial"/>
    </font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0"/>
      <name val="Arial"/>
    </font>
    <font>
      <b/>
      <sz val="8"/>
      <name val="Courier"/>
    </font>
    <font>
      <sz val="12"/>
      <name val="Arial"/>
      <family val="2"/>
    </font>
    <font>
      <b/>
      <sz val="14"/>
      <color indexed="10"/>
      <name val="Arial"/>
      <family val="2"/>
    </font>
    <font>
      <b/>
      <sz val="22"/>
      <name val="Arial"/>
      <family val="2"/>
    </font>
    <font>
      <b/>
      <sz val="22"/>
      <name val="Courier"/>
    </font>
    <font>
      <sz val="14"/>
      <name val="Arial"/>
      <family val="2"/>
    </font>
    <font>
      <sz val="14"/>
      <name val="Courier"/>
    </font>
    <font>
      <sz val="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sz val="8"/>
      <name val="Courier"/>
    </font>
    <font>
      <b/>
      <sz val="14"/>
      <color indexed="81"/>
      <name val="Arial"/>
      <family val="2"/>
    </font>
    <font>
      <sz val="12"/>
      <color indexed="8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b/>
      <u/>
      <sz val="11"/>
      <name val="Arial"/>
      <family val="2"/>
    </font>
    <font>
      <b/>
      <sz val="10"/>
      <name val="Arial"/>
    </font>
    <font>
      <b/>
      <sz val="16"/>
      <name val="Arial Narrow"/>
      <family val="2"/>
    </font>
    <font>
      <sz val="10"/>
      <name val="Arial Narrow"/>
      <family val="2"/>
    </font>
    <font>
      <sz val="11"/>
      <name val="Arial"/>
      <family val="2"/>
    </font>
    <font>
      <sz val="11"/>
      <name val="Arial Narrow"/>
      <family val="2"/>
    </font>
    <font>
      <b/>
      <sz val="11"/>
      <name val="Courier"/>
    </font>
    <font>
      <sz val="12"/>
      <name val="Arial"/>
      <family val="2"/>
    </font>
    <font>
      <b/>
      <sz val="12"/>
      <name val="Arial Narrow"/>
      <family val="2"/>
    </font>
    <font>
      <sz val="10"/>
      <name val="Arial"/>
    </font>
    <font>
      <b/>
      <sz val="14"/>
      <name val="Arial"/>
      <family val="2"/>
    </font>
    <font>
      <b/>
      <sz val="14"/>
      <name val="Courier"/>
    </font>
    <font>
      <b/>
      <sz val="12"/>
      <color theme="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000000"/>
      <name val="Calibri"/>
      <family val="2"/>
    </font>
    <font>
      <sz val="12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sz val="12"/>
      <color theme="8" tint="-0.249977111117893"/>
      <name val="Calibri"/>
      <scheme val="minor"/>
    </font>
    <font>
      <b/>
      <sz val="12"/>
      <color theme="8" tint="-0.249977111117893"/>
      <name val="Calibri"/>
      <scheme val="minor"/>
    </font>
    <font>
      <b/>
      <sz val="12"/>
      <color rgb="FFFF0000"/>
      <name val="Calibri"/>
      <scheme val="minor"/>
    </font>
    <font>
      <sz val="12"/>
      <color theme="9" tint="-0.249977111117893"/>
      <name val="Calibri"/>
      <scheme val="minor"/>
    </font>
    <font>
      <b/>
      <sz val="12"/>
      <color theme="9" tint="-0.249977111117893"/>
      <name val="Calibri"/>
      <scheme val="minor"/>
    </font>
    <font>
      <sz val="12"/>
      <color theme="5"/>
      <name val="Calibri"/>
      <scheme val="minor"/>
    </font>
    <font>
      <b/>
      <sz val="12"/>
      <color theme="5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b/>
      <sz val="11"/>
      <color theme="8" tint="-0.249977111117893"/>
      <name val="Calibri"/>
      <scheme val="minor"/>
    </font>
    <font>
      <b/>
      <sz val="11"/>
      <color rgb="FFFF0000"/>
      <name val="Calibri"/>
      <scheme val="minor"/>
    </font>
    <font>
      <b/>
      <sz val="11"/>
      <color theme="9" tint="-0.249977111117893"/>
      <name val="Calibri"/>
      <scheme val="minor"/>
    </font>
    <font>
      <b/>
      <sz val="11"/>
      <color theme="5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12"/>
      <color rgb="FFFF0000"/>
      <name val="Calibri"/>
      <family val="2"/>
    </font>
    <font>
      <sz val="12"/>
      <name val="Calibri"/>
    </font>
    <font>
      <sz val="12"/>
      <color theme="1"/>
      <name val="Calibri"/>
    </font>
    <font>
      <sz val="12"/>
      <color theme="9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55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9" fillId="0" borderId="0"/>
    <xf numFmtId="0" fontId="7" fillId="0" borderId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9" fontId="8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</cellStyleXfs>
  <cellXfs count="436">
    <xf numFmtId="0" fontId="0" fillId="0" borderId="0" xfId="0"/>
    <xf numFmtId="0" fontId="10" fillId="0" borderId="0" xfId="3" applyFont="1" applyFill="1" applyAlignment="1" applyProtection="1">
      <alignment horizontal="center"/>
    </xf>
    <xf numFmtId="0" fontId="11" fillId="2" borderId="1" xfId="3" applyNumberFormat="1" applyFont="1" applyFill="1" applyBorder="1" applyAlignment="1" applyProtection="1">
      <alignment horizontal="center" wrapText="1"/>
    </xf>
    <xf numFmtId="165" fontId="11" fillId="2" borderId="2" xfId="3" applyNumberFormat="1" applyFont="1" applyFill="1" applyBorder="1" applyAlignment="1" applyProtection="1">
      <alignment horizontal="right"/>
    </xf>
    <xf numFmtId="166" fontId="10" fillId="3" borderId="3" xfId="3" applyNumberFormat="1" applyFont="1" applyFill="1" applyBorder="1" applyAlignment="1" applyProtection="1">
      <alignment horizontal="right"/>
    </xf>
    <xf numFmtId="0" fontId="10" fillId="3" borderId="4" xfId="3" applyFont="1" applyFill="1" applyBorder="1" applyAlignment="1" applyProtection="1">
      <alignment horizontal="right"/>
    </xf>
    <xf numFmtId="0" fontId="10" fillId="3" borderId="2" xfId="3" applyFont="1" applyFill="1" applyBorder="1" applyAlignment="1" applyProtection="1"/>
    <xf numFmtId="0" fontId="10" fillId="0" borderId="0" xfId="3" applyFont="1" applyAlignment="1" applyProtection="1"/>
    <xf numFmtId="165" fontId="15" fillId="3" borderId="0" xfId="3" applyNumberFormat="1" applyFont="1" applyFill="1" applyBorder="1" applyAlignment="1" applyProtection="1">
      <alignment horizontal="right"/>
      <protection locked="0"/>
    </xf>
    <xf numFmtId="166" fontId="15" fillId="3" borderId="0" xfId="3" applyNumberFormat="1" applyFont="1" applyFill="1" applyBorder="1" applyAlignment="1" applyProtection="1">
      <alignment horizontal="right"/>
      <protection locked="0"/>
    </xf>
    <xf numFmtId="0" fontId="15" fillId="3" borderId="0" xfId="3" applyFont="1" applyFill="1" applyBorder="1" applyAlignment="1" applyProtection="1">
      <alignment horizontal="right"/>
      <protection locked="0"/>
    </xf>
    <xf numFmtId="165" fontId="14" fillId="3" borderId="0" xfId="3" applyNumberFormat="1" applyFont="1" applyFill="1" applyBorder="1" applyAlignment="1" applyProtection="1">
      <alignment horizontal="center"/>
    </xf>
    <xf numFmtId="14" fontId="14" fillId="0" borderId="5" xfId="3" applyNumberFormat="1" applyFont="1" applyFill="1" applyBorder="1" applyAlignment="1" applyProtection="1">
      <alignment horizontal="left"/>
      <protection locked="0"/>
    </xf>
    <xf numFmtId="0" fontId="14" fillId="0" borderId="0" xfId="3" applyFont="1" applyAlignment="1" applyProtection="1"/>
    <xf numFmtId="0" fontId="10" fillId="3" borderId="1" xfId="3" applyFont="1" applyFill="1" applyBorder="1" applyAlignment="1" applyProtection="1">
      <alignment horizontal="center"/>
    </xf>
    <xf numFmtId="165" fontId="10" fillId="2" borderId="5" xfId="3" applyNumberFormat="1" applyFont="1" applyFill="1" applyBorder="1" applyAlignment="1" applyProtection="1">
      <alignment horizontal="right"/>
    </xf>
    <xf numFmtId="0" fontId="10" fillId="0" borderId="6" xfId="3" applyFont="1" applyFill="1" applyBorder="1" applyAlignment="1" applyProtection="1"/>
    <xf numFmtId="1" fontId="10" fillId="0" borderId="5" xfId="3" applyNumberFormat="1" applyFont="1" applyFill="1" applyBorder="1" applyAlignment="1" applyProtection="1"/>
    <xf numFmtId="1" fontId="10" fillId="0" borderId="6" xfId="3" applyNumberFormat="1" applyFont="1" applyFill="1" applyBorder="1" applyAlignment="1" applyProtection="1"/>
    <xf numFmtId="1" fontId="10" fillId="0" borderId="7" xfId="3" applyNumberFormat="1" applyFont="1" applyFill="1" applyBorder="1" applyAlignment="1" applyProtection="1"/>
    <xf numFmtId="0" fontId="10" fillId="0" borderId="1" xfId="3" applyNumberFormat="1" applyFont="1" applyBorder="1" applyAlignment="1" applyProtection="1">
      <alignment horizontal="left"/>
    </xf>
    <xf numFmtId="0" fontId="10" fillId="0" borderId="1" xfId="3" applyNumberFormat="1" applyFont="1" applyBorder="1" applyAlignment="1" applyProtection="1">
      <alignment horizontal="left" wrapText="1"/>
      <protection locked="0"/>
    </xf>
    <xf numFmtId="0" fontId="10" fillId="0" borderId="1" xfId="3" applyNumberFormat="1" applyFont="1" applyBorder="1" applyAlignment="1" applyProtection="1">
      <alignment horizontal="left"/>
      <protection locked="0"/>
    </xf>
    <xf numFmtId="0" fontId="10" fillId="0" borderId="1" xfId="3" applyNumberFormat="1" applyFont="1" applyBorder="1" applyAlignment="1" applyProtection="1">
      <alignment horizontal="left" wrapText="1"/>
    </xf>
    <xf numFmtId="0" fontId="10" fillId="2" borderId="8" xfId="3" applyFont="1" applyFill="1" applyBorder="1" applyAlignment="1" applyProtection="1">
      <alignment horizontal="center"/>
    </xf>
    <xf numFmtId="0" fontId="10" fillId="4" borderId="1" xfId="3" applyFont="1" applyFill="1" applyBorder="1" applyAlignment="1" applyProtection="1">
      <alignment horizontal="center"/>
    </xf>
    <xf numFmtId="0" fontId="10" fillId="4" borderId="9" xfId="3" applyNumberFormat="1" applyFont="1" applyFill="1" applyBorder="1" applyAlignment="1" applyProtection="1">
      <alignment horizontal="left"/>
    </xf>
    <xf numFmtId="0" fontId="10" fillId="4" borderId="10" xfId="3" applyNumberFormat="1" applyFont="1" applyFill="1" applyBorder="1" applyAlignment="1" applyProtection="1">
      <alignment horizontal="left"/>
    </xf>
    <xf numFmtId="0" fontId="10" fillId="0" borderId="0" xfId="3" applyFont="1" applyFill="1" applyAlignment="1" applyProtection="1"/>
    <xf numFmtId="0" fontId="10" fillId="0" borderId="1" xfId="3" applyFont="1" applyBorder="1" applyAlignment="1" applyProtection="1">
      <alignment horizontal="left"/>
      <protection locked="0"/>
    </xf>
    <xf numFmtId="0" fontId="17" fillId="4" borderId="1" xfId="3" applyNumberFormat="1" applyFont="1" applyFill="1" applyBorder="1" applyAlignment="1" applyProtection="1">
      <alignment horizontal="left"/>
    </xf>
    <xf numFmtId="0" fontId="10" fillId="0" borderId="9" xfId="3" applyFont="1" applyBorder="1" applyAlignment="1" applyProtection="1"/>
    <xf numFmtId="165" fontId="10" fillId="0" borderId="1" xfId="3" applyNumberFormat="1" applyFont="1" applyFill="1" applyBorder="1" applyAlignment="1" applyProtection="1">
      <alignment horizontal="right"/>
      <protection locked="0"/>
    </xf>
    <xf numFmtId="0" fontId="10" fillId="0" borderId="0" xfId="3" applyFont="1" applyBorder="1" applyAlignment="1" applyProtection="1"/>
    <xf numFmtId="0" fontId="10" fillId="0" borderId="1" xfId="3" applyFont="1" applyBorder="1" applyAlignment="1" applyProtection="1"/>
    <xf numFmtId="0" fontId="10" fillId="0" borderId="0" xfId="3" applyNumberFormat="1" applyFont="1" applyAlignment="1" applyProtection="1">
      <alignment horizontal="left"/>
    </xf>
    <xf numFmtId="0" fontId="17" fillId="4" borderId="7" xfId="3" applyNumberFormat="1" applyFont="1" applyFill="1" applyBorder="1" applyAlignment="1" applyProtection="1">
      <alignment horizontal="right"/>
    </xf>
    <xf numFmtId="0" fontId="10" fillId="0" borderId="5" xfId="3" applyFont="1" applyFill="1" applyBorder="1" applyAlignment="1" applyProtection="1">
      <alignment horizontal="center"/>
    </xf>
    <xf numFmtId="0" fontId="17" fillId="0" borderId="3" xfId="3" applyFont="1" applyFill="1" applyBorder="1" applyAlignment="1" applyProtection="1">
      <alignment horizontal="right"/>
    </xf>
    <xf numFmtId="0" fontId="18" fillId="0" borderId="0" xfId="3" applyFont="1" applyAlignment="1">
      <alignment horizontal="right"/>
    </xf>
    <xf numFmtId="0" fontId="17" fillId="0" borderId="3" xfId="3" applyNumberFormat="1" applyFont="1" applyFill="1" applyBorder="1" applyAlignment="1" applyProtection="1">
      <alignment horizontal="right"/>
    </xf>
    <xf numFmtId="0" fontId="18" fillId="0" borderId="2" xfId="3" applyNumberFormat="1" applyFont="1" applyFill="1" applyBorder="1" applyAlignment="1" applyProtection="1">
      <alignment horizontal="right"/>
    </xf>
    <xf numFmtId="0" fontId="10" fillId="0" borderId="11" xfId="3" applyFont="1" applyFill="1" applyBorder="1" applyAlignment="1" applyProtection="1"/>
    <xf numFmtId="0" fontId="18" fillId="0" borderId="3" xfId="3" applyNumberFormat="1" applyFont="1" applyFill="1" applyBorder="1" applyAlignment="1" applyProtection="1">
      <alignment horizontal="right"/>
    </xf>
    <xf numFmtId="165" fontId="17" fillId="2" borderId="4" xfId="3" applyNumberFormat="1" applyFont="1" applyFill="1" applyBorder="1" applyAlignment="1" applyProtection="1">
      <alignment horizontal="right"/>
    </xf>
    <xf numFmtId="165" fontId="17" fillId="2" borderId="2" xfId="3" applyNumberFormat="1" applyFont="1" applyFill="1" applyBorder="1" applyAlignment="1" applyProtection="1">
      <alignment horizontal="right"/>
    </xf>
    <xf numFmtId="0" fontId="10" fillId="0" borderId="0" xfId="3" applyFont="1" applyFill="1" applyBorder="1" applyAlignment="1" applyProtection="1">
      <alignment horizontal="center"/>
    </xf>
    <xf numFmtId="0" fontId="10" fillId="0" borderId="12" xfId="3" applyFont="1" applyBorder="1" applyAlignment="1" applyProtection="1"/>
    <xf numFmtId="165" fontId="10" fillId="0" borderId="12" xfId="3" applyNumberFormat="1" applyFont="1" applyBorder="1" applyAlignment="1" applyProtection="1">
      <alignment horizontal="right"/>
    </xf>
    <xf numFmtId="166" fontId="10" fillId="0" borderId="12" xfId="3" applyNumberFormat="1" applyFont="1" applyBorder="1" applyAlignment="1" applyProtection="1">
      <alignment horizontal="right"/>
    </xf>
    <xf numFmtId="0" fontId="10" fillId="0" borderId="12" xfId="3" applyFont="1" applyBorder="1" applyAlignment="1" applyProtection="1">
      <alignment horizontal="right"/>
    </xf>
    <xf numFmtId="0" fontId="10" fillId="0" borderId="0" xfId="3" applyFont="1" applyAlignment="1" applyProtection="1">
      <alignment horizontal="center"/>
    </xf>
    <xf numFmtId="165" fontId="10" fillId="0" borderId="0" xfId="3" applyNumberFormat="1" applyFont="1" applyAlignment="1" applyProtection="1">
      <alignment horizontal="right"/>
    </xf>
    <xf numFmtId="166" fontId="10" fillId="0" borderId="0" xfId="3" applyNumberFormat="1" applyFont="1" applyAlignment="1" applyProtection="1">
      <alignment horizontal="right"/>
    </xf>
    <xf numFmtId="0" fontId="10" fillId="0" borderId="0" xfId="3" applyNumberFormat="1" applyFont="1" applyAlignment="1" applyProtection="1">
      <alignment horizontal="right"/>
    </xf>
    <xf numFmtId="0" fontId="17" fillId="0" borderId="0" xfId="3" applyFont="1" applyAlignment="1"/>
    <xf numFmtId="0" fontId="23" fillId="0" borderId="0" xfId="3" applyFont="1" applyAlignment="1"/>
    <xf numFmtId="0" fontId="24" fillId="0" borderId="0" xfId="3" applyFont="1" applyAlignment="1"/>
    <xf numFmtId="0" fontId="18" fillId="0" borderId="0" xfId="3" applyFont="1" applyAlignment="1"/>
    <xf numFmtId="0" fontId="24" fillId="0" borderId="0" xfId="3" applyFont="1" applyAlignment="1">
      <alignment vertical="top" wrapText="1"/>
    </xf>
    <xf numFmtId="0" fontId="24" fillId="0" borderId="0" xfId="3" applyFont="1" applyAlignment="1">
      <alignment vertical="top"/>
    </xf>
    <xf numFmtId="0" fontId="26" fillId="0" borderId="0" xfId="3" applyFont="1" applyAlignment="1"/>
    <xf numFmtId="0" fontId="27" fillId="5" borderId="0" xfId="2" applyFont="1" applyFill="1"/>
    <xf numFmtId="0" fontId="27" fillId="6" borderId="0" xfId="2" applyFont="1" applyFill="1" applyAlignment="1">
      <alignment horizontal="center"/>
    </xf>
    <xf numFmtId="0" fontId="27" fillId="6" borderId="0" xfId="2" applyFont="1" applyFill="1"/>
    <xf numFmtId="0" fontId="9" fillId="0" borderId="0" xfId="3"/>
    <xf numFmtId="0" fontId="27" fillId="0" borderId="0" xfId="2" applyFont="1"/>
    <xf numFmtId="0" fontId="8" fillId="5" borderId="0" xfId="2" applyFill="1" applyProtection="1"/>
    <xf numFmtId="0" fontId="29" fillId="5" borderId="0" xfId="2" applyFont="1" applyFill="1" applyBorder="1" applyProtection="1"/>
    <xf numFmtId="0" fontId="29" fillId="5" borderId="0" xfId="2" applyFont="1" applyFill="1" applyBorder="1" applyAlignment="1" applyProtection="1">
      <alignment horizontal="center"/>
    </xf>
    <xf numFmtId="0" fontId="8" fillId="6" borderId="0" xfId="2" applyFill="1" applyProtection="1"/>
    <xf numFmtId="0" fontId="8" fillId="0" borderId="0" xfId="2" applyProtection="1"/>
    <xf numFmtId="0" fontId="24" fillId="5" borderId="9" xfId="2" applyFont="1" applyFill="1" applyBorder="1" applyAlignment="1" applyProtection="1">
      <alignment horizontal="left"/>
    </xf>
    <xf numFmtId="0" fontId="24" fillId="5" borderId="9" xfId="2" applyFont="1" applyFill="1" applyBorder="1" applyAlignment="1" applyProtection="1"/>
    <xf numFmtId="0" fontId="31" fillId="6" borderId="9" xfId="2" applyFont="1" applyFill="1" applyBorder="1" applyAlignment="1" applyProtection="1">
      <protection locked="0"/>
    </xf>
    <xf numFmtId="0" fontId="31" fillId="6" borderId="0" xfId="2" applyFont="1" applyFill="1" applyBorder="1" applyProtection="1"/>
    <xf numFmtId="0" fontId="32" fillId="0" borderId="0" xfId="3" applyFont="1"/>
    <xf numFmtId="0" fontId="30" fillId="0" borderId="0" xfId="2" applyFont="1" applyProtection="1"/>
    <xf numFmtId="0" fontId="24" fillId="5" borderId="0" xfId="2" quotePrefix="1" applyFont="1" applyFill="1" applyBorder="1" applyAlignment="1" applyProtection="1">
      <alignment horizontal="center"/>
    </xf>
    <xf numFmtId="0" fontId="31" fillId="5" borderId="0" xfId="2" applyFont="1" applyFill="1" applyBorder="1" applyAlignment="1" applyProtection="1">
      <alignment horizontal="left"/>
    </xf>
    <xf numFmtId="0" fontId="24" fillId="5" borderId="9" xfId="2" applyFont="1" applyFill="1" applyBorder="1" applyAlignment="1" applyProtection="1">
      <alignment horizontal="center"/>
      <protection locked="0"/>
    </xf>
    <xf numFmtId="0" fontId="8" fillId="5" borderId="0" xfId="2" applyFill="1"/>
    <xf numFmtId="0" fontId="8" fillId="5" borderId="0" xfId="2" applyNumberFormat="1" applyFill="1" applyAlignment="1" applyProtection="1">
      <alignment horizontal="center"/>
    </xf>
    <xf numFmtId="0" fontId="29" fillId="5" borderId="0" xfId="2" applyFont="1" applyFill="1" applyBorder="1" applyProtection="1">
      <protection locked="0"/>
    </xf>
    <xf numFmtId="0" fontId="10" fillId="5" borderId="0" xfId="2" applyFont="1" applyFill="1" applyBorder="1" applyAlignment="1" applyProtection="1">
      <alignment horizontal="center"/>
    </xf>
    <xf numFmtId="0" fontId="29" fillId="5" borderId="0" xfId="2" applyFont="1" applyFill="1" applyBorder="1" applyAlignment="1" applyProtection="1">
      <alignment horizontal="left"/>
    </xf>
    <xf numFmtId="0" fontId="8" fillId="6" borderId="0" xfId="2" applyFill="1" applyBorder="1"/>
    <xf numFmtId="0" fontId="8" fillId="0" borderId="0" xfId="2"/>
    <xf numFmtId="0" fontId="8" fillId="5" borderId="0" xfId="2" applyFill="1" applyBorder="1" applyProtection="1"/>
    <xf numFmtId="0" fontId="10" fillId="6" borderId="13" xfId="2" applyNumberFormat="1" applyFont="1" applyFill="1" applyBorder="1" applyAlignment="1" applyProtection="1">
      <alignment horizontal="center"/>
    </xf>
    <xf numFmtId="0" fontId="10" fillId="6" borderId="14" xfId="2" applyNumberFormat="1" applyFont="1" applyFill="1" applyBorder="1" applyAlignment="1" applyProtection="1">
      <alignment horizontal="center"/>
    </xf>
    <xf numFmtId="0" fontId="10" fillId="5" borderId="14" xfId="2" applyFont="1" applyFill="1" applyBorder="1" applyAlignment="1" applyProtection="1">
      <alignment horizontal="center"/>
    </xf>
    <xf numFmtId="0" fontId="10" fillId="5" borderId="15" xfId="2" applyFont="1" applyFill="1" applyBorder="1" applyAlignment="1" applyProtection="1">
      <alignment horizontal="center"/>
    </xf>
    <xf numFmtId="0" fontId="10" fillId="5" borderId="16" xfId="2" applyFont="1" applyFill="1" applyBorder="1" applyAlignment="1" applyProtection="1">
      <alignment horizontal="center"/>
    </xf>
    <xf numFmtId="0" fontId="8" fillId="6" borderId="0" xfId="2" applyFill="1" applyBorder="1" applyProtection="1"/>
    <xf numFmtId="0" fontId="8" fillId="0" borderId="14" xfId="2" applyBorder="1" applyProtection="1"/>
    <xf numFmtId="0" fontId="10" fillId="6" borderId="17" xfId="2" applyNumberFormat="1" applyFont="1" applyFill="1" applyBorder="1" applyAlignment="1" applyProtection="1">
      <alignment horizontal="center"/>
    </xf>
    <xf numFmtId="0" fontId="10" fillId="6" borderId="0" xfId="2" applyNumberFormat="1" applyFont="1" applyFill="1" applyBorder="1" applyAlignment="1" applyProtection="1">
      <alignment horizontal="center"/>
    </xf>
    <xf numFmtId="0" fontId="10" fillId="5" borderId="18" xfId="2" applyFont="1" applyFill="1" applyBorder="1" applyAlignment="1" applyProtection="1">
      <alignment horizontal="center"/>
    </xf>
    <xf numFmtId="0" fontId="10" fillId="5" borderId="19" xfId="2" applyFont="1" applyFill="1" applyBorder="1" applyAlignment="1" applyProtection="1">
      <alignment horizontal="center"/>
    </xf>
    <xf numFmtId="0" fontId="8" fillId="0" borderId="0" xfId="2" applyBorder="1" applyProtection="1"/>
    <xf numFmtId="0" fontId="10" fillId="6" borderId="20" xfId="2" applyNumberFormat="1" applyFont="1" applyFill="1" applyBorder="1" applyAlignment="1" applyProtection="1">
      <alignment horizontal="center"/>
    </xf>
    <xf numFmtId="0" fontId="10" fillId="6" borderId="21" xfId="2" applyNumberFormat="1" applyFont="1" applyFill="1" applyBorder="1" applyAlignment="1" applyProtection="1">
      <alignment horizontal="center"/>
    </xf>
    <xf numFmtId="0" fontId="10" fillId="5" borderId="21" xfId="2" applyFont="1" applyFill="1" applyBorder="1" applyProtection="1"/>
    <xf numFmtId="0" fontId="10" fillId="5" borderId="22" xfId="2" applyFont="1" applyFill="1" applyBorder="1" applyProtection="1"/>
    <xf numFmtId="0" fontId="10" fillId="5" borderId="21" xfId="2" applyFont="1" applyFill="1" applyBorder="1" applyAlignment="1" applyProtection="1">
      <alignment horizontal="center"/>
    </xf>
    <xf numFmtId="0" fontId="10" fillId="5" borderId="23" xfId="2" applyFont="1" applyFill="1" applyBorder="1" applyAlignment="1" applyProtection="1">
      <alignment horizontal="center"/>
    </xf>
    <xf numFmtId="0" fontId="33" fillId="0" borderId="0" xfId="2" applyFont="1" applyBorder="1" applyAlignment="1">
      <alignment vertical="center"/>
    </xf>
    <xf numFmtId="0" fontId="30" fillId="0" borderId="0" xfId="2" applyFont="1" applyBorder="1" applyAlignment="1">
      <alignment vertical="center"/>
    </xf>
    <xf numFmtId="0" fontId="8" fillId="5" borderId="0" xfId="2" applyFill="1" applyBorder="1" applyAlignment="1">
      <alignment vertical="center"/>
    </xf>
    <xf numFmtId="7" fontId="17" fillId="5" borderId="23" xfId="1" applyNumberFormat="1" applyFont="1" applyFill="1" applyBorder="1" applyAlignment="1" applyProtection="1">
      <alignment horizontal="center" vertical="center"/>
    </xf>
    <xf numFmtId="0" fontId="24" fillId="5" borderId="9" xfId="2" applyFont="1" applyFill="1" applyBorder="1" applyAlignment="1" applyProtection="1">
      <alignment horizontal="left" vertical="center"/>
      <protection hidden="1"/>
    </xf>
    <xf numFmtId="7" fontId="24" fillId="0" borderId="7" xfId="1" applyNumberFormat="1" applyFont="1" applyBorder="1" applyAlignment="1" applyProtection="1">
      <alignment horizontal="center" vertical="center"/>
    </xf>
    <xf numFmtId="0" fontId="8" fillId="6" borderId="0" xfId="2" applyFill="1" applyBorder="1" applyAlignment="1">
      <alignment vertical="center"/>
    </xf>
    <xf numFmtId="0" fontId="8" fillId="0" borderId="0" xfId="2" applyBorder="1" applyAlignment="1">
      <alignment vertical="center"/>
    </xf>
    <xf numFmtId="0" fontId="17" fillId="5" borderId="9" xfId="2" quotePrefix="1" applyFont="1" applyFill="1" applyBorder="1" applyAlignment="1" applyProtection="1">
      <alignment horizontal="left" vertical="center"/>
      <protection hidden="1"/>
    </xf>
    <xf numFmtId="7" fontId="10" fillId="5" borderId="7" xfId="1" applyNumberFormat="1" applyFont="1" applyFill="1" applyBorder="1" applyAlignment="1" applyProtection="1">
      <alignment horizontal="center" vertical="center"/>
    </xf>
    <xf numFmtId="7" fontId="24" fillId="5" borderId="1" xfId="1" applyNumberFormat="1" applyFont="1" applyFill="1" applyBorder="1" applyAlignment="1" applyProtection="1">
      <alignment horizontal="center" vertical="center"/>
    </xf>
    <xf numFmtId="0" fontId="10" fillId="5" borderId="4" xfId="2" applyFont="1" applyFill="1" applyBorder="1" applyAlignment="1" applyProtection="1">
      <alignment horizontal="left" vertical="center"/>
      <protection hidden="1"/>
    </xf>
    <xf numFmtId="7" fontId="17" fillId="5" borderId="34" xfId="1" applyNumberFormat="1" applyFont="1" applyFill="1" applyBorder="1" applyAlignment="1" applyProtection="1">
      <alignment horizontal="center" vertical="center"/>
    </xf>
    <xf numFmtId="0" fontId="10" fillId="5" borderId="12" xfId="2" applyFont="1" applyFill="1" applyBorder="1" applyAlignment="1" applyProtection="1">
      <alignment horizontal="left" vertical="center"/>
      <protection hidden="1"/>
    </xf>
    <xf numFmtId="0" fontId="35" fillId="0" borderId="0" xfId="2" applyFont="1" applyFill="1"/>
    <xf numFmtId="0" fontId="29" fillId="5" borderId="0" xfId="2" quotePrefix="1" applyFont="1" applyFill="1" applyBorder="1" applyAlignment="1" applyProtection="1">
      <alignment horizontal="left"/>
    </xf>
    <xf numFmtId="0" fontId="29" fillId="5" borderId="0" xfId="2" quotePrefix="1" applyFont="1" applyFill="1" applyBorder="1" applyAlignment="1">
      <alignment horizontal="center"/>
    </xf>
    <xf numFmtId="0" fontId="29" fillId="5" borderId="0" xfId="2" applyFont="1" applyFill="1" applyBorder="1"/>
    <xf numFmtId="0" fontId="8" fillId="0" borderId="0" xfId="2" applyFill="1" applyBorder="1"/>
    <xf numFmtId="0" fontId="8" fillId="0" borderId="0" xfId="2" applyFill="1"/>
    <xf numFmtId="0" fontId="8" fillId="5" borderId="0" xfId="2" applyFont="1" applyFill="1" applyBorder="1"/>
    <xf numFmtId="0" fontId="29" fillId="5" borderId="9" xfId="2" applyFont="1" applyFill="1" applyBorder="1" applyAlignment="1" applyProtection="1">
      <alignment horizontal="center"/>
    </xf>
    <xf numFmtId="0" fontId="8" fillId="5" borderId="0" xfId="2" applyFont="1" applyFill="1" applyBorder="1" applyAlignment="1">
      <alignment horizontal="center"/>
    </xf>
    <xf numFmtId="0" fontId="29" fillId="5" borderId="0" xfId="2" quotePrefix="1" applyFont="1" applyFill="1" applyBorder="1" applyAlignment="1" applyProtection="1">
      <alignment horizontal="left"/>
      <protection locked="0"/>
    </xf>
    <xf numFmtId="0" fontId="8" fillId="0" borderId="0" xfId="2" applyFont="1" applyFill="1" applyBorder="1"/>
    <xf numFmtId="0" fontId="8" fillId="5" borderId="0" xfId="2" applyNumberFormat="1" applyFont="1" applyFill="1" applyAlignment="1" applyProtection="1">
      <alignment horizontal="center"/>
    </xf>
    <xf numFmtId="0" fontId="8" fillId="5" borderId="0" xfId="2" applyFont="1" applyFill="1" applyAlignment="1">
      <alignment horizontal="center"/>
    </xf>
    <xf numFmtId="0" fontId="29" fillId="5" borderId="9" xfId="2" quotePrefix="1" applyFont="1" applyFill="1" applyBorder="1" applyAlignment="1" applyProtection="1">
      <alignment horizontal="center"/>
    </xf>
    <xf numFmtId="0" fontId="8" fillId="5" borderId="0" xfId="2" applyNumberFormat="1" applyFill="1" applyBorder="1" applyAlignment="1">
      <alignment horizontal="center"/>
    </xf>
    <xf numFmtId="0" fontId="29" fillId="5" borderId="0" xfId="2" applyFont="1" applyFill="1"/>
    <xf numFmtId="0" fontId="29" fillId="5" borderId="0" xfId="2" applyFont="1" applyFill="1" applyAlignment="1">
      <alignment horizontal="center"/>
    </xf>
    <xf numFmtId="0" fontId="29" fillId="5" borderId="0" xfId="2" applyFont="1" applyFill="1" applyBorder="1" applyAlignment="1">
      <alignment horizontal="center"/>
    </xf>
    <xf numFmtId="0" fontId="8" fillId="5" borderId="0" xfId="2" applyNumberFormat="1" applyFill="1" applyAlignment="1">
      <alignment horizontal="center"/>
    </xf>
    <xf numFmtId="0" fontId="24" fillId="5" borderId="12" xfId="2" applyFont="1" applyFill="1" applyBorder="1" applyAlignment="1" applyProtection="1">
      <alignment horizontal="center"/>
    </xf>
    <xf numFmtId="165" fontId="10" fillId="2" borderId="1" xfId="3" applyNumberFormat="1" applyFont="1" applyFill="1" applyBorder="1" applyAlignment="1" applyProtection="1">
      <alignment horizontal="right"/>
    </xf>
    <xf numFmtId="7" fontId="10" fillId="0" borderId="5" xfId="3" applyNumberFormat="1" applyFont="1" applyFill="1" applyBorder="1" applyAlignment="1" applyProtection="1">
      <alignment horizontal="right"/>
      <protection locked="0"/>
    </xf>
    <xf numFmtId="7" fontId="10" fillId="2" borderId="1" xfId="3" applyNumberFormat="1" applyFont="1" applyFill="1" applyBorder="1" applyAlignment="1" applyProtection="1">
      <alignment horizontal="right"/>
    </xf>
    <xf numFmtId="7" fontId="10" fillId="2" borderId="5" xfId="3" applyNumberFormat="1" applyFont="1" applyFill="1" applyBorder="1" applyAlignment="1" applyProtection="1">
      <alignment horizontal="right"/>
    </xf>
    <xf numFmtId="0" fontId="10" fillId="3" borderId="5" xfId="3" applyFont="1" applyFill="1" applyBorder="1" applyAlignment="1" applyProtection="1">
      <alignment horizontal="center"/>
    </xf>
    <xf numFmtId="0" fontId="17" fillId="3" borderId="38" xfId="3" applyNumberFormat="1" applyFont="1" applyFill="1" applyBorder="1" applyAlignment="1" applyProtection="1">
      <alignment horizontal="left"/>
    </xf>
    <xf numFmtId="0" fontId="17" fillId="3" borderId="5" xfId="3" applyNumberFormat="1" applyFont="1" applyFill="1" applyBorder="1" applyAlignment="1" applyProtection="1">
      <alignment horizontal="center" wrapText="1"/>
    </xf>
    <xf numFmtId="165" fontId="18" fillId="3" borderId="5" xfId="3" applyNumberFormat="1" applyFont="1" applyFill="1" applyBorder="1" applyAlignment="1" applyProtection="1">
      <alignment horizontal="center" vertical="center" wrapText="1"/>
    </xf>
    <xf numFmtId="166" fontId="18" fillId="3" borderId="5" xfId="3" applyNumberFormat="1" applyFont="1" applyFill="1" applyBorder="1" applyAlignment="1" applyProtection="1">
      <alignment horizontal="center" vertical="center" wrapText="1"/>
    </xf>
    <xf numFmtId="0" fontId="18" fillId="3" borderId="5" xfId="3" applyNumberFormat="1" applyFont="1" applyFill="1" applyBorder="1" applyAlignment="1" applyProtection="1">
      <alignment horizontal="center" vertical="center" wrapText="1"/>
    </xf>
    <xf numFmtId="0" fontId="19" fillId="3" borderId="5" xfId="3" applyNumberFormat="1" applyFont="1" applyFill="1" applyBorder="1" applyAlignment="1" applyProtection="1">
      <alignment horizontal="center" vertical="center" wrapText="1"/>
    </xf>
    <xf numFmtId="0" fontId="17" fillId="3" borderId="5" xfId="3" applyNumberFormat="1" applyFont="1" applyFill="1" applyBorder="1" applyAlignment="1" applyProtection="1">
      <alignment horizontal="center" vertical="center" wrapText="1"/>
    </xf>
    <xf numFmtId="0" fontId="10" fillId="4" borderId="36" xfId="3" applyFont="1" applyFill="1" applyBorder="1" applyAlignment="1" applyProtection="1">
      <alignment horizontal="center"/>
    </xf>
    <xf numFmtId="0" fontId="17" fillId="4" borderId="39" xfId="3" applyNumberFormat="1" applyFont="1" applyFill="1" applyBorder="1" applyAlignment="1" applyProtection="1">
      <alignment horizontal="left"/>
    </xf>
    <xf numFmtId="0" fontId="14" fillId="4" borderId="35" xfId="3" applyNumberFormat="1" applyFont="1" applyFill="1" applyBorder="1" applyAlignment="1" applyProtection="1">
      <alignment horizontal="left"/>
    </xf>
    <xf numFmtId="165" fontId="14" fillId="4" borderId="35" xfId="3" applyNumberFormat="1" applyFont="1" applyFill="1" applyBorder="1" applyAlignment="1" applyProtection="1">
      <alignment horizontal="right"/>
    </xf>
    <xf numFmtId="166" fontId="14" fillId="4" borderId="35" xfId="3" applyNumberFormat="1" applyFont="1" applyFill="1" applyBorder="1" applyAlignment="1" applyProtection="1">
      <alignment horizontal="right"/>
    </xf>
    <xf numFmtId="0" fontId="14" fillId="4" borderId="35" xfId="3" applyNumberFormat="1" applyFont="1" applyFill="1" applyBorder="1" applyAlignment="1" applyProtection="1">
      <alignment horizontal="right"/>
    </xf>
    <xf numFmtId="165" fontId="14" fillId="4" borderId="27" xfId="3" applyNumberFormat="1" applyFont="1" applyFill="1" applyBorder="1" applyAlignment="1" applyProtection="1">
      <alignment horizontal="right"/>
    </xf>
    <xf numFmtId="0" fontId="14" fillId="4" borderId="27" xfId="3" applyNumberFormat="1" applyFont="1" applyFill="1" applyBorder="1" applyAlignment="1" applyProtection="1">
      <alignment horizontal="center"/>
    </xf>
    <xf numFmtId="0" fontId="10" fillId="3" borderId="6" xfId="3" applyFont="1" applyFill="1" applyBorder="1" applyAlignment="1" applyProtection="1">
      <alignment horizontal="center"/>
    </xf>
    <xf numFmtId="0" fontId="16" fillId="3" borderId="40" xfId="3" applyNumberFormat="1" applyFont="1" applyFill="1" applyBorder="1" applyAlignment="1" applyProtection="1">
      <alignment horizontal="center"/>
    </xf>
    <xf numFmtId="0" fontId="10" fillId="7" borderId="0" xfId="3" applyFont="1" applyFill="1" applyBorder="1" applyAlignment="1" applyProtection="1">
      <alignment horizontal="center"/>
    </xf>
    <xf numFmtId="0" fontId="14" fillId="7" borderId="0" xfId="3" applyFont="1" applyFill="1" applyAlignment="1" applyProtection="1"/>
    <xf numFmtId="0" fontId="10" fillId="7" borderId="0" xfId="3" applyFont="1" applyFill="1" applyAlignment="1" applyProtection="1"/>
    <xf numFmtId="0" fontId="10" fillId="7" borderId="11" xfId="3" applyFont="1" applyFill="1" applyBorder="1" applyAlignment="1" applyProtection="1"/>
    <xf numFmtId="0" fontId="10" fillId="7" borderId="41" xfId="3" applyFont="1" applyFill="1" applyBorder="1" applyAlignment="1" applyProtection="1">
      <alignment horizontal="center"/>
    </xf>
    <xf numFmtId="0" fontId="9" fillId="7" borderId="11" xfId="3" applyFill="1" applyBorder="1" applyAlignment="1">
      <alignment horizontal="center"/>
    </xf>
    <xf numFmtId="0" fontId="9" fillId="7" borderId="9" xfId="3" applyFill="1" applyBorder="1" applyAlignment="1">
      <alignment horizontal="center"/>
    </xf>
    <xf numFmtId="0" fontId="10" fillId="7" borderId="0" xfId="3" applyFont="1" applyFill="1" applyAlignment="1" applyProtection="1">
      <alignment horizontal="center"/>
    </xf>
    <xf numFmtId="0" fontId="10" fillId="7" borderId="42" xfId="3" applyFont="1" applyFill="1" applyBorder="1" applyAlignment="1" applyProtection="1">
      <alignment horizontal="center"/>
    </xf>
    <xf numFmtId="0" fontId="10" fillId="7" borderId="6" xfId="3" applyFont="1" applyFill="1" applyBorder="1" applyAlignment="1" applyProtection="1"/>
    <xf numFmtId="0" fontId="10" fillId="0" borderId="12" xfId="3" applyFont="1" applyFill="1" applyBorder="1" applyAlignment="1" applyProtection="1">
      <alignment horizontal="center"/>
    </xf>
    <xf numFmtId="0" fontId="18" fillId="0" borderId="43" xfId="3" applyNumberFormat="1" applyFont="1" applyFill="1" applyBorder="1" applyAlignment="1" applyProtection="1">
      <alignment horizontal="right"/>
    </xf>
    <xf numFmtId="0" fontId="18" fillId="0" borderId="42" xfId="3" applyNumberFormat="1" applyFont="1" applyFill="1" applyBorder="1" applyAlignment="1" applyProtection="1">
      <alignment horizontal="right"/>
    </xf>
    <xf numFmtId="0" fontId="0" fillId="0" borderId="9" xfId="0" applyBorder="1" applyAlignment="1"/>
    <xf numFmtId="0" fontId="0" fillId="0" borderId="9" xfId="0" applyBorder="1" applyAlignment="1" applyProtection="1">
      <alignment horizontal="center"/>
      <protection locked="0"/>
    </xf>
    <xf numFmtId="0" fontId="31" fillId="6" borderId="12" xfId="2" applyFont="1" applyFill="1" applyBorder="1" applyAlignment="1" applyProtection="1">
      <alignment horizontal="center"/>
      <protection locked="0"/>
    </xf>
    <xf numFmtId="0" fontId="31" fillId="6" borderId="0" xfId="2" applyFont="1" applyFill="1" applyBorder="1" applyAlignment="1" applyProtection="1">
      <alignment horizontal="center"/>
    </xf>
    <xf numFmtId="0" fontId="31" fillId="6" borderId="9" xfId="2" applyFont="1" applyFill="1" applyBorder="1" applyAlignment="1" applyProtection="1"/>
    <xf numFmtId="0" fontId="17" fillId="0" borderId="2" xfId="3" applyNumberFormat="1" applyFont="1" applyFill="1" applyBorder="1" applyAlignment="1" applyProtection="1">
      <alignment horizontal="left"/>
      <protection locked="0"/>
    </xf>
    <xf numFmtId="165" fontId="17" fillId="2" borderId="1" xfId="3" applyNumberFormat="1" applyFont="1" applyFill="1" applyBorder="1" applyAlignment="1" applyProtection="1">
      <alignment horizontal="right"/>
    </xf>
    <xf numFmtId="10" fontId="17" fillId="0" borderId="1" xfId="3" applyNumberFormat="1" applyFont="1" applyFill="1" applyBorder="1" applyAlignment="1" applyProtection="1">
      <alignment horizontal="right"/>
      <protection locked="0"/>
    </xf>
    <xf numFmtId="165" fontId="17" fillId="2" borderId="5" xfId="3" applyNumberFormat="1" applyFont="1" applyFill="1" applyBorder="1" applyAlignment="1" applyProtection="1">
      <alignment horizontal="right"/>
    </xf>
    <xf numFmtId="165" fontId="18" fillId="4" borderId="7" xfId="3" applyNumberFormat="1" applyFont="1" applyFill="1" applyBorder="1" applyAlignment="1" applyProtection="1">
      <alignment horizontal="center" vertical="center" wrapText="1"/>
    </xf>
    <xf numFmtId="166" fontId="18" fillId="4" borderId="7" xfId="3" applyNumberFormat="1" applyFont="1" applyFill="1" applyBorder="1" applyAlignment="1" applyProtection="1">
      <alignment horizontal="center" vertical="center" wrapText="1"/>
    </xf>
    <xf numFmtId="0" fontId="18" fillId="4" borderId="7" xfId="3" applyNumberFormat="1" applyFont="1" applyFill="1" applyBorder="1" applyAlignment="1" applyProtection="1">
      <alignment horizontal="center" vertical="center" wrapText="1"/>
    </xf>
    <xf numFmtId="0" fontId="19" fillId="4" borderId="7" xfId="3" applyNumberFormat="1" applyFont="1" applyFill="1" applyBorder="1" applyAlignment="1" applyProtection="1">
      <alignment horizontal="center" vertical="center" wrapText="1"/>
    </xf>
    <xf numFmtId="0" fontId="10" fillId="2" borderId="1" xfId="3" applyNumberFormat="1" applyFont="1" applyFill="1" applyBorder="1" applyAlignment="1" applyProtection="1">
      <alignment horizontal="left"/>
    </xf>
    <xf numFmtId="0" fontId="10" fillId="4" borderId="1" xfId="3" applyNumberFormat="1" applyFont="1" applyFill="1" applyBorder="1" applyAlignment="1" applyProtection="1">
      <alignment horizontal="left"/>
    </xf>
    <xf numFmtId="165" fontId="10" fillId="4" borderId="1" xfId="3" applyNumberFormat="1" applyFont="1" applyFill="1" applyBorder="1" applyAlignment="1" applyProtection="1">
      <alignment horizontal="right"/>
    </xf>
    <xf numFmtId="166" fontId="10" fillId="4" borderId="1" xfId="3" applyNumberFormat="1" applyFont="1" applyFill="1" applyBorder="1" applyAlignment="1" applyProtection="1">
      <alignment horizontal="right"/>
    </xf>
    <xf numFmtId="0" fontId="10" fillId="4" borderId="1" xfId="3" applyNumberFormat="1" applyFont="1" applyFill="1" applyBorder="1" applyAlignment="1" applyProtection="1">
      <alignment horizontal="right"/>
    </xf>
    <xf numFmtId="0" fontId="10" fillId="0" borderId="1" xfId="3" applyNumberFormat="1" applyFont="1" applyFill="1" applyBorder="1" applyAlignment="1" applyProtection="1">
      <alignment horizontal="left"/>
      <protection locked="0"/>
    </xf>
    <xf numFmtId="7" fontId="10" fillId="0" borderId="1" xfId="3" applyNumberFormat="1" applyFont="1" applyBorder="1" applyAlignment="1" applyProtection="1">
      <alignment horizontal="left"/>
      <protection locked="0"/>
    </xf>
    <xf numFmtId="0" fontId="10" fillId="3" borderId="38" xfId="3" applyFont="1" applyFill="1" applyBorder="1" applyAlignment="1" applyProtection="1">
      <alignment horizontal="center"/>
    </xf>
    <xf numFmtId="0" fontId="24" fillId="5" borderId="0" xfId="2" applyFont="1" applyFill="1" applyProtection="1"/>
    <xf numFmtId="0" fontId="10" fillId="5" borderId="0" xfId="2" applyFont="1" applyFill="1" applyBorder="1" applyAlignment="1">
      <alignment vertical="center"/>
    </xf>
    <xf numFmtId="0" fontId="17" fillId="5" borderId="25" xfId="2" applyFont="1" applyFill="1" applyBorder="1" applyAlignment="1" applyProtection="1">
      <alignment horizontal="center" vertical="center"/>
      <protection hidden="1"/>
    </xf>
    <xf numFmtId="0" fontId="10" fillId="6" borderId="0" xfId="2" applyFont="1" applyFill="1" applyBorder="1" applyAlignment="1">
      <alignment vertical="center"/>
    </xf>
    <xf numFmtId="0" fontId="24" fillId="5" borderId="0" xfId="2" applyFont="1" applyFill="1" applyBorder="1" applyAlignment="1">
      <alignment vertical="center"/>
    </xf>
    <xf numFmtId="0" fontId="24" fillId="0" borderId="26" xfId="2" applyNumberFormat="1" applyFont="1" applyBorder="1" applyAlignment="1" applyProtection="1">
      <alignment horizontal="center" vertical="center"/>
      <protection hidden="1"/>
    </xf>
    <xf numFmtId="0" fontId="24" fillId="5" borderId="27" xfId="2" applyFont="1" applyFill="1" applyBorder="1" applyAlignment="1" applyProtection="1">
      <alignment horizontal="left" vertical="center"/>
      <protection hidden="1"/>
    </xf>
    <xf numFmtId="7" fontId="24" fillId="5" borderId="28" xfId="1" applyNumberFormat="1" applyFont="1" applyFill="1" applyBorder="1" applyAlignment="1" applyProtection="1">
      <alignment horizontal="center" vertical="center"/>
    </xf>
    <xf numFmtId="0" fontId="24" fillId="0" borderId="37" xfId="2" applyFont="1" applyBorder="1" applyAlignment="1" applyProtection="1">
      <alignment horizontal="center" vertical="center"/>
      <protection hidden="1"/>
    </xf>
    <xf numFmtId="0" fontId="24" fillId="6" borderId="0" xfId="2" applyFont="1" applyFill="1" applyBorder="1" applyAlignment="1">
      <alignment vertical="center"/>
    </xf>
    <xf numFmtId="0" fontId="24" fillId="0" borderId="29" xfId="2" applyNumberFormat="1" applyFont="1" applyBorder="1" applyAlignment="1" applyProtection="1">
      <alignment horizontal="center" vertical="center"/>
      <protection hidden="1"/>
    </xf>
    <xf numFmtId="7" fontId="24" fillId="5" borderId="30" xfId="1" applyNumberFormat="1" applyFont="1" applyFill="1" applyBorder="1" applyAlignment="1" applyProtection="1">
      <alignment horizontal="center" vertical="center"/>
    </xf>
    <xf numFmtId="0" fontId="24" fillId="0" borderId="29" xfId="2" applyFont="1" applyBorder="1" applyAlignment="1" applyProtection="1">
      <alignment horizontal="center" vertical="center"/>
      <protection hidden="1"/>
    </xf>
    <xf numFmtId="0" fontId="24" fillId="5" borderId="2" xfId="2" applyFont="1" applyFill="1" applyBorder="1" applyAlignment="1" applyProtection="1">
      <alignment vertical="center"/>
      <protection hidden="1"/>
    </xf>
    <xf numFmtId="0" fontId="24" fillId="0" borderId="31" xfId="2" applyNumberFormat="1" applyFont="1" applyBorder="1" applyAlignment="1" applyProtection="1">
      <alignment horizontal="center" vertical="center"/>
      <protection hidden="1"/>
    </xf>
    <xf numFmtId="0" fontId="24" fillId="5" borderId="32" xfId="2" applyFont="1" applyFill="1" applyBorder="1" applyAlignment="1" applyProtection="1">
      <alignment horizontal="left" vertical="center"/>
    </xf>
    <xf numFmtId="7" fontId="24" fillId="5" borderId="33" xfId="1" applyNumberFormat="1" applyFont="1" applyFill="1" applyBorder="1" applyAlignment="1" applyProtection="1">
      <alignment horizontal="center" vertical="center"/>
    </xf>
    <xf numFmtId="0" fontId="24" fillId="5" borderId="0" xfId="2" applyFont="1" applyFill="1" applyBorder="1" applyAlignment="1" applyProtection="1">
      <alignment horizontal="left" vertical="center"/>
      <protection hidden="1"/>
    </xf>
    <xf numFmtId="7" fontId="24" fillId="0" borderId="6" xfId="1" applyNumberFormat="1" applyFont="1" applyBorder="1" applyAlignment="1" applyProtection="1">
      <alignment horizontal="center" vertical="center"/>
    </xf>
    <xf numFmtId="0" fontId="24" fillId="5" borderId="35" xfId="2" applyFont="1" applyFill="1" applyBorder="1" applyAlignment="1" applyProtection="1">
      <alignment vertical="center"/>
      <protection hidden="1"/>
    </xf>
    <xf numFmtId="7" fontId="24" fillId="0" borderId="36" xfId="1" applyNumberFormat="1" applyFont="1" applyBorder="1" applyAlignment="1" applyProtection="1">
      <alignment horizontal="center" vertical="center"/>
    </xf>
    <xf numFmtId="0" fontId="24" fillId="5" borderId="12" xfId="2" applyFont="1" applyFill="1" applyBorder="1" applyAlignment="1" applyProtection="1">
      <alignment horizontal="left" vertical="center"/>
      <protection hidden="1"/>
    </xf>
    <xf numFmtId="7" fontId="24" fillId="5" borderId="5" xfId="1" applyNumberFormat="1" applyFont="1" applyFill="1" applyBorder="1" applyAlignment="1" applyProtection="1">
      <alignment horizontal="center" vertical="center"/>
    </xf>
    <xf numFmtId="7" fontId="24" fillId="5" borderId="7" xfId="1" applyNumberFormat="1" applyFont="1" applyFill="1" applyBorder="1" applyAlignment="1" applyProtection="1">
      <alignment horizontal="center" vertical="center"/>
    </xf>
    <xf numFmtId="0" fontId="8" fillId="5" borderId="0" xfId="2" applyFont="1" applyFill="1"/>
    <xf numFmtId="0" fontId="8" fillId="5" borderId="0" xfId="2" applyFont="1" applyFill="1" applyProtection="1"/>
    <xf numFmtId="0" fontId="27" fillId="5" borderId="0" xfId="2" applyFont="1" applyFill="1" applyBorder="1" applyAlignment="1" applyProtection="1">
      <alignment horizontal="center"/>
    </xf>
    <xf numFmtId="0" fontId="8" fillId="5" borderId="0" xfId="2" applyFont="1" applyFill="1" applyAlignment="1" applyProtection="1">
      <alignment horizontal="center"/>
    </xf>
    <xf numFmtId="3" fontId="8" fillId="5" borderId="0" xfId="2" applyNumberFormat="1" applyFont="1" applyFill="1" applyBorder="1" applyProtection="1"/>
    <xf numFmtId="0" fontId="8" fillId="0" borderId="0" xfId="2" applyFont="1" applyFill="1"/>
    <xf numFmtId="0" fontId="8" fillId="5" borderId="0" xfId="2" applyFont="1" applyFill="1" applyBorder="1" applyProtection="1"/>
    <xf numFmtId="0" fontId="8" fillId="5" borderId="0" xfId="2" quotePrefix="1" applyFont="1" applyFill="1" applyBorder="1" applyAlignment="1" applyProtection="1">
      <alignment horizontal="center"/>
    </xf>
    <xf numFmtId="0" fontId="8" fillId="5" borderId="0" xfId="2" quotePrefix="1" applyFont="1" applyFill="1" applyBorder="1" applyAlignment="1">
      <alignment horizontal="center"/>
    </xf>
    <xf numFmtId="0" fontId="8" fillId="5" borderId="0" xfId="2" applyFont="1" applyFill="1" applyBorder="1" applyAlignment="1" applyProtection="1"/>
    <xf numFmtId="0" fontId="27" fillId="5" borderId="0" xfId="2" quotePrefix="1" applyFont="1" applyFill="1" applyBorder="1" applyAlignment="1" applyProtection="1">
      <alignment horizontal="left"/>
    </xf>
    <xf numFmtId="0" fontId="8" fillId="5" borderId="0" xfId="2" quotePrefix="1" applyFont="1" applyFill="1" applyBorder="1" applyAlignment="1" applyProtection="1"/>
    <xf numFmtId="0" fontId="8" fillId="5" borderId="0" xfId="2" applyFont="1" applyFill="1" applyBorder="1" applyAlignment="1" applyProtection="1">
      <alignment horizontal="left"/>
    </xf>
    <xf numFmtId="0" fontId="7" fillId="0" borderId="0" xfId="4"/>
    <xf numFmtId="0" fontId="38" fillId="0" borderId="0" xfId="4" applyFont="1" applyAlignment="1">
      <alignment horizontal="center"/>
    </xf>
    <xf numFmtId="168" fontId="38" fillId="0" borderId="0" xfId="4" applyNumberFormat="1" applyFont="1" applyAlignment="1">
      <alignment horizontal="center"/>
    </xf>
    <xf numFmtId="169" fontId="38" fillId="0" borderId="0" xfId="4" applyNumberFormat="1" applyFont="1" applyAlignment="1">
      <alignment horizontal="center"/>
    </xf>
    <xf numFmtId="168" fontId="39" fillId="0" borderId="0" xfId="4" applyNumberFormat="1" applyFont="1"/>
    <xf numFmtId="0" fontId="39" fillId="0" borderId="0" xfId="4" applyFont="1"/>
    <xf numFmtId="169" fontId="39" fillId="0" borderId="0" xfId="4" applyNumberFormat="1" applyFont="1"/>
    <xf numFmtId="168" fontId="7" fillId="0" borderId="0" xfId="4" applyNumberFormat="1"/>
    <xf numFmtId="169" fontId="7" fillId="0" borderId="0" xfId="4" applyNumberFormat="1"/>
    <xf numFmtId="0" fontId="7" fillId="0" borderId="0" xfId="4" applyFill="1"/>
    <xf numFmtId="168" fontId="7" fillId="0" borderId="0" xfId="4" applyNumberFormat="1" applyFill="1"/>
    <xf numFmtId="169" fontId="7" fillId="0" borderId="0" xfId="4" applyNumberFormat="1" applyFill="1"/>
    <xf numFmtId="168" fontId="7" fillId="0" borderId="0" xfId="4" applyNumberFormat="1" applyFill="1" applyAlignment="1">
      <alignment horizontal="right"/>
    </xf>
    <xf numFmtId="0" fontId="42" fillId="0" borderId="0" xfId="0" applyFont="1"/>
    <xf numFmtId="169" fontId="38" fillId="0" borderId="0" xfId="4" applyNumberFormat="1" applyFont="1" applyFill="1"/>
    <xf numFmtId="169" fontId="38" fillId="0" borderId="0" xfId="4" applyNumberFormat="1" applyFont="1"/>
    <xf numFmtId="10" fontId="38" fillId="0" borderId="0" xfId="111" applyNumberFormat="1" applyFont="1"/>
    <xf numFmtId="0" fontId="44" fillId="0" borderId="0" xfId="4" applyFont="1" applyAlignment="1">
      <alignment horizontal="center" wrapText="1"/>
    </xf>
    <xf numFmtId="0" fontId="45" fillId="0" borderId="0" xfId="4" applyFont="1"/>
    <xf numFmtId="168" fontId="45" fillId="0" borderId="0" xfId="4" applyNumberFormat="1" applyFont="1"/>
    <xf numFmtId="169" fontId="46" fillId="0" borderId="0" xfId="4" applyNumberFormat="1" applyFont="1"/>
    <xf numFmtId="0" fontId="43" fillId="0" borderId="0" xfId="4" applyFont="1"/>
    <xf numFmtId="168" fontId="43" fillId="0" borderId="0" xfId="4" applyNumberFormat="1" applyFont="1"/>
    <xf numFmtId="169" fontId="47" fillId="0" borderId="0" xfId="4" applyNumberFormat="1" applyFont="1"/>
    <xf numFmtId="0" fontId="48" fillId="0" borderId="0" xfId="4" applyFont="1"/>
    <xf numFmtId="168" fontId="48" fillId="0" borderId="0" xfId="4" applyNumberFormat="1" applyFont="1"/>
    <xf numFmtId="10" fontId="49" fillId="0" borderId="0" xfId="111" applyNumberFormat="1" applyFont="1"/>
    <xf numFmtId="0" fontId="50" fillId="0" borderId="0" xfId="4" applyFont="1"/>
    <xf numFmtId="168" fontId="50" fillId="0" borderId="0" xfId="4" applyNumberFormat="1" applyFont="1"/>
    <xf numFmtId="169" fontId="51" fillId="0" borderId="0" xfId="4" applyNumberFormat="1" applyFont="1"/>
    <xf numFmtId="169" fontId="48" fillId="0" borderId="0" xfId="4" applyNumberFormat="1" applyFont="1"/>
    <xf numFmtId="169" fontId="44" fillId="0" borderId="0" xfId="4" applyNumberFormat="1" applyFont="1" applyAlignment="1">
      <alignment horizontal="center"/>
    </xf>
    <xf numFmtId="169" fontId="44" fillId="0" borderId="0" xfId="4" applyNumberFormat="1" applyFont="1" applyFill="1"/>
    <xf numFmtId="169" fontId="52" fillId="0" borderId="0" xfId="4" applyNumberFormat="1" applyFont="1"/>
    <xf numFmtId="169" fontId="44" fillId="0" borderId="0" xfId="4" applyNumberFormat="1" applyFont="1"/>
    <xf numFmtId="169" fontId="53" fillId="0" borderId="0" xfId="4" applyNumberFormat="1" applyFont="1"/>
    <xf numFmtId="169" fontId="54" fillId="0" borderId="0" xfId="4" applyNumberFormat="1" applyFont="1"/>
    <xf numFmtId="169" fontId="55" fillId="0" borderId="0" xfId="4" applyNumberFormat="1" applyFont="1"/>
    <xf numFmtId="10" fontId="56" fillId="0" borderId="0" xfId="111" applyNumberFormat="1" applyFont="1"/>
    <xf numFmtId="10" fontId="44" fillId="0" borderId="0" xfId="111" applyNumberFormat="1" applyFont="1"/>
    <xf numFmtId="169" fontId="57" fillId="0" borderId="0" xfId="4" applyNumberFormat="1" applyFont="1"/>
    <xf numFmtId="0" fontId="6" fillId="0" borderId="0" xfId="4" applyFont="1" applyFill="1"/>
    <xf numFmtId="0" fontId="6" fillId="0" borderId="0" xfId="4" applyFont="1"/>
    <xf numFmtId="168" fontId="6" fillId="0" borderId="0" xfId="4" applyNumberFormat="1" applyFont="1"/>
    <xf numFmtId="0" fontId="43" fillId="0" borderId="0" xfId="4" applyFont="1" applyFill="1"/>
    <xf numFmtId="169" fontId="43" fillId="0" borderId="0" xfId="4" applyNumberFormat="1" applyFont="1"/>
    <xf numFmtId="0" fontId="58" fillId="0" borderId="0" xfId="4" applyFont="1"/>
    <xf numFmtId="168" fontId="58" fillId="0" borderId="0" xfId="4" applyNumberFormat="1" applyFont="1"/>
    <xf numFmtId="0" fontId="58" fillId="0" borderId="0" xfId="4" applyFont="1" applyFill="1"/>
    <xf numFmtId="169" fontId="58" fillId="0" borderId="0" xfId="4" applyNumberFormat="1" applyFont="1"/>
    <xf numFmtId="169" fontId="59" fillId="0" borderId="0" xfId="4" applyNumberFormat="1" applyFont="1" applyFill="1"/>
    <xf numFmtId="169" fontId="59" fillId="0" borderId="0" xfId="4" applyNumberFormat="1" applyFont="1"/>
    <xf numFmtId="0" fontId="60" fillId="0" borderId="0" xfId="0" applyFont="1"/>
    <xf numFmtId="168" fontId="61" fillId="0" borderId="0" xfId="0" applyNumberFormat="1" applyFont="1"/>
    <xf numFmtId="0" fontId="61" fillId="0" borderId="0" xfId="0" applyFont="1"/>
    <xf numFmtId="169" fontId="61" fillId="0" borderId="0" xfId="0" applyNumberFormat="1" applyFont="1"/>
    <xf numFmtId="168" fontId="62" fillId="0" borderId="0" xfId="0" applyNumberFormat="1" applyFont="1"/>
    <xf numFmtId="0" fontId="62" fillId="0" borderId="0" xfId="0" applyFont="1"/>
    <xf numFmtId="169" fontId="62" fillId="0" borderId="0" xfId="0" applyNumberFormat="1" applyFont="1"/>
    <xf numFmtId="168" fontId="58" fillId="8" borderId="0" xfId="4" applyNumberFormat="1" applyFont="1" applyFill="1"/>
    <xf numFmtId="0" fontId="58" fillId="8" borderId="0" xfId="4" applyFont="1" applyFill="1"/>
    <xf numFmtId="169" fontId="58" fillId="8" borderId="0" xfId="4" applyNumberFormat="1" applyFont="1" applyFill="1"/>
    <xf numFmtId="0" fontId="43" fillId="8" borderId="0" xfId="4" applyFont="1" applyFill="1"/>
    <xf numFmtId="168" fontId="61" fillId="9" borderId="0" xfId="0" applyNumberFormat="1" applyFont="1" applyFill="1"/>
    <xf numFmtId="0" fontId="61" fillId="9" borderId="0" xfId="0" applyFont="1" applyFill="1"/>
    <xf numFmtId="169" fontId="61" fillId="9" borderId="0" xfId="0" applyNumberFormat="1" applyFont="1" applyFill="1"/>
    <xf numFmtId="165" fontId="10" fillId="10" borderId="1" xfId="3" applyNumberFormat="1" applyFont="1" applyFill="1" applyBorder="1" applyAlignment="1" applyProtection="1">
      <alignment horizontal="right"/>
      <protection locked="0"/>
    </xf>
    <xf numFmtId="168" fontId="58" fillId="0" borderId="0" xfId="4" applyNumberFormat="1" applyFont="1" applyFill="1"/>
    <xf numFmtId="169" fontId="58" fillId="0" borderId="0" xfId="4" applyNumberFormat="1" applyFont="1" applyFill="1"/>
    <xf numFmtId="0" fontId="6" fillId="10" borderId="0" xfId="4" applyFont="1" applyFill="1"/>
    <xf numFmtId="169" fontId="7" fillId="10" borderId="0" xfId="4" applyNumberFormat="1" applyFill="1"/>
    <xf numFmtId="0" fontId="58" fillId="11" borderId="0" xfId="4" applyFont="1" applyFill="1"/>
    <xf numFmtId="169" fontId="58" fillId="11" borderId="0" xfId="4" applyNumberFormat="1" applyFont="1" applyFill="1"/>
    <xf numFmtId="169" fontId="7" fillId="11" borderId="0" xfId="4" applyNumberFormat="1" applyFill="1"/>
    <xf numFmtId="168" fontId="61" fillId="0" borderId="0" xfId="4" applyNumberFormat="1" applyFont="1"/>
    <xf numFmtId="0" fontId="61" fillId="0" borderId="0" xfId="4" applyFont="1" applyFill="1"/>
    <xf numFmtId="169" fontId="61" fillId="0" borderId="0" xfId="4" applyNumberFormat="1" applyFont="1" applyFill="1"/>
    <xf numFmtId="0" fontId="61" fillId="0" borderId="0" xfId="0" applyFont="1" applyFill="1"/>
    <xf numFmtId="169" fontId="61" fillId="0" borderId="0" xfId="0" applyNumberFormat="1" applyFont="1" applyFill="1"/>
    <xf numFmtId="168" fontId="7" fillId="12" borderId="0" xfId="4" applyNumberFormat="1" applyFill="1"/>
    <xf numFmtId="0" fontId="7" fillId="12" borderId="0" xfId="4" applyFill="1"/>
    <xf numFmtId="169" fontId="7" fillId="12" borderId="0" xfId="4" applyNumberFormat="1" applyFill="1"/>
    <xf numFmtId="170" fontId="10" fillId="7" borderId="0" xfId="3" applyNumberFormat="1" applyFont="1" applyFill="1" applyAlignment="1" applyProtection="1">
      <alignment horizontal="center"/>
    </xf>
    <xf numFmtId="170" fontId="10" fillId="3" borderId="4" xfId="3" applyNumberFormat="1" applyFont="1" applyFill="1" applyBorder="1" applyAlignment="1" applyProtection="1">
      <alignment horizontal="right"/>
    </xf>
    <xf numFmtId="170" fontId="15" fillId="3" borderId="0" xfId="3" applyNumberFormat="1" applyFont="1" applyFill="1" applyBorder="1" applyAlignment="1" applyProtection="1">
      <alignment horizontal="right"/>
      <protection locked="0"/>
    </xf>
    <xf numFmtId="170" fontId="19" fillId="3" borderId="5" xfId="3" applyNumberFormat="1" applyFont="1" applyFill="1" applyBorder="1" applyAlignment="1" applyProtection="1">
      <alignment horizontal="center" vertical="center" wrapText="1"/>
    </xf>
    <xf numFmtId="170" fontId="14" fillId="4" borderId="35" xfId="3" applyNumberFormat="1" applyFont="1" applyFill="1" applyBorder="1" applyAlignment="1" applyProtection="1">
      <alignment horizontal="right"/>
    </xf>
    <xf numFmtId="170" fontId="10" fillId="2" borderId="1" xfId="3" applyNumberFormat="1" applyFont="1" applyFill="1" applyBorder="1" applyAlignment="1" applyProtection="1">
      <alignment horizontal="right"/>
    </xf>
    <xf numFmtId="170" fontId="10" fillId="4" borderId="1" xfId="3" applyNumberFormat="1" applyFont="1" applyFill="1" applyBorder="1" applyAlignment="1" applyProtection="1">
      <alignment horizontal="right"/>
    </xf>
    <xf numFmtId="170" fontId="19" fillId="4" borderId="7" xfId="3" applyNumberFormat="1" applyFont="1" applyFill="1" applyBorder="1" applyAlignment="1" applyProtection="1">
      <alignment horizontal="center" vertical="center" wrapText="1"/>
    </xf>
    <xf numFmtId="170" fontId="10" fillId="2" borderId="5" xfId="3" applyNumberFormat="1" applyFont="1" applyFill="1" applyBorder="1" applyAlignment="1" applyProtection="1">
      <alignment horizontal="right"/>
    </xf>
    <xf numFmtId="170" fontId="10" fillId="0" borderId="12" xfId="3" applyNumberFormat="1" applyFont="1" applyBorder="1" applyAlignment="1" applyProtection="1">
      <alignment horizontal="right"/>
    </xf>
    <xf numFmtId="170" fontId="10" fillId="0" borderId="0" xfId="3" applyNumberFormat="1" applyFont="1" applyAlignment="1" applyProtection="1">
      <alignment horizontal="right"/>
    </xf>
    <xf numFmtId="170" fontId="17" fillId="2" borderId="1" xfId="3" applyNumberFormat="1" applyFont="1" applyFill="1" applyBorder="1" applyAlignment="1" applyProtection="1">
      <alignment horizontal="right"/>
    </xf>
    <xf numFmtId="9" fontId="17" fillId="2" borderId="4" xfId="111" applyFont="1" applyFill="1" applyBorder="1" applyAlignment="1" applyProtection="1">
      <alignment horizontal="right"/>
    </xf>
    <xf numFmtId="9" fontId="17" fillId="2" borderId="43" xfId="111" applyFont="1" applyFill="1" applyBorder="1" applyAlignment="1" applyProtection="1">
      <alignment horizontal="right"/>
    </xf>
    <xf numFmtId="9" fontId="17" fillId="2" borderId="1" xfId="111" applyFont="1" applyFill="1" applyBorder="1" applyAlignment="1" applyProtection="1">
      <alignment horizontal="right"/>
    </xf>
    <xf numFmtId="168" fontId="42" fillId="0" borderId="0" xfId="0" applyNumberFormat="1" applyFont="1"/>
    <xf numFmtId="169" fontId="42" fillId="0" borderId="0" xfId="0" applyNumberFormat="1" applyFont="1"/>
    <xf numFmtId="170" fontId="7" fillId="0" borderId="0" xfId="4" applyNumberFormat="1"/>
    <xf numFmtId="0" fontId="5" fillId="0" borderId="0" xfId="4" applyFont="1"/>
    <xf numFmtId="170" fontId="48" fillId="0" borderId="0" xfId="4" applyNumberFormat="1" applyFont="1"/>
    <xf numFmtId="170" fontId="58" fillId="0" borderId="0" xfId="4" applyNumberFormat="1" applyFont="1"/>
    <xf numFmtId="170" fontId="63" fillId="2" borderId="1" xfId="3" applyNumberFormat="1" applyFont="1" applyFill="1" applyBorder="1" applyAlignment="1" applyProtection="1">
      <alignment horizontal="right"/>
    </xf>
    <xf numFmtId="165" fontId="10" fillId="0" borderId="12" xfId="540" applyNumberFormat="1" applyFont="1" applyBorder="1" applyAlignment="1" applyProtection="1">
      <alignment horizontal="right"/>
    </xf>
    <xf numFmtId="0" fontId="4" fillId="0" borderId="0" xfId="4" applyFont="1"/>
    <xf numFmtId="170" fontId="43" fillId="0" borderId="0" xfId="4" applyNumberFormat="1" applyFont="1"/>
    <xf numFmtId="0" fontId="24" fillId="5" borderId="4" xfId="2" applyFont="1" applyFill="1" applyBorder="1" applyAlignment="1" applyProtection="1">
      <alignment horizontal="left" vertical="center"/>
      <protection hidden="1"/>
    </xf>
    <xf numFmtId="0" fontId="17" fillId="5" borderId="24" xfId="2" applyFont="1" applyFill="1" applyBorder="1" applyAlignment="1" applyProtection="1">
      <alignment horizontal="left" vertical="center"/>
      <protection hidden="1"/>
    </xf>
    <xf numFmtId="0" fontId="24" fillId="5" borderId="3" xfId="2" applyFont="1" applyFill="1" applyBorder="1" applyAlignment="1" applyProtection="1">
      <alignment vertical="center"/>
      <protection hidden="1"/>
    </xf>
    <xf numFmtId="0" fontId="24" fillId="5" borderId="4" xfId="2" applyFont="1" applyFill="1" applyBorder="1" applyAlignment="1" applyProtection="1">
      <alignment vertical="center"/>
      <protection hidden="1"/>
    </xf>
    <xf numFmtId="0" fontId="28" fillId="5" borderId="0" xfId="2" applyFont="1" applyFill="1" applyBorder="1" applyAlignment="1">
      <alignment horizontal="center"/>
    </xf>
    <xf numFmtId="0" fontId="24" fillId="5" borderId="2" xfId="2" applyFont="1" applyFill="1" applyBorder="1" applyAlignment="1" applyProtection="1">
      <alignment horizontal="left" vertical="center"/>
      <protection hidden="1"/>
    </xf>
    <xf numFmtId="0" fontId="24" fillId="5" borderId="0" xfId="2" applyFont="1" applyFill="1" applyBorder="1" applyAlignment="1" applyProtection="1">
      <alignment horizontal="right"/>
    </xf>
    <xf numFmtId="0" fontId="24" fillId="5" borderId="0" xfId="2" applyFont="1" applyFill="1" applyBorder="1" applyAlignment="1" applyProtection="1">
      <alignment horizontal="left"/>
      <protection locked="0"/>
    </xf>
    <xf numFmtId="0" fontId="8" fillId="5" borderId="0" xfId="2" applyFont="1" applyFill="1" applyBorder="1" applyAlignment="1" applyProtection="1">
      <alignment horizontal="center"/>
    </xf>
    <xf numFmtId="0" fontId="3" fillId="11" borderId="0" xfId="4" applyFont="1" applyFill="1"/>
    <xf numFmtId="0" fontId="3" fillId="0" borderId="0" xfId="4" applyFont="1"/>
    <xf numFmtId="0" fontId="3" fillId="0" borderId="0" xfId="4" applyFont="1" applyFill="1"/>
    <xf numFmtId="168" fontId="3" fillId="0" borderId="0" xfId="4" applyNumberFormat="1" applyFont="1"/>
    <xf numFmtId="169" fontId="3" fillId="0" borderId="0" xfId="4" applyNumberFormat="1" applyFont="1"/>
    <xf numFmtId="169" fontId="2" fillId="0" borderId="0" xfId="4" applyNumberFormat="1" applyFont="1" applyFill="1"/>
    <xf numFmtId="169" fontId="2" fillId="0" borderId="0" xfId="4" applyNumberFormat="1" applyFont="1"/>
    <xf numFmtId="169" fontId="3" fillId="0" borderId="0" xfId="4" applyNumberFormat="1" applyFont="1" applyFill="1"/>
    <xf numFmtId="0" fontId="38" fillId="0" borderId="0" xfId="4" applyFont="1" applyAlignment="1">
      <alignment horizontal="center" wrapText="1"/>
    </xf>
    <xf numFmtId="0" fontId="12" fillId="3" borderId="3" xfId="3" applyNumberFormat="1" applyFont="1" applyFill="1" applyBorder="1" applyAlignment="1" applyProtection="1">
      <alignment horizontal="left"/>
    </xf>
    <xf numFmtId="0" fontId="13" fillId="3" borderId="4" xfId="3" applyFont="1" applyFill="1" applyBorder="1" applyAlignment="1" applyProtection="1">
      <alignment horizontal="left"/>
    </xf>
    <xf numFmtId="0" fontId="13" fillId="3" borderId="2" xfId="3" applyFont="1" applyFill="1" applyBorder="1" applyAlignment="1" applyProtection="1">
      <alignment horizontal="left"/>
    </xf>
    <xf numFmtId="0" fontId="36" fillId="0" borderId="38" xfId="3" applyNumberFormat="1" applyFont="1" applyFill="1" applyBorder="1" applyAlignment="1" applyProtection="1">
      <alignment horizontal="left"/>
      <protection locked="0"/>
    </xf>
    <xf numFmtId="0" fontId="37" fillId="0" borderId="43" xfId="3" applyFont="1" applyFill="1" applyBorder="1" applyAlignment="1" applyProtection="1">
      <alignment horizontal="left"/>
      <protection locked="0"/>
    </xf>
    <xf numFmtId="0" fontId="17" fillId="2" borderId="1" xfId="3" applyNumberFormat="1" applyFont="1" applyFill="1" applyBorder="1" applyAlignment="1" applyProtection="1">
      <alignment horizontal="right"/>
    </xf>
    <xf numFmtId="0" fontId="9" fillId="0" borderId="1" xfId="3" applyBorder="1" applyAlignment="1" applyProtection="1">
      <alignment horizontal="right"/>
    </xf>
    <xf numFmtId="165" fontId="10" fillId="0" borderId="38" xfId="3" applyNumberFormat="1" applyFont="1" applyFill="1" applyBorder="1" applyAlignment="1" applyProtection="1">
      <alignment horizontal="left" wrapText="1"/>
    </xf>
    <xf numFmtId="0" fontId="10" fillId="0" borderId="11" xfId="3" applyNumberFormat="1" applyFont="1" applyFill="1" applyBorder="1" applyAlignment="1" applyProtection="1">
      <alignment horizontal="left" wrapText="1"/>
    </xf>
    <xf numFmtId="0" fontId="20" fillId="0" borderId="11" xfId="3" applyFont="1" applyFill="1" applyBorder="1" applyAlignment="1" applyProtection="1">
      <alignment horizontal="left" wrapText="1"/>
    </xf>
    <xf numFmtId="0" fontId="20" fillId="0" borderId="0" xfId="3" applyFont="1" applyFill="1" applyBorder="1" applyAlignment="1" applyProtection="1">
      <alignment horizontal="left" wrapText="1"/>
    </xf>
    <xf numFmtId="0" fontId="25" fillId="0" borderId="0" xfId="3" applyFont="1" applyAlignment="1">
      <alignment vertical="top" wrapText="1"/>
    </xf>
    <xf numFmtId="0" fontId="24" fillId="0" borderId="3" xfId="2" applyFont="1" applyBorder="1" applyAlignment="1" applyProtection="1">
      <alignment horizontal="left" vertical="center"/>
      <protection hidden="1"/>
    </xf>
    <xf numFmtId="0" fontId="24" fillId="0" borderId="4" xfId="2" applyFont="1" applyBorder="1" applyAlignment="1" applyProtection="1">
      <alignment horizontal="left" vertical="center"/>
      <protection hidden="1"/>
    </xf>
    <xf numFmtId="0" fontId="24" fillId="5" borderId="3" xfId="2" applyFont="1" applyFill="1" applyBorder="1" applyAlignment="1" applyProtection="1">
      <alignment horizontal="left" vertical="center"/>
      <protection hidden="1"/>
    </xf>
    <xf numFmtId="0" fontId="24" fillId="5" borderId="4" xfId="2" applyFont="1" applyFill="1" applyBorder="1" applyAlignment="1" applyProtection="1">
      <alignment horizontal="left" vertical="center"/>
      <protection hidden="1"/>
    </xf>
    <xf numFmtId="0" fontId="24" fillId="5" borderId="8" xfId="2" applyFont="1" applyFill="1" applyBorder="1" applyAlignment="1" applyProtection="1">
      <alignment horizontal="left" vertical="center"/>
      <protection hidden="1"/>
    </xf>
    <xf numFmtId="0" fontId="24" fillId="5" borderId="44" xfId="2" applyFont="1" applyFill="1" applyBorder="1" applyAlignment="1" applyProtection="1">
      <alignment horizontal="left" vertical="center"/>
      <protection hidden="1"/>
    </xf>
    <xf numFmtId="0" fontId="24" fillId="0" borderId="39" xfId="2" applyFont="1" applyBorder="1" applyAlignment="1" applyProtection="1">
      <alignment horizontal="left" vertical="center"/>
      <protection hidden="1"/>
    </xf>
    <xf numFmtId="0" fontId="24" fillId="0" borderId="35" xfId="2" applyFont="1" applyBorder="1" applyAlignment="1" applyProtection="1">
      <alignment horizontal="left" vertical="center"/>
      <protection hidden="1"/>
    </xf>
    <xf numFmtId="0" fontId="8" fillId="5" borderId="9" xfId="2" applyFont="1" applyFill="1" applyBorder="1" applyAlignment="1" applyProtection="1">
      <alignment horizontal="left"/>
      <protection locked="0"/>
    </xf>
    <xf numFmtId="0" fontId="29" fillId="5" borderId="9" xfId="2" applyFont="1" applyFill="1" applyBorder="1" applyAlignment="1" applyProtection="1">
      <alignment horizontal="left"/>
      <protection locked="0"/>
    </xf>
    <xf numFmtId="0" fontId="10" fillId="5" borderId="0" xfId="2" quotePrefix="1" applyFont="1" applyFill="1" applyBorder="1" applyAlignment="1" applyProtection="1">
      <alignment horizontal="left"/>
    </xf>
    <xf numFmtId="0" fontId="24" fillId="0" borderId="8" xfId="2" applyFont="1" applyBorder="1" applyAlignment="1" applyProtection="1">
      <alignment horizontal="left" vertical="center"/>
      <protection hidden="1"/>
    </xf>
    <xf numFmtId="0" fontId="24" fillId="0" borderId="44" xfId="2" applyFont="1" applyBorder="1" applyAlignment="1" applyProtection="1">
      <alignment horizontal="left" vertical="center"/>
      <protection hidden="1"/>
    </xf>
    <xf numFmtId="0" fontId="17" fillId="5" borderId="45" xfId="2" applyFont="1" applyFill="1" applyBorder="1" applyAlignment="1" applyProtection="1">
      <alignment horizontal="right" vertical="center"/>
      <protection hidden="1"/>
    </xf>
    <xf numFmtId="0" fontId="17" fillId="5" borderId="24" xfId="2" applyFont="1" applyFill="1" applyBorder="1" applyAlignment="1" applyProtection="1">
      <alignment horizontal="right" vertical="center"/>
      <protection hidden="1"/>
    </xf>
    <xf numFmtId="0" fontId="17" fillId="5" borderId="25" xfId="2" applyFont="1" applyFill="1" applyBorder="1" applyAlignment="1" applyProtection="1">
      <alignment horizontal="right" vertical="center"/>
      <protection hidden="1"/>
    </xf>
    <xf numFmtId="0" fontId="8" fillId="5" borderId="9" xfId="2" quotePrefix="1" applyFont="1" applyFill="1" applyBorder="1" applyAlignment="1" applyProtection="1">
      <alignment horizontal="left"/>
      <protection locked="0"/>
    </xf>
    <xf numFmtId="0" fontId="8" fillId="5" borderId="0" xfId="2" applyFont="1" applyFill="1" applyBorder="1" applyAlignment="1" applyProtection="1">
      <alignment horizontal="center"/>
    </xf>
    <xf numFmtId="0" fontId="8" fillId="5" borderId="12" xfId="2" applyFont="1" applyFill="1" applyBorder="1" applyAlignment="1" applyProtection="1">
      <alignment horizontal="center" vertical="center"/>
    </xf>
    <xf numFmtId="0" fontId="28" fillId="5" borderId="0" xfId="2" applyFont="1" applyFill="1" applyBorder="1" applyAlignment="1">
      <alignment horizontal="center"/>
    </xf>
    <xf numFmtId="0" fontId="10" fillId="5" borderId="14" xfId="2" applyFont="1" applyFill="1" applyBorder="1" applyAlignment="1" applyProtection="1">
      <alignment horizontal="center" vertical="center"/>
    </xf>
    <xf numFmtId="0" fontId="9" fillId="0" borderId="15" xfId="3" applyBorder="1" applyAlignment="1"/>
    <xf numFmtId="0" fontId="9" fillId="0" borderId="0" xfId="3" applyBorder="1" applyAlignment="1"/>
    <xf numFmtId="0" fontId="9" fillId="0" borderId="18" xfId="3" applyBorder="1" applyAlignment="1"/>
    <xf numFmtId="0" fontId="9" fillId="0" borderId="21" xfId="3" applyBorder="1" applyAlignment="1"/>
    <xf numFmtId="0" fontId="9" fillId="0" borderId="22" xfId="3" applyBorder="1" applyAlignment="1"/>
    <xf numFmtId="0" fontId="24" fillId="5" borderId="2" xfId="2" applyFont="1" applyFill="1" applyBorder="1" applyAlignment="1" applyProtection="1">
      <alignment horizontal="left" vertical="center"/>
      <protection hidden="1"/>
    </xf>
    <xf numFmtId="0" fontId="10" fillId="6" borderId="13" xfId="2" applyFont="1" applyFill="1" applyBorder="1" applyAlignment="1" applyProtection="1">
      <alignment horizontal="center"/>
    </xf>
    <xf numFmtId="0" fontId="9" fillId="0" borderId="14" xfId="3" applyBorder="1" applyAlignment="1"/>
    <xf numFmtId="0" fontId="9" fillId="0" borderId="17" xfId="3" applyBorder="1" applyAlignment="1"/>
    <xf numFmtId="0" fontId="9" fillId="0" borderId="20" xfId="3" applyBorder="1" applyAlignment="1"/>
    <xf numFmtId="0" fontId="10" fillId="5" borderId="47" xfId="2" applyFont="1" applyFill="1" applyBorder="1" applyAlignment="1" applyProtection="1">
      <alignment horizontal="center" vertical="center"/>
    </xf>
    <xf numFmtId="0" fontId="10" fillId="5" borderId="9" xfId="2" applyFont="1" applyFill="1" applyBorder="1" applyAlignment="1" applyProtection="1">
      <alignment horizontal="center" vertical="center"/>
    </xf>
    <xf numFmtId="0" fontId="10" fillId="5" borderId="27" xfId="2" applyFont="1" applyFill="1" applyBorder="1" applyAlignment="1" applyProtection="1">
      <alignment horizontal="center" vertical="center"/>
    </xf>
    <xf numFmtId="0" fontId="24" fillId="5" borderId="0" xfId="2" applyFont="1" applyFill="1" applyBorder="1" applyAlignment="1" applyProtection="1">
      <alignment horizontal="right"/>
    </xf>
    <xf numFmtId="0" fontId="24" fillId="5" borderId="9" xfId="2" applyFont="1" applyFill="1" applyBorder="1" applyAlignment="1" applyProtection="1">
      <alignment horizontal="right"/>
    </xf>
    <xf numFmtId="0" fontId="24" fillId="5" borderId="12" xfId="2" applyFont="1" applyFill="1" applyBorder="1" applyAlignment="1" applyProtection="1">
      <alignment horizontal="right"/>
    </xf>
    <xf numFmtId="0" fontId="24" fillId="5" borderId="0" xfId="2" applyFont="1" applyFill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31" fillId="5" borderId="0" xfId="2" applyFont="1" applyFill="1" applyBorder="1" applyAlignment="1" applyProtection="1">
      <alignment horizontal="left"/>
      <protection locked="0"/>
    </xf>
    <xf numFmtId="0" fontId="24" fillId="0" borderId="9" xfId="0" applyFont="1" applyBorder="1" applyAlignment="1" applyProtection="1">
      <alignment horizontal="left"/>
      <protection locked="0"/>
    </xf>
    <xf numFmtId="0" fontId="29" fillId="5" borderId="9" xfId="2" quotePrefix="1" applyFont="1" applyFill="1" applyBorder="1" applyAlignment="1" applyProtection="1">
      <alignment horizontal="left"/>
      <protection locked="0"/>
    </xf>
    <xf numFmtId="0" fontId="31" fillId="5" borderId="0" xfId="2" applyFont="1" applyFill="1" applyBorder="1" applyAlignment="1" applyProtection="1">
      <protection locked="0"/>
    </xf>
    <xf numFmtId="0" fontId="24" fillId="0" borderId="9" xfId="0" applyFont="1" applyBorder="1" applyAlignment="1" applyProtection="1">
      <protection locked="0"/>
    </xf>
    <xf numFmtId="167" fontId="31" fillId="5" borderId="0" xfId="2" applyNumberFormat="1" applyFont="1" applyFill="1" applyBorder="1" applyAlignment="1" applyProtection="1">
      <alignment horizontal="center"/>
      <protection locked="0"/>
    </xf>
    <xf numFmtId="167" fontId="24" fillId="0" borderId="9" xfId="0" applyNumberFormat="1" applyFont="1" applyBorder="1" applyAlignment="1" applyProtection="1">
      <alignment horizontal="center"/>
      <protection locked="0"/>
    </xf>
    <xf numFmtId="0" fontId="9" fillId="0" borderId="4" xfId="3" applyBorder="1" applyAlignment="1"/>
    <xf numFmtId="0" fontId="24" fillId="5" borderId="39" xfId="2" applyFont="1" applyFill="1" applyBorder="1" applyAlignment="1" applyProtection="1">
      <alignment horizontal="left" vertical="center"/>
      <protection hidden="1"/>
    </xf>
    <xf numFmtId="0" fontId="24" fillId="5" borderId="35" xfId="2" applyFont="1" applyFill="1" applyBorder="1" applyAlignment="1" applyProtection="1">
      <alignment horizontal="left" vertical="center"/>
      <protection hidden="1"/>
    </xf>
    <xf numFmtId="0" fontId="24" fillId="5" borderId="12" xfId="2" applyFont="1" applyFill="1" applyBorder="1" applyAlignment="1" applyProtection="1">
      <alignment horizontal="left"/>
      <protection locked="0"/>
    </xf>
    <xf numFmtId="0" fontId="0" fillId="0" borderId="9" xfId="0" applyBorder="1" applyAlignment="1" applyProtection="1">
      <protection locked="0"/>
    </xf>
    <xf numFmtId="0" fontId="0" fillId="0" borderId="12" xfId="0" applyBorder="1" applyAlignment="1" applyProtection="1">
      <protection locked="0"/>
    </xf>
    <xf numFmtId="167" fontId="31" fillId="5" borderId="12" xfId="2" applyNumberFormat="1" applyFont="1" applyFill="1" applyBorder="1" applyAlignment="1" applyProtection="1">
      <alignment horizontal="left"/>
      <protection locked="0"/>
    </xf>
    <xf numFmtId="167" fontId="24" fillId="0" borderId="9" xfId="0" applyNumberFormat="1" applyFont="1" applyBorder="1" applyAlignment="1" applyProtection="1">
      <alignment horizontal="left"/>
      <protection locked="0"/>
    </xf>
    <xf numFmtId="0" fontId="17" fillId="5" borderId="45" xfId="2" applyFont="1" applyFill="1" applyBorder="1" applyAlignment="1" applyProtection="1">
      <alignment horizontal="left" vertical="center"/>
      <protection hidden="1"/>
    </xf>
    <xf numFmtId="0" fontId="17" fillId="5" borderId="24" xfId="2" applyFont="1" applyFill="1" applyBorder="1" applyAlignment="1" applyProtection="1">
      <alignment horizontal="left" vertical="center"/>
      <protection hidden="1"/>
    </xf>
    <xf numFmtId="0" fontId="24" fillId="5" borderId="8" xfId="2" applyFont="1" applyFill="1" applyBorder="1" applyAlignment="1" applyProtection="1">
      <alignment horizontal="left" vertical="center"/>
    </xf>
    <xf numFmtId="0" fontId="24" fillId="5" borderId="44" xfId="2" applyFont="1" applyFill="1" applyBorder="1" applyAlignment="1" applyProtection="1">
      <alignment horizontal="left" vertical="center"/>
    </xf>
    <xf numFmtId="0" fontId="34" fillId="5" borderId="45" xfId="2" applyFont="1" applyFill="1" applyBorder="1" applyAlignment="1" applyProtection="1">
      <alignment horizontal="right" vertical="center"/>
      <protection hidden="1"/>
    </xf>
    <xf numFmtId="0" fontId="34" fillId="5" borderId="24" xfId="2" applyFont="1" applyFill="1" applyBorder="1" applyAlignment="1" applyProtection="1">
      <alignment horizontal="right" vertical="center"/>
      <protection hidden="1"/>
    </xf>
    <xf numFmtId="0" fontId="34" fillId="5" borderId="25" xfId="2" applyFont="1" applyFill="1" applyBorder="1" applyAlignment="1" applyProtection="1">
      <alignment horizontal="right" vertical="center"/>
      <protection hidden="1"/>
    </xf>
    <xf numFmtId="0" fontId="17" fillId="5" borderId="46" xfId="2" applyFont="1" applyFill="1" applyBorder="1" applyAlignment="1" applyProtection="1">
      <alignment horizontal="left" vertical="center"/>
      <protection hidden="1"/>
    </xf>
    <xf numFmtId="0" fontId="17" fillId="5" borderId="35" xfId="2" quotePrefix="1" applyFont="1" applyFill="1" applyBorder="1" applyAlignment="1" applyProtection="1">
      <alignment horizontal="left" vertical="center"/>
      <protection hidden="1"/>
    </xf>
    <xf numFmtId="0" fontId="24" fillId="5" borderId="3" xfId="2" applyFont="1" applyFill="1" applyBorder="1" applyAlignment="1" applyProtection="1">
      <alignment vertical="center"/>
      <protection hidden="1"/>
    </xf>
    <xf numFmtId="0" fontId="24" fillId="5" borderId="4" xfId="2" applyFont="1" applyFill="1" applyBorder="1" applyAlignment="1" applyProtection="1">
      <alignment vertical="center"/>
      <protection hidden="1"/>
    </xf>
  </cellXfs>
  <cellStyles count="559">
    <cellStyle name="Comma" xfId="540" builtinId="3"/>
    <cellStyle name="Currency_U-Build-itBudget1" xfId="1"/>
    <cellStyle name="Followed Hyperlink" xfId="323" builtinId="9" hidden="1"/>
    <cellStyle name="Followed Hyperlink" xfId="108" builtinId="9" hidden="1"/>
    <cellStyle name="Followed Hyperlink" xfId="473" builtinId="9" hidden="1"/>
    <cellStyle name="Followed Hyperlink" xfId="327" builtinId="9" hidden="1"/>
    <cellStyle name="Followed Hyperlink" xfId="335" builtinId="9" hidden="1"/>
    <cellStyle name="Followed Hyperlink" xfId="463" builtinId="9" hidden="1"/>
    <cellStyle name="Followed Hyperlink" xfId="273" builtinId="9" hidden="1"/>
    <cellStyle name="Followed Hyperlink" xfId="367" builtinId="9" hidden="1"/>
    <cellStyle name="Followed Hyperlink" xfId="355" builtinId="9" hidden="1"/>
    <cellStyle name="Followed Hyperlink" xfId="253" builtinId="9" hidden="1"/>
    <cellStyle name="Followed Hyperlink" xfId="12" builtinId="9" hidden="1"/>
    <cellStyle name="Followed Hyperlink" xfId="283" builtinId="9" hidden="1"/>
    <cellStyle name="Followed Hyperlink" xfId="106" builtinId="9" hidden="1"/>
    <cellStyle name="Followed Hyperlink" xfId="20" builtinId="9" hidden="1"/>
    <cellStyle name="Followed Hyperlink" xfId="301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52" builtinId="9" hidden="1"/>
    <cellStyle name="Followed Hyperlink" xfId="554" builtinId="9" hidden="1"/>
    <cellStyle name="Followed Hyperlink" xfId="558" builtinId="9" hidden="1"/>
    <cellStyle name="Followed Hyperlink" xfId="548" builtinId="9" hidden="1"/>
    <cellStyle name="Followed Hyperlink" xfId="437" builtinId="9" hidden="1"/>
    <cellStyle name="Followed Hyperlink" xfId="167" builtinId="9" hidden="1"/>
    <cellStyle name="Followed Hyperlink" xfId="429" builtinId="9" hidden="1"/>
    <cellStyle name="Followed Hyperlink" xfId="50" builtinId="9" hidden="1"/>
    <cellStyle name="Followed Hyperlink" xfId="38" builtinId="9" hidden="1"/>
    <cellStyle name="Followed Hyperlink" xfId="333" builtinId="9" hidden="1"/>
    <cellStyle name="Followed Hyperlink" xfId="173" builtinId="9" hidden="1"/>
    <cellStyle name="Followed Hyperlink" xfId="349" builtinId="9" hidden="1"/>
    <cellStyle name="Followed Hyperlink" xfId="311" builtinId="9" hidden="1"/>
    <cellStyle name="Followed Hyperlink" xfId="84" builtinId="9" hidden="1"/>
    <cellStyle name="Followed Hyperlink" xfId="517" builtinId="9" hidden="1"/>
    <cellStyle name="Followed Hyperlink" xfId="459" builtinId="9" hidden="1"/>
    <cellStyle name="Followed Hyperlink" xfId="271" builtinId="9" hidden="1"/>
    <cellStyle name="Followed Hyperlink" xfId="447" builtinId="9" hidden="1"/>
    <cellStyle name="Followed Hyperlink" xfId="425" builtinId="9" hidden="1"/>
    <cellStyle name="Followed Hyperlink" xfId="119" builtinId="9" hidden="1"/>
    <cellStyle name="Followed Hyperlink" xfId="361" builtinId="9" hidden="1"/>
    <cellStyle name="Followed Hyperlink" xfId="207" builtinId="9" hidden="1"/>
    <cellStyle name="Followed Hyperlink" xfId="241" builtinId="9" hidden="1"/>
    <cellStyle name="Followed Hyperlink" xfId="353" builtinId="9" hidden="1"/>
    <cellStyle name="Followed Hyperlink" xfId="509" builtinId="9" hidden="1"/>
    <cellStyle name="Followed Hyperlink" xfId="277" builtinId="9" hidden="1"/>
    <cellStyle name="Followed Hyperlink" xfId="28" builtinId="9" hidden="1"/>
    <cellStyle name="Followed Hyperlink" xfId="123" builtinId="9" hidden="1"/>
    <cellStyle name="Followed Hyperlink" xfId="255" builtinId="9" hidden="1"/>
    <cellStyle name="Followed Hyperlink" xfId="351" builtinId="9" hidden="1"/>
    <cellStyle name="Followed Hyperlink" xfId="373" builtinId="9" hidden="1"/>
    <cellStyle name="Followed Hyperlink" xfId="82" builtinId="9" hidden="1"/>
    <cellStyle name="Followed Hyperlink" xfId="163" builtinId="9" hidden="1"/>
    <cellStyle name="Followed Hyperlink" xfId="209" builtinId="9" hidden="1"/>
    <cellStyle name="Followed Hyperlink" xfId="375" builtinId="9" hidden="1"/>
    <cellStyle name="Followed Hyperlink" xfId="62" builtinId="9" hidden="1"/>
    <cellStyle name="Followed Hyperlink" xfId="453" builtinId="9" hidden="1"/>
    <cellStyle name="Followed Hyperlink" xfId="313" builtinId="9" hidden="1"/>
    <cellStyle name="Followed Hyperlink" xfId="445" builtinId="9" hidden="1"/>
    <cellStyle name="Followed Hyperlink" xfId="102" builtinId="9" hidden="1"/>
    <cellStyle name="Followed Hyperlink" xfId="159" builtinId="9" hidden="1"/>
    <cellStyle name="Followed Hyperlink" xfId="185" builtinId="9" hidden="1"/>
    <cellStyle name="Followed Hyperlink" xfId="523" builtinId="9" hidden="1"/>
    <cellStyle name="Followed Hyperlink" xfId="343" builtinId="9" hidden="1"/>
    <cellStyle name="Followed Hyperlink" xfId="86" builtinId="9" hidden="1"/>
    <cellStyle name="Followed Hyperlink" xfId="175" builtinId="9" hidden="1"/>
    <cellStyle name="Followed Hyperlink" xfId="135" builtinId="9" hidden="1"/>
    <cellStyle name="Followed Hyperlink" xfId="115" builtinId="9" hidden="1"/>
    <cellStyle name="Followed Hyperlink" xfId="363" builtinId="9" hidden="1"/>
    <cellStyle name="Followed Hyperlink" xfId="88" builtinId="9" hidden="1"/>
    <cellStyle name="Followed Hyperlink" xfId="371" builtinId="9" hidden="1"/>
    <cellStyle name="Followed Hyperlink" xfId="331" builtinId="9" hidden="1"/>
    <cellStyle name="Followed Hyperlink" xfId="289" builtinId="9" hidden="1"/>
    <cellStyle name="Followed Hyperlink" xfId="80" builtinId="9" hidden="1"/>
    <cellStyle name="Followed Hyperlink" xfId="417" builtinId="9" hidden="1"/>
    <cellStyle name="Followed Hyperlink" xfId="237" builtinId="9" hidden="1"/>
    <cellStyle name="Followed Hyperlink" xfId="345" builtinId="9" hidden="1"/>
    <cellStyle name="Followed Hyperlink" xfId="261" builtinId="9" hidden="1"/>
    <cellStyle name="Followed Hyperlink" xfId="281" builtinId="9" hidden="1"/>
    <cellStyle name="Followed Hyperlink" xfId="389" builtinId="9" hidden="1"/>
    <cellStyle name="Followed Hyperlink" xfId="211" builtinId="9" hidden="1"/>
    <cellStyle name="Followed Hyperlink" xfId="153" builtinId="9" hidden="1"/>
    <cellStyle name="Followed Hyperlink" xfId="269" builtinId="9" hidden="1"/>
    <cellStyle name="Followed Hyperlink" xfId="249" builtinId="9" hidden="1"/>
    <cellStyle name="Followed Hyperlink" xfId="133" builtinId="9" hidden="1"/>
    <cellStyle name="Followed Hyperlink" xfId="10" builtinId="9" hidden="1"/>
    <cellStyle name="Followed Hyperlink" xfId="381" builtinId="9" hidden="1"/>
    <cellStyle name="Followed Hyperlink" xfId="100" builtinId="9" hidden="1"/>
    <cellStyle name="Followed Hyperlink" xfId="481" builtinId="9" hidden="1"/>
    <cellStyle name="Followed Hyperlink" xfId="411" builtinId="9" hidden="1"/>
    <cellStyle name="Followed Hyperlink" xfId="387" builtinId="9" hidden="1"/>
    <cellStyle name="Followed Hyperlink" xfId="471" builtinId="9" hidden="1"/>
    <cellStyle name="Followed Hyperlink" xfId="139" builtinId="9" hidden="1"/>
    <cellStyle name="Followed Hyperlink" xfId="315" builtinId="9" hidden="1"/>
    <cellStyle name="Followed Hyperlink" xfId="129" builtinId="9" hidden="1"/>
    <cellStyle name="Followed Hyperlink" xfId="341" builtinId="9" hidden="1"/>
    <cellStyle name="Followed Hyperlink" xfId="317" builtinId="9" hidden="1"/>
    <cellStyle name="Followed Hyperlink" xfId="231" builtinId="9" hidden="1"/>
    <cellStyle name="Followed Hyperlink" xfId="405" builtinId="9" hidden="1"/>
    <cellStyle name="Followed Hyperlink" xfId="467" builtinId="9" hidden="1"/>
    <cellStyle name="Followed Hyperlink" xfId="529" builtinId="9" hidden="1"/>
    <cellStyle name="Followed Hyperlink" xfId="539" builtinId="9" hidden="1"/>
    <cellStyle name="Followed Hyperlink" xfId="397" builtinId="9" hidden="1"/>
    <cellStyle name="Followed Hyperlink" xfId="60" builtinId="9" hidden="1"/>
    <cellStyle name="Followed Hyperlink" xfId="329" builtinId="9" hidden="1"/>
    <cellStyle name="Followed Hyperlink" xfId="171" builtinId="9" hidden="1"/>
    <cellStyle name="Followed Hyperlink" xfId="8" builtinId="9" hidden="1"/>
    <cellStyle name="Followed Hyperlink" xfId="72" builtinId="9" hidden="1"/>
    <cellStyle name="Followed Hyperlink" xfId="14" builtinId="9" hidden="1"/>
    <cellStyle name="Followed Hyperlink" xfId="199" builtinId="9" hidden="1"/>
    <cellStyle name="Followed Hyperlink" xfId="431" builtinId="9" hidden="1"/>
    <cellStyle name="Followed Hyperlink" xfId="52" builtinId="9" hidden="1"/>
    <cellStyle name="Followed Hyperlink" xfId="125" builtinId="9" hidden="1"/>
    <cellStyle name="Followed Hyperlink" xfId="18" builtinId="9" hidden="1"/>
    <cellStyle name="Followed Hyperlink" xfId="513" builtinId="9" hidden="1"/>
    <cellStyle name="Followed Hyperlink" xfId="24" builtinId="9" hidden="1"/>
    <cellStyle name="Followed Hyperlink" xfId="489" builtinId="9" hidden="1"/>
    <cellStyle name="Followed Hyperlink" xfId="507" builtinId="9" hidden="1"/>
    <cellStyle name="Followed Hyperlink" xfId="519" builtinId="9" hidden="1"/>
    <cellStyle name="Followed Hyperlink" xfId="531" builtinId="9" hidden="1"/>
    <cellStyle name="Followed Hyperlink" xfId="537" builtinId="9" hidden="1"/>
    <cellStyle name="Followed Hyperlink" xfId="477" builtinId="9" hidden="1"/>
    <cellStyle name="Followed Hyperlink" xfId="169" builtinId="9" hidden="1"/>
    <cellStyle name="Followed Hyperlink" xfId="76" builtinId="9" hidden="1"/>
    <cellStyle name="Followed Hyperlink" xfId="495" builtinId="9" hidden="1"/>
    <cellStyle name="Followed Hyperlink" xfId="94" builtinId="9" hidden="1"/>
    <cellStyle name="Followed Hyperlink" xfId="245" builtinId="9" hidden="1"/>
    <cellStyle name="Followed Hyperlink" xfId="195" builtinId="9" hidden="1"/>
    <cellStyle name="Followed Hyperlink" xfId="96" builtinId="9" hidden="1"/>
    <cellStyle name="Followed Hyperlink" xfId="26" builtinId="9" hidden="1"/>
    <cellStyle name="Followed Hyperlink" xfId="215" builtinId="9" hidden="1"/>
    <cellStyle name="Followed Hyperlink" xfId="275" builtinId="9" hidden="1"/>
    <cellStyle name="Followed Hyperlink" xfId="213" builtinId="9" hidden="1"/>
    <cellStyle name="Followed Hyperlink" xfId="499" builtinId="9" hidden="1"/>
    <cellStyle name="Followed Hyperlink" xfId="511" builtinId="9" hidden="1"/>
    <cellStyle name="Followed Hyperlink" xfId="36" builtinId="9" hidden="1"/>
    <cellStyle name="Followed Hyperlink" xfId="527" builtinId="9" hidden="1"/>
    <cellStyle name="Followed Hyperlink" xfId="321" builtinId="9" hidden="1"/>
    <cellStyle name="Followed Hyperlink" xfId="147" builtinId="9" hidden="1"/>
    <cellStyle name="Followed Hyperlink" xfId="197" builtinId="9" hidden="1"/>
    <cellStyle name="Followed Hyperlink" xfId="227" builtinId="9" hidden="1"/>
    <cellStyle name="Followed Hyperlink" xfId="469" builtinId="9" hidden="1"/>
    <cellStyle name="Followed Hyperlink" xfId="515" builtinId="9" hidden="1"/>
    <cellStyle name="Followed Hyperlink" xfId="439" builtinId="9" hidden="1"/>
    <cellStyle name="Followed Hyperlink" xfId="46" builtinId="9" hidden="1"/>
    <cellStyle name="Followed Hyperlink" xfId="229" builtinId="9" hidden="1"/>
    <cellStyle name="Followed Hyperlink" xfId="149" builtinId="9" hidden="1"/>
    <cellStyle name="Followed Hyperlink" xfId="22" builtinId="9" hidden="1"/>
    <cellStyle name="Followed Hyperlink" xfId="451" builtinId="9" hidden="1"/>
    <cellStyle name="Followed Hyperlink" xfId="64" builtinId="9" hidden="1"/>
    <cellStyle name="Followed Hyperlink" xfId="479" builtinId="9" hidden="1"/>
    <cellStyle name="Followed Hyperlink" xfId="193" builtinId="9" hidden="1"/>
    <cellStyle name="Followed Hyperlink" xfId="217" builtinId="9" hidden="1"/>
    <cellStyle name="Followed Hyperlink" xfId="303" builtinId="9" hidden="1"/>
    <cellStyle name="Followed Hyperlink" xfId="435" builtinId="9" hidden="1"/>
    <cellStyle name="Followed Hyperlink" xfId="525" builtinId="9" hidden="1"/>
    <cellStyle name="Followed Hyperlink" xfId="465" builtinId="9" hidden="1"/>
    <cellStyle name="Followed Hyperlink" xfId="265" builtinId="9" hidden="1"/>
    <cellStyle name="Followed Hyperlink" xfId="401" builtinId="9" hidden="1"/>
    <cellStyle name="Followed Hyperlink" xfId="113" builtinId="9" hidden="1"/>
    <cellStyle name="Followed Hyperlink" xfId="347" builtinId="9" hidden="1"/>
    <cellStyle name="Followed Hyperlink" xfId="56" builtinId="9" hidden="1"/>
    <cellStyle name="Followed Hyperlink" xfId="433" builtinId="9" hidden="1"/>
    <cellStyle name="Followed Hyperlink" xfId="427" builtinId="9" hidden="1"/>
    <cellStyle name="Followed Hyperlink" xfId="179" builtinId="9" hidden="1"/>
    <cellStyle name="Followed Hyperlink" xfId="297" builtinId="9" hidden="1"/>
    <cellStyle name="Followed Hyperlink" xfId="491" builtinId="9" hidden="1"/>
    <cellStyle name="Followed Hyperlink" xfId="291" builtinId="9" hidden="1"/>
    <cellStyle name="Followed Hyperlink" xfId="556" builtinId="9" hidden="1"/>
    <cellStyle name="Followed Hyperlink" xfId="550" builtinId="9" hidden="1"/>
    <cellStyle name="Followed Hyperlink" xfId="235" builtinId="9" hidden="1"/>
    <cellStyle name="Followed Hyperlink" xfId="30" builtinId="9" hidden="1"/>
    <cellStyle name="Followed Hyperlink" xfId="503" builtinId="9" hidden="1"/>
    <cellStyle name="Followed Hyperlink" xfId="393" builtinId="9" hidden="1"/>
    <cellStyle name="Followed Hyperlink" xfId="259" builtinId="9" hidden="1"/>
    <cellStyle name="Followed Hyperlink" xfId="58" builtinId="9" hidden="1"/>
    <cellStyle name="Followed Hyperlink" xfId="369" builtinId="9" hidden="1"/>
    <cellStyle name="Followed Hyperlink" xfId="521" builtinId="9" hidden="1"/>
    <cellStyle name="Followed Hyperlink" xfId="505" builtinId="9" hidden="1"/>
    <cellStyle name="Followed Hyperlink" xfId="337" builtinId="9" hidden="1"/>
    <cellStyle name="Followed Hyperlink" xfId="177" builtinId="9" hidden="1"/>
    <cellStyle name="Followed Hyperlink" xfId="205" builtinId="9" hidden="1"/>
    <cellStyle name="Followed Hyperlink" xfId="110" builtinId="9" hidden="1"/>
    <cellStyle name="Followed Hyperlink" xfId="379" builtinId="9" hidden="1"/>
    <cellStyle name="Followed Hyperlink" xfId="423" builtinId="9" hidden="1"/>
    <cellStyle name="Followed Hyperlink" xfId="233" builtinId="9" hidden="1"/>
    <cellStyle name="Followed Hyperlink" xfId="161" builtinId="9" hidden="1"/>
    <cellStyle name="Followed Hyperlink" xfId="263" builtinId="9" hidden="1"/>
    <cellStyle name="Followed Hyperlink" xfId="461" builtinId="9" hidden="1"/>
    <cellStyle name="Followed Hyperlink" xfId="483" builtinId="9" hidden="1"/>
    <cellStyle name="Followed Hyperlink" xfId="183" builtinId="9" hidden="1"/>
    <cellStyle name="Followed Hyperlink" xfId="455" builtinId="9" hidden="1"/>
    <cellStyle name="Followed Hyperlink" xfId="449" builtinId="9" hidden="1"/>
    <cellStyle name="Followed Hyperlink" xfId="98" builtinId="9" hidden="1"/>
    <cellStyle name="Followed Hyperlink" xfId="203" builtinId="9" hidden="1"/>
    <cellStyle name="Followed Hyperlink" xfId="78" builtinId="9" hidden="1"/>
    <cellStyle name="Followed Hyperlink" xfId="287" builtinId="9" hidden="1"/>
    <cellStyle name="Followed Hyperlink" xfId="305" builtinId="9" hidden="1"/>
    <cellStyle name="Followed Hyperlink" xfId="365" builtinId="9" hidden="1"/>
    <cellStyle name="Followed Hyperlink" xfId="157" builtinId="9" hidden="1"/>
    <cellStyle name="Followed Hyperlink" xfId="219" builtinId="9" hidden="1"/>
    <cellStyle name="Followed Hyperlink" xfId="221" builtinId="9" hidden="1"/>
    <cellStyle name="Followed Hyperlink" xfId="251" builtinId="9" hidden="1"/>
    <cellStyle name="Followed Hyperlink" xfId="319" builtinId="9" hidden="1"/>
    <cellStyle name="Followed Hyperlink" xfId="487" builtinId="9" hidden="1"/>
    <cellStyle name="Followed Hyperlink" xfId="409" builtinId="9" hidden="1"/>
    <cellStyle name="Followed Hyperlink" xfId="419" builtinId="9" hidden="1"/>
    <cellStyle name="Followed Hyperlink" xfId="189" builtinId="9" hidden="1"/>
    <cellStyle name="Followed Hyperlink" xfId="293" builtinId="9" hidden="1"/>
    <cellStyle name="Followed Hyperlink" xfId="54" builtinId="9" hidden="1"/>
    <cellStyle name="Followed Hyperlink" xfId="533" builtinId="9" hidden="1"/>
    <cellStyle name="Followed Hyperlink" xfId="395" builtinId="9" hidden="1"/>
    <cellStyle name="Followed Hyperlink" xfId="239" builtinId="9" hidden="1"/>
    <cellStyle name="Followed Hyperlink" xfId="181" builtinId="9" hidden="1"/>
    <cellStyle name="Followed Hyperlink" xfId="267" builtinId="9" hidden="1"/>
    <cellStyle name="Followed Hyperlink" xfId="32" builtinId="9" hidden="1"/>
    <cellStyle name="Followed Hyperlink" xfId="403" builtinId="9" hidden="1"/>
    <cellStyle name="Followed Hyperlink" xfId="131" builtinId="9" hidden="1"/>
    <cellStyle name="Followed Hyperlink" xfId="413" builtinId="9" hidden="1"/>
    <cellStyle name="Followed Hyperlink" xfId="257" builtinId="9" hidden="1"/>
    <cellStyle name="Followed Hyperlink" xfId="145" builtinId="9" hidden="1"/>
    <cellStyle name="Followed Hyperlink" xfId="201" builtinId="9" hidden="1"/>
    <cellStyle name="Followed Hyperlink" xfId="223" builtinId="9" hidden="1"/>
    <cellStyle name="Followed Hyperlink" xfId="104" builtinId="9" hidden="1"/>
    <cellStyle name="Followed Hyperlink" xfId="225" builtinId="9" hidden="1"/>
    <cellStyle name="Followed Hyperlink" xfId="141" builtinId="9" hidden="1"/>
    <cellStyle name="Followed Hyperlink" xfId="165" builtinId="9" hidden="1"/>
    <cellStyle name="Followed Hyperlink" xfId="493" builtinId="9" hidden="1"/>
    <cellStyle name="Followed Hyperlink" xfId="441" builtinId="9" hidden="1"/>
    <cellStyle name="Followed Hyperlink" xfId="143" builtinId="9" hidden="1"/>
    <cellStyle name="Followed Hyperlink" xfId="44" builtinId="9" hidden="1"/>
    <cellStyle name="Followed Hyperlink" xfId="66" builtinId="9" hidden="1"/>
    <cellStyle name="Followed Hyperlink" xfId="457" builtinId="9" hidden="1"/>
    <cellStyle name="Followed Hyperlink" xfId="295" builtinId="9" hidden="1"/>
    <cellStyle name="Followed Hyperlink" xfId="42" builtinId="9" hidden="1"/>
    <cellStyle name="Followed Hyperlink" xfId="137" builtinId="9" hidden="1"/>
    <cellStyle name="Followed Hyperlink" xfId="243" builtinId="9" hidden="1"/>
    <cellStyle name="Followed Hyperlink" xfId="40" builtinId="9" hidden="1"/>
    <cellStyle name="Followed Hyperlink" xfId="74" builtinId="9" hidden="1"/>
    <cellStyle name="Followed Hyperlink" xfId="92" builtinId="9" hidden="1"/>
    <cellStyle name="Followed Hyperlink" xfId="191" builtinId="9" hidden="1"/>
    <cellStyle name="Followed Hyperlink" xfId="497" builtinId="9" hidden="1"/>
    <cellStyle name="Followed Hyperlink" xfId="385" builtinId="9" hidden="1"/>
    <cellStyle name="Followed Hyperlink" xfId="70" builtinId="9" hidden="1"/>
    <cellStyle name="Followed Hyperlink" xfId="309" builtinId="9" hidden="1"/>
    <cellStyle name="Followed Hyperlink" xfId="117" builtinId="9" hidden="1"/>
    <cellStyle name="Followed Hyperlink" xfId="475" builtinId="9" hidden="1"/>
    <cellStyle name="Followed Hyperlink" xfId="357" builtinId="9" hidden="1"/>
    <cellStyle name="Followed Hyperlink" xfId="535" builtinId="9" hidden="1"/>
    <cellStyle name="Followed Hyperlink" xfId="383" builtinId="9" hidden="1"/>
    <cellStyle name="Followed Hyperlink" xfId="285" builtinId="9" hidden="1"/>
    <cellStyle name="Followed Hyperlink" xfId="299" builtinId="9" hidden="1"/>
    <cellStyle name="Followed Hyperlink" xfId="421" builtinId="9" hidden="1"/>
    <cellStyle name="Followed Hyperlink" xfId="48" builtinId="9" hidden="1"/>
    <cellStyle name="Followed Hyperlink" xfId="151" builtinId="9" hidden="1"/>
    <cellStyle name="Followed Hyperlink" xfId="377" builtinId="9" hidden="1"/>
    <cellStyle name="Followed Hyperlink" xfId="443" builtinId="9" hidden="1"/>
    <cellStyle name="Followed Hyperlink" xfId="279" builtinId="9" hidden="1"/>
    <cellStyle name="Followed Hyperlink" xfId="399" builtinId="9" hidden="1"/>
    <cellStyle name="Followed Hyperlink" xfId="187" builtinId="9" hidden="1"/>
    <cellStyle name="Followed Hyperlink" xfId="391" builtinId="9" hidden="1"/>
    <cellStyle name="Followed Hyperlink" xfId="68" builtinId="9" hidden="1"/>
    <cellStyle name="Followed Hyperlink" xfId="34" builtinId="9" hidden="1"/>
    <cellStyle name="Followed Hyperlink" xfId="325" builtinId="9" hidden="1"/>
    <cellStyle name="Followed Hyperlink" xfId="155" builtinId="9" hidden="1"/>
    <cellStyle name="Followed Hyperlink" xfId="90" builtinId="9" hidden="1"/>
    <cellStyle name="Followed Hyperlink" xfId="407" builtinId="9" hidden="1"/>
    <cellStyle name="Followed Hyperlink" xfId="16" builtinId="9" hidden="1"/>
    <cellStyle name="Followed Hyperlink" xfId="359" builtinId="9" hidden="1"/>
    <cellStyle name="Followed Hyperlink" xfId="247" builtinId="9" hidden="1"/>
    <cellStyle name="Followed Hyperlink" xfId="485" builtinId="9" hidden="1"/>
    <cellStyle name="Followed Hyperlink" xfId="6" builtinId="9" hidden="1"/>
    <cellStyle name="Followed Hyperlink" xfId="501" builtinId="9" hidden="1"/>
    <cellStyle name="Followed Hyperlink" xfId="127" builtinId="9" hidden="1"/>
    <cellStyle name="Followed Hyperlink" xfId="121" builtinId="9" hidden="1"/>
    <cellStyle name="Followed Hyperlink" xfId="415" builtinId="9" hidden="1"/>
    <cellStyle name="Followed Hyperlink" xfId="307" builtinId="9" hidden="1"/>
    <cellStyle name="Followed Hyperlink" xfId="339" builtinId="9" hidden="1"/>
    <cellStyle name="Hyperlink" xfId="29" builtinId="8" hidden="1"/>
    <cellStyle name="Hyperlink" xfId="95" builtinId="8" hidden="1"/>
    <cellStyle name="Hyperlink" xfId="198" builtinId="8" hidden="1"/>
    <cellStyle name="Hyperlink" xfId="224" builtinId="8" hidden="1"/>
    <cellStyle name="Hyperlink" xfId="376" builtinId="8" hidden="1"/>
    <cellStyle name="Hyperlink" xfId="514" builtinId="8" hidden="1"/>
    <cellStyle name="Hyperlink" xfId="101" builtinId="8" hidden="1"/>
    <cellStyle name="Hyperlink" xfId="124" builtinId="8" hidden="1"/>
    <cellStyle name="Hyperlink" xfId="422" builtinId="8" hidden="1"/>
    <cellStyle name="Hyperlink" xfId="258" builtinId="8" hidden="1"/>
    <cellStyle name="Hyperlink" xfId="310" builtinId="8" hidden="1"/>
    <cellStyle name="Hyperlink" xfId="228" builtinId="8" hidden="1"/>
    <cellStyle name="Hyperlink" xfId="354" builtinId="8" hidden="1"/>
    <cellStyle name="Hyperlink" xfId="264" builtinId="8" hidden="1"/>
    <cellStyle name="Hyperlink" xfId="402" builtinId="8" hidden="1"/>
    <cellStyle name="Hyperlink" xfId="120" builtinId="8" hidden="1"/>
    <cellStyle name="Hyperlink" xfId="504" builtinId="8" hidden="1"/>
    <cellStyle name="Hyperlink" xfId="482" builtinId="8" hidden="1"/>
    <cellStyle name="Hyperlink" xfId="244" builtinId="8" hidden="1"/>
    <cellStyle name="Hyperlink" xfId="63" builtinId="8" hidden="1"/>
    <cellStyle name="Hyperlink" xfId="274" builtinId="8" hidden="1"/>
    <cellStyle name="Hyperlink" xfId="290" builtinId="8" hidden="1"/>
    <cellStyle name="Hyperlink" xfId="130" builtinId="8" hidden="1"/>
    <cellStyle name="Hyperlink" xfId="77" builtinId="8" hidden="1"/>
    <cellStyle name="Hyperlink" xfId="414" builtinId="8" hidden="1"/>
    <cellStyle name="Hyperlink" xfId="109" builtinId="8" hidden="1"/>
    <cellStyle name="Hyperlink" xfId="378" builtinId="8" hidden="1"/>
    <cellStyle name="Hyperlink" xfId="216" builtinId="8" hidden="1"/>
    <cellStyle name="Hyperlink" xfId="122" builtinId="8" hidden="1"/>
    <cellStyle name="Hyperlink" xfId="272" builtinId="8" hidden="1"/>
    <cellStyle name="Hyperlink" xfId="164" builtinId="8" hidden="1"/>
    <cellStyle name="Hyperlink" xfId="386" builtinId="8" hidden="1"/>
    <cellStyle name="Hyperlink" xfId="474" builtinId="8" hidden="1"/>
    <cellStyle name="Hyperlink" xfId="23" builtinId="8" hidden="1"/>
    <cellStyle name="Hyperlink" xfId="162" builtinId="8" hidden="1"/>
    <cellStyle name="Hyperlink" xfId="340" builtinId="8" hidden="1"/>
    <cellStyle name="Hyperlink" xfId="146" builtinId="8" hidden="1"/>
    <cellStyle name="Hyperlink" xfId="338" builtinId="8" hidden="1"/>
    <cellStyle name="Hyperlink" xfId="390" builtinId="8" hidden="1"/>
    <cellStyle name="Hyperlink" xfId="488" builtinId="8" hidden="1"/>
    <cellStyle name="Hyperlink" xfId="49" builtinId="8" hidden="1"/>
    <cellStyle name="Hyperlink" xfId="268" builtinId="8" hidden="1"/>
    <cellStyle name="Hyperlink" xfId="541" builtinId="8" hidden="1"/>
    <cellStyle name="Hyperlink" xfId="549" builtinId="8" hidden="1"/>
    <cellStyle name="Hyperlink" xfId="557" builtinId="8" hidden="1"/>
    <cellStyle name="Hyperlink" xfId="551" builtinId="8" hidden="1"/>
    <cellStyle name="Hyperlink" xfId="543" builtinId="8" hidden="1"/>
    <cellStyle name="Hyperlink" xfId="35" builtinId="8" hidden="1"/>
    <cellStyle name="Hyperlink" xfId="262" builtinId="8" hidden="1"/>
    <cellStyle name="Hyperlink" xfId="444" builtinId="8" hidden="1"/>
    <cellStyle name="Hyperlink" xfId="238" builtinId="8" hidden="1"/>
    <cellStyle name="Hyperlink" xfId="464" builtinId="8" hidden="1"/>
    <cellStyle name="Hyperlink" xfId="534" builtinId="8" hidden="1"/>
    <cellStyle name="Hyperlink" xfId="116" builtinId="8" hidden="1"/>
    <cellStyle name="Hyperlink" xfId="454" builtinId="8" hidden="1"/>
    <cellStyle name="Hyperlink" xfId="300" builtinId="8" hidden="1"/>
    <cellStyle name="Hyperlink" xfId="248" builtinId="8" hidden="1"/>
    <cellStyle name="Hyperlink" xfId="332" builtinId="8" hidden="1"/>
    <cellStyle name="Hyperlink" xfId="520" builtinId="8" hidden="1"/>
    <cellStyle name="Hyperlink" xfId="172" builtinId="8" hidden="1"/>
    <cellStyle name="Hyperlink" xfId="280" builtinId="8" hidden="1"/>
    <cellStyle name="Hyperlink" xfId="242" builtinId="8" hidden="1"/>
    <cellStyle name="Hyperlink" xfId="87" builtinId="8" hidden="1"/>
    <cellStyle name="Hyperlink" xfId="160" builtinId="8" hidden="1"/>
    <cellStyle name="Hyperlink" xfId="398" builtinId="8" hidden="1"/>
    <cellStyle name="Hyperlink" xfId="168" builtinId="8" hidden="1"/>
    <cellStyle name="Hyperlink" xfId="128" builtinId="8" hidden="1"/>
    <cellStyle name="Hyperlink" xfId="384" builtinId="8" hidden="1"/>
    <cellStyle name="Hyperlink" xfId="138" builtinId="8" hidden="1"/>
    <cellStyle name="Hyperlink" xfId="442" builtinId="8" hidden="1"/>
    <cellStyle name="Hyperlink" xfId="186" builtinId="8" hidden="1"/>
    <cellStyle name="Hyperlink" xfId="192" builtinId="8" hidden="1"/>
    <cellStyle name="Hyperlink" xfId="510" builtinId="8" hidden="1"/>
    <cellStyle name="Hyperlink" xfId="180" builtinId="8" hidden="1"/>
    <cellStyle name="Hyperlink" xfId="404" builtinId="8" hidden="1"/>
    <cellStyle name="Hyperlink" xfId="308" builtinId="8" hidden="1"/>
    <cellStyle name="Hyperlink" xfId="490" builtinId="8" hidden="1"/>
    <cellStyle name="Hyperlink" xfId="226" builtinId="8" hidden="1"/>
    <cellStyle name="Hyperlink" xfId="396" builtinId="8" hidden="1"/>
    <cellStyle name="Hyperlink" xfId="204" builtinId="8" hidden="1"/>
    <cellStyle name="Hyperlink" xfId="298" builtinId="8" hidden="1"/>
    <cellStyle name="Hyperlink" xfId="418" builtinId="8" hidden="1"/>
    <cellStyle name="Hyperlink" xfId="374" builtinId="8" hidden="1"/>
    <cellStyle name="Hyperlink" xfId="302" builtinId="8" hidden="1"/>
    <cellStyle name="Hyperlink" xfId="232" builtinId="8" hidden="1"/>
    <cellStyle name="Hyperlink" xfId="532" builtinId="8" hidden="1"/>
    <cellStyle name="Hyperlink" xfId="252" builtinId="8" hidden="1"/>
    <cellStyle name="Hyperlink" xfId="105" builtinId="8" hidden="1"/>
    <cellStyle name="Hyperlink" xfId="498" builtinId="8" hidden="1"/>
    <cellStyle name="Hyperlink" xfId="392" builtinId="8" hidden="1"/>
    <cellStyle name="Hyperlink" xfId="156" builtinId="8" hidden="1"/>
    <cellStyle name="Hyperlink" xfId="410" builtinId="8" hidden="1"/>
    <cellStyle name="Hyperlink" xfId="97" builtinId="8" hidden="1"/>
    <cellStyle name="Hyperlink" xfId="408" builtinId="8" hidden="1"/>
    <cellStyle name="Hyperlink" xfId="27" builtinId="8" hidden="1"/>
    <cellStyle name="Hyperlink" xfId="178" builtinId="8" hidden="1"/>
    <cellStyle name="Hyperlink" xfId="278" builtinId="8" hidden="1"/>
    <cellStyle name="Hyperlink" xfId="270" builtinId="8" hidden="1"/>
    <cellStyle name="Hyperlink" xfId="366" builtinId="8" hidden="1"/>
    <cellStyle name="Hyperlink" xfId="89" builtinId="8" hidden="1"/>
    <cellStyle name="Hyperlink" xfId="336" builtinId="8" hidden="1"/>
    <cellStyle name="Hyperlink" xfId="494" builtinId="8" hidden="1"/>
    <cellStyle name="Hyperlink" xfId="282" builtinId="8" hidden="1"/>
    <cellStyle name="Hyperlink" xfId="132" builtinId="8" hidden="1"/>
    <cellStyle name="Hyperlink" xfId="316" builtinId="8" hidden="1"/>
    <cellStyle name="Hyperlink" xfId="506" builtinId="8" hidden="1"/>
    <cellStyle name="Hyperlink" xfId="492" builtinId="8" hidden="1"/>
    <cellStyle name="Hyperlink" xfId="294" builtinId="8" hidden="1"/>
    <cellStyle name="Hyperlink" xfId="5" builtinId="8" hidden="1"/>
    <cellStyle name="Hyperlink" xfId="470" builtinId="8" hidden="1"/>
    <cellStyle name="Hyperlink" xfId="83" builtinId="8" hidden="1"/>
    <cellStyle name="Hyperlink" xfId="448" builtinId="8" hidden="1"/>
    <cellStyle name="Hyperlink" xfId="306" builtinId="8" hidden="1"/>
    <cellStyle name="Hyperlink" xfId="254" builtinId="8" hidden="1"/>
    <cellStyle name="Hyperlink" xfId="67" builtinId="8" hidden="1"/>
    <cellStyle name="Hyperlink" xfId="450" builtinId="8" hidden="1"/>
    <cellStyle name="Hyperlink" xfId="9" builtinId="8" hidden="1"/>
    <cellStyle name="Hyperlink" xfId="45" builtinId="8" hidden="1"/>
    <cellStyle name="Hyperlink" xfId="202" builtinId="8" hidden="1"/>
    <cellStyle name="Hyperlink" xfId="326" builtinId="8" hidden="1"/>
    <cellStyle name="Hyperlink" xfId="107" builtinId="8" hidden="1"/>
    <cellStyle name="Hyperlink" xfId="212" builtinId="8" hidden="1"/>
    <cellStyle name="Hyperlink" xfId="41" builtinId="8" hidden="1"/>
    <cellStyle name="Hyperlink" xfId="412" builtinId="8" hidden="1"/>
    <cellStyle name="Hyperlink" xfId="432" builtinId="8" hidden="1"/>
    <cellStyle name="Hyperlink" xfId="114" builtinId="8" hidden="1"/>
    <cellStyle name="Hyperlink" xfId="484" builtinId="8" hidden="1"/>
    <cellStyle name="Hyperlink" xfId="526" builtinId="8" hidden="1"/>
    <cellStyle name="Hyperlink" xfId="200" builtinId="8" hidden="1"/>
    <cellStyle name="Hyperlink" xfId="59" builtinId="8" hidden="1"/>
    <cellStyle name="Hyperlink" xfId="61" builtinId="8" hidden="1"/>
    <cellStyle name="Hyperlink" xfId="304" builtinId="8" hidden="1"/>
    <cellStyle name="Hyperlink" xfId="438" builtinId="8" hidden="1"/>
    <cellStyle name="Hyperlink" xfId="93" builtinId="8" hidden="1"/>
    <cellStyle name="Hyperlink" xfId="134" builtinId="8" hidden="1"/>
    <cellStyle name="Hyperlink" xfId="79" builtinId="8" hidden="1"/>
    <cellStyle name="Hyperlink" xfId="360" builtinId="8" hidden="1"/>
    <cellStyle name="Hyperlink" xfId="71" builtinId="8" hidden="1"/>
    <cellStyle name="Hyperlink" xfId="462" builtinId="8" hidden="1"/>
    <cellStyle name="Hyperlink" xfId="65" builtinId="8" hidden="1"/>
    <cellStyle name="Hyperlink" xfId="460" builtinId="8" hidden="1"/>
    <cellStyle name="Hyperlink" xfId="85" builtinId="8" hidden="1"/>
    <cellStyle name="Hyperlink" xfId="456" builtinId="8" hidden="1"/>
    <cellStyle name="Hyperlink" xfId="468" builtinId="8" hidden="1"/>
    <cellStyle name="Hyperlink" xfId="17" builtinId="8" hidden="1"/>
    <cellStyle name="Hyperlink" xfId="196" builtinId="8" hidden="1"/>
    <cellStyle name="Hyperlink" xfId="182" builtinId="8" hidden="1"/>
    <cellStyle name="Hyperlink" xfId="536" builtinId="8" hidden="1"/>
    <cellStyle name="Hyperlink" xfId="234" builtinId="8" hidden="1"/>
    <cellStyle name="Hyperlink" xfId="236" builtinId="8" hidden="1"/>
    <cellStyle name="Hyperlink" xfId="368" builtinId="8" hidden="1"/>
    <cellStyle name="Hyperlink" xfId="240" builtinId="8" hidden="1"/>
    <cellStyle name="Hyperlink" xfId="312" builtinId="8" hidden="1"/>
    <cellStyle name="Hyperlink" xfId="136" builtinId="8" hidden="1"/>
    <cellStyle name="Hyperlink" xfId="33" builtinId="8" hidden="1"/>
    <cellStyle name="Hyperlink" xfId="388" builtinId="8" hidden="1"/>
    <cellStyle name="Hyperlink" xfId="214" builtinId="8" hidden="1"/>
    <cellStyle name="Hyperlink" xfId="148" builtinId="8" hidden="1"/>
    <cellStyle name="Hyperlink" xfId="208" builtinId="8" hidden="1"/>
    <cellStyle name="Hyperlink" xfId="516" builtinId="8" hidden="1"/>
    <cellStyle name="Hyperlink" xfId="43" builtinId="8" hidden="1"/>
    <cellStyle name="Hyperlink" xfId="39" builtinId="8" hidden="1"/>
    <cellStyle name="Hyperlink" xfId="218" builtinId="8" hidden="1"/>
    <cellStyle name="Hyperlink" xfId="428" builtinId="8" hidden="1"/>
    <cellStyle name="Hyperlink" xfId="364" builtinId="8" hidden="1"/>
    <cellStyle name="Hyperlink" xfId="318" builtinId="8" hidden="1"/>
    <cellStyle name="Hyperlink" xfId="184" builtinId="8" hidden="1"/>
    <cellStyle name="Hyperlink" xfId="222" builtinId="8" hidden="1"/>
    <cellStyle name="Hyperlink" xfId="356" builtinId="8" hidden="1"/>
    <cellStyle name="Hyperlink" xfId="103" builtinId="8" hidden="1"/>
    <cellStyle name="Hyperlink" xfId="496" builtinId="8" hidden="1"/>
    <cellStyle name="Hyperlink" xfId="362" builtinId="8" hidden="1"/>
    <cellStyle name="Hyperlink" xfId="75" builtinId="8" hidden="1"/>
    <cellStyle name="Hyperlink" xfId="266" builtinId="8" hidden="1"/>
    <cellStyle name="Hyperlink" xfId="466" builtinId="8" hidden="1"/>
    <cellStyle name="Hyperlink" xfId="522" builtinId="8" hidden="1"/>
    <cellStyle name="Hyperlink" xfId="206" builtinId="8" hidden="1"/>
    <cellStyle name="Hyperlink" xfId="11" builtinId="8" hidden="1"/>
    <cellStyle name="Hyperlink" xfId="350" builtinId="8" hidden="1"/>
    <cellStyle name="Hyperlink" xfId="260" builtinId="8" hidden="1"/>
    <cellStyle name="Hyperlink" xfId="230" builtinId="8" hidden="1"/>
    <cellStyle name="Hyperlink" xfId="500" builtinId="8" hidden="1"/>
    <cellStyle name="Hyperlink" xfId="424" builtinId="8" hidden="1"/>
    <cellStyle name="Hyperlink" xfId="174" builtinId="8" hidden="1"/>
    <cellStyle name="Hyperlink" xfId="91" builtinId="8" hidden="1"/>
    <cellStyle name="Hyperlink" xfId="81" builtinId="8" hidden="1"/>
    <cellStyle name="Hyperlink" xfId="430" builtinId="8" hidden="1"/>
    <cellStyle name="Hyperlink" xfId="284" builtinId="8" hidden="1"/>
    <cellStyle name="Hyperlink" xfId="288" builtinId="8" hidden="1"/>
    <cellStyle name="Hyperlink" xfId="13" builtinId="8" hidden="1"/>
    <cellStyle name="Hyperlink" xfId="47" builtinId="8" hidden="1"/>
    <cellStyle name="Hyperlink" xfId="7" builtinId="8" hidden="1"/>
    <cellStyle name="Hyperlink" xfId="170" builtinId="8" hidden="1"/>
    <cellStyle name="Hyperlink" xfId="440" builtinId="8" hidden="1"/>
    <cellStyle name="Hyperlink" xfId="394" builtinId="8" hidden="1"/>
    <cellStyle name="Hyperlink" xfId="176" builtinId="8" hidden="1"/>
    <cellStyle name="Hyperlink" xfId="478" builtinId="8" hidden="1"/>
    <cellStyle name="Hyperlink" xfId="547" builtinId="8" hidden="1"/>
    <cellStyle name="Hyperlink" xfId="555" builtinId="8" hidden="1"/>
    <cellStyle name="Hyperlink" xfId="553" builtinId="8" hidden="1"/>
    <cellStyle name="Hyperlink" xfId="545" builtinId="8" hidden="1"/>
    <cellStyle name="Hyperlink" xfId="400" builtinId="8" hidden="1"/>
    <cellStyle name="Hyperlink" xfId="69" builtinId="8" hidden="1"/>
    <cellStyle name="Hyperlink" xfId="446" builtinId="8" hidden="1"/>
    <cellStyle name="Hyperlink" xfId="452" builtinId="8" hidden="1"/>
    <cellStyle name="Hyperlink" xfId="352" builtinId="8" hidden="1"/>
    <cellStyle name="Hyperlink" xfId="512" builtinId="8" hidden="1"/>
    <cellStyle name="Hyperlink" xfId="480" builtinId="8" hidden="1"/>
    <cellStyle name="Hyperlink" xfId="330" builtinId="8" hidden="1"/>
    <cellStyle name="Hyperlink" xfId="502" builtinId="8" hidden="1"/>
    <cellStyle name="Hyperlink" xfId="126" builtinId="8" hidden="1"/>
    <cellStyle name="Hyperlink" xfId="53" builtinId="8" hidden="1"/>
    <cellStyle name="Hyperlink" xfId="31" builtinId="8" hidden="1"/>
    <cellStyle name="Hyperlink" xfId="358" builtinId="8" hidden="1"/>
    <cellStyle name="Hyperlink" xfId="118" builtinId="8" hidden="1"/>
    <cellStyle name="Hyperlink" xfId="472" builtinId="8" hidden="1"/>
    <cellStyle name="Hyperlink" xfId="144" builtinId="8" hidden="1"/>
    <cellStyle name="Hyperlink" xfId="538" builtinId="8" hidden="1"/>
    <cellStyle name="Hyperlink" xfId="140" builtinId="8" hidden="1"/>
    <cellStyle name="Hyperlink" xfId="256" builtinId="8" hidden="1"/>
    <cellStyle name="Hyperlink" xfId="372" builtinId="8" hidden="1"/>
    <cellStyle name="Hyperlink" xfId="320" builtinId="8" hidden="1"/>
    <cellStyle name="Hyperlink" xfId="154" builtinId="8" hidden="1"/>
    <cellStyle name="Hyperlink" xfId="292" builtinId="8" hidden="1"/>
    <cellStyle name="Hyperlink" xfId="380" builtinId="8" hidden="1"/>
    <cellStyle name="Hyperlink" xfId="434" builtinId="8" hidden="1"/>
    <cellStyle name="Hyperlink" xfId="276" builtinId="8" hidden="1"/>
    <cellStyle name="Hyperlink" xfId="420" builtinId="8" hidden="1"/>
    <cellStyle name="Hyperlink" xfId="55" builtinId="8" hidden="1"/>
    <cellStyle name="Hyperlink" xfId="158" builtinId="8" hidden="1"/>
    <cellStyle name="Hyperlink" xfId="344" builtinId="8" hidden="1"/>
    <cellStyle name="Hyperlink" xfId="528" builtinId="8" hidden="1"/>
    <cellStyle name="Hyperlink" xfId="19" builtinId="8" hidden="1"/>
    <cellStyle name="Hyperlink" xfId="342" builtinId="8" hidden="1"/>
    <cellStyle name="Hyperlink" xfId="57" builtinId="8" hidden="1"/>
    <cellStyle name="Hyperlink" xfId="51" builtinId="8" hidden="1"/>
    <cellStyle name="Hyperlink" xfId="194" builtinId="8" hidden="1"/>
    <cellStyle name="Hyperlink" xfId="530" builtinId="8" hidden="1"/>
    <cellStyle name="Hyperlink" xfId="476" builtinId="8" hidden="1"/>
    <cellStyle name="Hyperlink" xfId="324" builtinId="8" hidden="1"/>
    <cellStyle name="Hyperlink" xfId="142" builtinId="8" hidden="1"/>
    <cellStyle name="Hyperlink" xfId="210" builtinId="8" hidden="1"/>
    <cellStyle name="Hyperlink" xfId="382" builtinId="8" hidden="1"/>
    <cellStyle name="Hyperlink" xfId="426" builtinId="8" hidden="1"/>
    <cellStyle name="Hyperlink" xfId="112" builtinId="8" hidden="1"/>
    <cellStyle name="Hyperlink" xfId="314" builtinId="8" hidden="1"/>
    <cellStyle name="Hyperlink" xfId="15" builtinId="8" hidden="1"/>
    <cellStyle name="Hyperlink" xfId="328" builtinId="8" hidden="1"/>
    <cellStyle name="Hyperlink" xfId="334" builtinId="8" hidden="1"/>
    <cellStyle name="Hyperlink" xfId="458" builtinId="8" hidden="1"/>
    <cellStyle name="Hyperlink" xfId="296" builtinId="8" hidden="1"/>
    <cellStyle name="Hyperlink" xfId="152" builtinId="8" hidden="1"/>
    <cellStyle name="Hyperlink" xfId="416" builtinId="8" hidden="1"/>
    <cellStyle name="Hyperlink" xfId="37" builtinId="8" hidden="1"/>
    <cellStyle name="Hyperlink" xfId="486" builtinId="8" hidden="1"/>
    <cellStyle name="Hyperlink" xfId="25" builtinId="8" hidden="1"/>
    <cellStyle name="Hyperlink" xfId="246" builtinId="8" hidden="1"/>
    <cellStyle name="Hyperlink" xfId="518" builtinId="8" hidden="1"/>
    <cellStyle name="Hyperlink" xfId="286" builtinId="8" hidden="1"/>
    <cellStyle name="Hyperlink" xfId="73" builtinId="8" hidden="1"/>
    <cellStyle name="Hyperlink" xfId="99" builtinId="8" hidden="1"/>
    <cellStyle name="Hyperlink" xfId="348" builtinId="8" hidden="1"/>
    <cellStyle name="Hyperlink" xfId="436" builtinId="8" hidden="1"/>
    <cellStyle name="Hyperlink" xfId="346" builtinId="8" hidden="1"/>
    <cellStyle name="Hyperlink" xfId="188" builtinId="8" hidden="1"/>
    <cellStyle name="Hyperlink" xfId="406" builtinId="8" hidden="1"/>
    <cellStyle name="Hyperlink" xfId="322" builtinId="8" hidden="1"/>
    <cellStyle name="Hyperlink" xfId="21" builtinId="8" hidden="1"/>
    <cellStyle name="Hyperlink" xfId="190" builtinId="8" hidden="1"/>
    <cellStyle name="Hyperlink" xfId="250" builtinId="8" hidden="1"/>
    <cellStyle name="Hyperlink" xfId="524" builtinId="8" hidden="1"/>
    <cellStyle name="Hyperlink" xfId="166" builtinId="8" hidden="1"/>
    <cellStyle name="Hyperlink" xfId="370" builtinId="8" hidden="1"/>
    <cellStyle name="Hyperlink" xfId="150" builtinId="8" hidden="1"/>
    <cellStyle name="Hyperlink" xfId="220" builtinId="8" hidden="1"/>
    <cellStyle name="Hyperlink" xfId="508" builtinId="8" hidden="1"/>
    <cellStyle name="Normal" xfId="0" builtinId="0"/>
    <cellStyle name="Normal 2" xfId="4"/>
    <cellStyle name="Normal_UBuildIt_IndyMac Project Cost Wksht 6-10-04" xfId="3"/>
    <cellStyle name="Normal_U-Build-itBudget1" xfId="2"/>
    <cellStyle name="Percent" xfId="111" builtinId="5"/>
  </cellStyles>
  <dxfs count="8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34"/>
        </patternFill>
      </fill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5</xdr:row>
      <xdr:rowOff>9525</xdr:rowOff>
    </xdr:from>
    <xdr:to>
      <xdr:col>9</xdr:col>
      <xdr:colOff>180975</xdr:colOff>
      <xdr:row>5</xdr:row>
      <xdr:rowOff>180975</xdr:rowOff>
    </xdr:to>
    <xdr:pic>
      <xdr:nvPicPr>
        <xdr:cNvPr id="2058" name="Picture 4">
          <a:extLst>
            <a:ext uri="{FF2B5EF4-FFF2-40B4-BE49-F238E27FC236}">
              <a16:creationId xmlns="" xmlns:a16="http://schemas.microsoft.com/office/drawing/2014/main" id="{00000000-0008-0000-01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76600" y="1003300"/>
          <a:ext cx="4140200" cy="165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0</xdr:row>
      <xdr:rowOff>104775</xdr:rowOff>
    </xdr:from>
    <xdr:to>
      <xdr:col>8</xdr:col>
      <xdr:colOff>1781175</xdr:colOff>
      <xdr:row>4</xdr:row>
      <xdr:rowOff>123825</xdr:rowOff>
    </xdr:to>
    <xdr:pic>
      <xdr:nvPicPr>
        <xdr:cNvPr id="3086" name="Picture 1">
          <a:extLst>
            <a:ext uri="{FF2B5EF4-FFF2-40B4-BE49-F238E27FC236}">
              <a16:creationId xmlns="" xmlns:a16="http://schemas.microsoft.com/office/drawing/2014/main" id="{00000000-0008-0000-03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104775"/>
          <a:ext cx="4438650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topLeftCell="A14" workbookViewId="0">
      <selection activeCell="C38" sqref="C38"/>
    </sheetView>
  </sheetViews>
  <sheetFormatPr defaultColWidth="11" defaultRowHeight="15.75"/>
  <cols>
    <col min="1" max="1" width="29.28515625" style="234" customWidth="1"/>
    <col min="2" max="2" width="18.7109375" style="241" customWidth="1"/>
    <col min="3" max="3" width="38.7109375" style="234" customWidth="1"/>
    <col min="4" max="4" width="17.28515625" style="242" customWidth="1"/>
    <col min="5" max="5" width="37.85546875" style="234" customWidth="1"/>
    <col min="6" max="16384" width="11" style="234"/>
  </cols>
  <sheetData>
    <row r="1" spans="1:5">
      <c r="A1" s="235" t="s">
        <v>0</v>
      </c>
      <c r="B1" s="236" t="s">
        <v>1</v>
      </c>
      <c r="C1" s="235" t="s">
        <v>2</v>
      </c>
      <c r="D1" s="237" t="s">
        <v>3</v>
      </c>
      <c r="E1" s="235" t="s">
        <v>4</v>
      </c>
    </row>
    <row r="2" spans="1:5" s="243" customFormat="1">
      <c r="A2" s="350" t="s">
        <v>5</v>
      </c>
      <c r="B2" s="277">
        <v>41935</v>
      </c>
      <c r="C2" s="350" t="s">
        <v>6</v>
      </c>
      <c r="D2" s="307">
        <f>4855+12198.58</f>
        <v>17053.580000000002</v>
      </c>
      <c r="E2" s="351" t="s">
        <v>7</v>
      </c>
    </row>
    <row r="3" spans="1:5" s="243" customFormat="1">
      <c r="A3" s="282" t="s">
        <v>5</v>
      </c>
      <c r="B3" s="281">
        <v>41969</v>
      </c>
      <c r="C3" s="280" t="s">
        <v>8</v>
      </c>
      <c r="D3" s="283">
        <v>13408.19</v>
      </c>
      <c r="E3" s="255" t="s">
        <v>7</v>
      </c>
    </row>
    <row r="4" spans="1:5" s="243" customFormat="1">
      <c r="A4" s="275" t="s">
        <v>9</v>
      </c>
      <c r="B4" s="277">
        <v>41933</v>
      </c>
      <c r="C4" s="276" t="s">
        <v>10</v>
      </c>
      <c r="D4" s="242">
        <v>365.34</v>
      </c>
      <c r="E4" s="276" t="s">
        <v>11</v>
      </c>
    </row>
    <row r="5" spans="1:5" s="243" customFormat="1">
      <c r="A5" s="282" t="s">
        <v>9</v>
      </c>
      <c r="B5" s="281">
        <v>41982</v>
      </c>
      <c r="C5" s="280" t="s">
        <v>12</v>
      </c>
      <c r="D5" s="283">
        <v>235</v>
      </c>
      <c r="E5" s="255" t="s">
        <v>11</v>
      </c>
    </row>
    <row r="6" spans="1:5" s="243" customFormat="1">
      <c r="A6" s="243" t="s">
        <v>13</v>
      </c>
      <c r="B6" s="244">
        <v>41626</v>
      </c>
      <c r="C6" s="243" t="s">
        <v>14</v>
      </c>
      <c r="D6" s="245">
        <v>63.9</v>
      </c>
    </row>
    <row r="7" spans="1:5" s="243" customFormat="1">
      <c r="A7" s="243" t="s">
        <v>13</v>
      </c>
      <c r="B7" s="244">
        <v>41626</v>
      </c>
      <c r="C7" s="243" t="s">
        <v>15</v>
      </c>
      <c r="D7" s="245">
        <f>64.95*1.08245+7</f>
        <v>77.305127499999998</v>
      </c>
    </row>
    <row r="8" spans="1:5" s="243" customFormat="1">
      <c r="A8" s="243" t="s">
        <v>13</v>
      </c>
      <c r="B8" s="244">
        <v>41626</v>
      </c>
      <c r="C8" s="243" t="s">
        <v>16</v>
      </c>
      <c r="D8" s="245">
        <f>11.95*1.08245</f>
        <v>12.935277499999998</v>
      </c>
    </row>
    <row r="9" spans="1:5" s="243" customFormat="1">
      <c r="A9" s="243" t="s">
        <v>13</v>
      </c>
      <c r="B9" s="244">
        <v>41626</v>
      </c>
      <c r="C9" s="243" t="s">
        <v>17</v>
      </c>
      <c r="D9" s="245">
        <v>153.94999999999999</v>
      </c>
    </row>
    <row r="10" spans="1:5" s="243" customFormat="1">
      <c r="A10" s="243" t="s">
        <v>13</v>
      </c>
      <c r="B10" s="244">
        <v>41626</v>
      </c>
      <c r="C10" s="243" t="s">
        <v>18</v>
      </c>
      <c r="D10" s="245">
        <v>37.799999999999997</v>
      </c>
    </row>
    <row r="11" spans="1:5" s="243" customFormat="1">
      <c r="A11" s="243" t="s">
        <v>13</v>
      </c>
      <c r="B11" s="244">
        <v>41626</v>
      </c>
      <c r="C11" s="243" t="s">
        <v>17</v>
      </c>
      <c r="D11" s="245">
        <v>73.62</v>
      </c>
    </row>
    <row r="12" spans="1:5" s="243" customFormat="1">
      <c r="A12" s="243" t="s">
        <v>13</v>
      </c>
      <c r="B12" s="244">
        <v>41626</v>
      </c>
      <c r="C12" s="243" t="s">
        <v>19</v>
      </c>
      <c r="D12" s="245">
        <v>121.99</v>
      </c>
    </row>
    <row r="13" spans="1:5" s="243" customFormat="1">
      <c r="A13" s="243" t="s">
        <v>13</v>
      </c>
      <c r="B13" s="244">
        <v>41626</v>
      </c>
      <c r="C13" s="243" t="s">
        <v>20</v>
      </c>
      <c r="D13" s="245">
        <v>21.8</v>
      </c>
    </row>
    <row r="14" spans="1:5" s="243" customFormat="1">
      <c r="A14" s="243" t="s">
        <v>13</v>
      </c>
      <c r="B14" s="244">
        <v>41627</v>
      </c>
      <c r="C14" s="243" t="s">
        <v>21</v>
      </c>
      <c r="D14" s="245">
        <v>79.900000000000006</v>
      </c>
    </row>
    <row r="15" spans="1:5" s="243" customFormat="1">
      <c r="A15" s="243" t="s">
        <v>13</v>
      </c>
      <c r="B15" s="244">
        <v>41628</v>
      </c>
      <c r="C15" s="243" t="s">
        <v>21</v>
      </c>
      <c r="D15" s="245">
        <v>63.95</v>
      </c>
    </row>
    <row r="16" spans="1:5" s="243" customFormat="1">
      <c r="A16" s="243" t="s">
        <v>13</v>
      </c>
      <c r="B16" s="244">
        <v>41635</v>
      </c>
      <c r="C16" s="243" t="s">
        <v>22</v>
      </c>
      <c r="D16" s="245">
        <v>227.34</v>
      </c>
    </row>
    <row r="17" spans="1:5" s="243" customFormat="1">
      <c r="A17" s="243" t="s">
        <v>13</v>
      </c>
      <c r="B17" s="244">
        <v>41635</v>
      </c>
      <c r="C17" s="243" t="s">
        <v>22</v>
      </c>
      <c r="D17" s="245">
        <v>105.32</v>
      </c>
    </row>
    <row r="18" spans="1:5" s="243" customFormat="1">
      <c r="A18" s="243" t="s">
        <v>13</v>
      </c>
      <c r="B18" s="244">
        <v>41648</v>
      </c>
      <c r="C18" s="243" t="s">
        <v>23</v>
      </c>
      <c r="D18" s="245">
        <v>83.68</v>
      </c>
    </row>
    <row r="19" spans="1:5" s="243" customFormat="1">
      <c r="A19" s="243" t="s">
        <v>13</v>
      </c>
      <c r="B19" s="244">
        <v>41860</v>
      </c>
      <c r="C19" s="243" t="s">
        <v>24</v>
      </c>
      <c r="D19" s="245">
        <v>66.03</v>
      </c>
    </row>
    <row r="20" spans="1:5" s="243" customFormat="1">
      <c r="A20" s="243" t="s">
        <v>13</v>
      </c>
      <c r="B20" s="244">
        <v>41860</v>
      </c>
      <c r="C20" s="243" t="s">
        <v>25</v>
      </c>
      <c r="D20" s="245">
        <v>57.89</v>
      </c>
    </row>
    <row r="21" spans="1:5" s="243" customFormat="1">
      <c r="A21" s="243" t="s">
        <v>13</v>
      </c>
      <c r="B21" s="244">
        <v>41860</v>
      </c>
      <c r="C21" s="243" t="s">
        <v>17</v>
      </c>
      <c r="D21" s="245">
        <v>60.44</v>
      </c>
    </row>
    <row r="22" spans="1:5" s="243" customFormat="1">
      <c r="A22" s="243" t="s">
        <v>13</v>
      </c>
      <c r="B22" s="244">
        <v>41860</v>
      </c>
      <c r="C22" s="243" t="s">
        <v>17</v>
      </c>
      <c r="D22" s="245">
        <v>34.97</v>
      </c>
    </row>
    <row r="23" spans="1:5" s="243" customFormat="1">
      <c r="A23" s="243" t="s">
        <v>13</v>
      </c>
      <c r="B23" s="244">
        <v>41865</v>
      </c>
      <c r="C23" s="243" t="s">
        <v>26</v>
      </c>
      <c r="D23" s="245">
        <v>231.49</v>
      </c>
    </row>
    <row r="24" spans="1:5" s="243" customFormat="1">
      <c r="A24" s="243" t="s">
        <v>13</v>
      </c>
      <c r="B24" s="244">
        <v>41865</v>
      </c>
      <c r="C24" s="243" t="s">
        <v>27</v>
      </c>
      <c r="D24" s="245">
        <v>11.7</v>
      </c>
    </row>
    <row r="25" spans="1:5" s="243" customFormat="1">
      <c r="A25" s="243" t="s">
        <v>13</v>
      </c>
      <c r="B25" s="244">
        <v>41865</v>
      </c>
      <c r="C25" s="243" t="s">
        <v>28</v>
      </c>
      <c r="D25" s="245">
        <v>536.22</v>
      </c>
    </row>
    <row r="26" spans="1:5" s="243" customFormat="1">
      <c r="A26" s="234" t="s">
        <v>13</v>
      </c>
      <c r="B26" s="241">
        <v>41865</v>
      </c>
      <c r="C26" s="234" t="s">
        <v>29</v>
      </c>
      <c r="D26" s="242">
        <v>129.51</v>
      </c>
      <c r="E26" s="234"/>
    </row>
    <row r="27" spans="1:5" s="243" customFormat="1">
      <c r="A27" s="234" t="s">
        <v>13</v>
      </c>
      <c r="B27" s="241">
        <v>41870</v>
      </c>
      <c r="C27" s="234" t="s">
        <v>30</v>
      </c>
      <c r="D27" s="242">
        <v>31.54</v>
      </c>
      <c r="E27" s="234"/>
    </row>
    <row r="28" spans="1:5" s="243" customFormat="1">
      <c r="A28" s="243" t="s">
        <v>13</v>
      </c>
      <c r="B28" s="244">
        <v>41871</v>
      </c>
      <c r="C28" s="243" t="s">
        <v>26</v>
      </c>
      <c r="D28" s="245">
        <v>247.6</v>
      </c>
    </row>
    <row r="29" spans="1:5" s="243" customFormat="1">
      <c r="A29" s="243" t="s">
        <v>13</v>
      </c>
      <c r="B29" s="244">
        <v>41877</v>
      </c>
      <c r="C29" s="243" t="s">
        <v>19</v>
      </c>
      <c r="D29" s="245">
        <v>175.79</v>
      </c>
    </row>
    <row r="30" spans="1:5" s="243" customFormat="1">
      <c r="A30" s="243" t="s">
        <v>13</v>
      </c>
      <c r="B30" s="244">
        <v>41892</v>
      </c>
      <c r="C30" s="243" t="s">
        <v>31</v>
      </c>
      <c r="D30" s="245">
        <v>15.9</v>
      </c>
    </row>
    <row r="31" spans="1:5">
      <c r="A31" s="243" t="s">
        <v>13</v>
      </c>
      <c r="B31" s="244">
        <v>41892</v>
      </c>
      <c r="C31" s="243" t="s">
        <v>32</v>
      </c>
      <c r="D31" s="245">
        <v>69.48</v>
      </c>
      <c r="E31" s="243"/>
    </row>
    <row r="32" spans="1:5" s="243" customFormat="1">
      <c r="A32" s="352" t="s">
        <v>13</v>
      </c>
      <c r="B32" s="353">
        <v>41951</v>
      </c>
      <c r="C32" s="351" t="s">
        <v>33</v>
      </c>
      <c r="D32" s="354">
        <f>40.05+20.76+39.97+26.55+48.7+69.28+62.58</f>
        <v>307.89</v>
      </c>
      <c r="E32" s="255" t="s">
        <v>7</v>
      </c>
    </row>
    <row r="33" spans="1:5" s="243" customFormat="1">
      <c r="A33" s="282" t="s">
        <v>13</v>
      </c>
      <c r="B33" s="281">
        <v>41979</v>
      </c>
      <c r="C33" s="280" t="s">
        <v>34</v>
      </c>
      <c r="D33" s="283">
        <v>27</v>
      </c>
      <c r="E33" s="255" t="s">
        <v>11</v>
      </c>
    </row>
    <row r="34" spans="1:5" s="243" customFormat="1">
      <c r="A34" s="282" t="s">
        <v>13</v>
      </c>
      <c r="B34" s="281">
        <v>41979</v>
      </c>
      <c r="C34" s="280" t="s">
        <v>35</v>
      </c>
      <c r="D34" s="283">
        <v>286.8</v>
      </c>
      <c r="E34" s="255" t="s">
        <v>11</v>
      </c>
    </row>
    <row r="35" spans="1:5" s="243" customFormat="1">
      <c r="A35" s="280" t="s">
        <v>13</v>
      </c>
      <c r="B35" s="281">
        <v>41993</v>
      </c>
      <c r="C35" s="280" t="s">
        <v>36</v>
      </c>
      <c r="D35" s="283">
        <v>34.53</v>
      </c>
      <c r="E35" s="255" t="s">
        <v>11</v>
      </c>
    </row>
    <row r="36" spans="1:5" s="243" customFormat="1">
      <c r="A36" s="276" t="s">
        <v>37</v>
      </c>
      <c r="B36" s="241">
        <v>41893</v>
      </c>
      <c r="C36" s="276" t="s">
        <v>38</v>
      </c>
      <c r="D36" s="242">
        <f>495+40</f>
        <v>535</v>
      </c>
      <c r="E36" s="276" t="s">
        <v>11</v>
      </c>
    </row>
    <row r="37" spans="1:5" s="243" customFormat="1">
      <c r="A37" s="276" t="s">
        <v>39</v>
      </c>
      <c r="B37" s="241">
        <v>41921</v>
      </c>
      <c r="C37" s="276" t="s">
        <v>40</v>
      </c>
      <c r="D37" s="242">
        <v>2000</v>
      </c>
      <c r="E37" s="276" t="s">
        <v>7</v>
      </c>
    </row>
    <row r="38" spans="1:5" s="243" customFormat="1">
      <c r="A38" s="280" t="s">
        <v>39</v>
      </c>
      <c r="B38" s="281">
        <v>41990</v>
      </c>
      <c r="C38" s="280" t="s">
        <v>41</v>
      </c>
      <c r="D38" s="283">
        <v>6950</v>
      </c>
      <c r="E38" s="280" t="s">
        <v>7</v>
      </c>
    </row>
    <row r="39" spans="1:5" s="243" customFormat="1">
      <c r="A39" s="243" t="s">
        <v>42</v>
      </c>
      <c r="B39" s="244">
        <v>41628</v>
      </c>
      <c r="C39" s="243" t="s">
        <v>21</v>
      </c>
      <c r="D39" s="245">
        <v>79.900000000000006</v>
      </c>
    </row>
    <row r="40" spans="1:5" s="243" customFormat="1">
      <c r="A40" s="243" t="s">
        <v>42</v>
      </c>
      <c r="B40" s="244">
        <v>41645</v>
      </c>
      <c r="C40" s="243" t="s">
        <v>43</v>
      </c>
      <c r="D40" s="245">
        <v>94.6</v>
      </c>
    </row>
    <row r="41" spans="1:5" s="243" customFormat="1">
      <c r="A41" s="305" t="s">
        <v>44</v>
      </c>
      <c r="B41" s="301">
        <v>41960</v>
      </c>
      <c r="C41" s="305" t="s">
        <v>45</v>
      </c>
      <c r="D41" s="306">
        <v>5000</v>
      </c>
      <c r="E41" s="278" t="s">
        <v>7</v>
      </c>
    </row>
    <row r="42" spans="1:5" s="243" customFormat="1">
      <c r="A42" s="282" t="s">
        <v>44</v>
      </c>
      <c r="B42" s="301">
        <v>41976</v>
      </c>
      <c r="C42" s="282" t="s">
        <v>46</v>
      </c>
      <c r="D42" s="302">
        <v>5000</v>
      </c>
      <c r="E42" s="255" t="s">
        <v>7</v>
      </c>
    </row>
    <row r="43" spans="1:5" s="243" customFormat="1">
      <c r="A43" s="282" t="s">
        <v>44</v>
      </c>
      <c r="B43" s="281">
        <v>41984</v>
      </c>
      <c r="C43" s="280" t="s">
        <v>47</v>
      </c>
      <c r="D43" s="283">
        <v>3250</v>
      </c>
      <c r="E43" s="280" t="s">
        <v>7</v>
      </c>
    </row>
    <row r="44" spans="1:5" s="243" customFormat="1">
      <c r="A44" s="351" t="s">
        <v>44</v>
      </c>
      <c r="B44" s="241">
        <v>41997</v>
      </c>
      <c r="C44" s="351" t="s">
        <v>48</v>
      </c>
      <c r="D44" s="242">
        <v>2885</v>
      </c>
      <c r="E44" s="351" t="s">
        <v>11</v>
      </c>
    </row>
    <row r="45" spans="1:5" s="243" customFormat="1">
      <c r="A45" s="305" t="s">
        <v>49</v>
      </c>
      <c r="B45" s="281">
        <v>41964</v>
      </c>
      <c r="C45" s="305" t="s">
        <v>50</v>
      </c>
      <c r="D45" s="306">
        <v>1790.04</v>
      </c>
      <c r="E45" s="255" t="s">
        <v>7</v>
      </c>
    </row>
    <row r="46" spans="1:5" s="243" customFormat="1">
      <c r="A46" s="305" t="s">
        <v>51</v>
      </c>
      <c r="B46" s="281">
        <v>41983</v>
      </c>
      <c r="C46" s="305" t="s">
        <v>52</v>
      </c>
      <c r="D46" s="306">
        <v>3088.37</v>
      </c>
      <c r="E46" s="255" t="s">
        <v>7</v>
      </c>
    </row>
    <row r="47" spans="1:5" s="243" customFormat="1">
      <c r="A47" s="352" t="s">
        <v>53</v>
      </c>
      <c r="B47" s="353">
        <v>41945</v>
      </c>
      <c r="C47" s="351" t="s">
        <v>54</v>
      </c>
      <c r="D47" s="354">
        <v>132.32</v>
      </c>
      <c r="E47" s="255" t="s">
        <v>11</v>
      </c>
    </row>
    <row r="48" spans="1:5" s="243" customFormat="1">
      <c r="A48" s="243" t="s">
        <v>55</v>
      </c>
      <c r="B48" s="244">
        <v>41865</v>
      </c>
      <c r="C48" s="243" t="s">
        <v>56</v>
      </c>
      <c r="D48" s="245">
        <v>950</v>
      </c>
    </row>
    <row r="49" spans="1:5">
      <c r="A49" s="280" t="s">
        <v>55</v>
      </c>
      <c r="B49" s="281">
        <v>41992</v>
      </c>
      <c r="C49" s="280" t="s">
        <v>57</v>
      </c>
      <c r="D49" s="283">
        <v>44.44</v>
      </c>
      <c r="E49" s="280" t="s">
        <v>7</v>
      </c>
    </row>
    <row r="50" spans="1:5" s="243" customFormat="1">
      <c r="A50" s="275" t="s">
        <v>58</v>
      </c>
      <c r="B50" s="277">
        <v>41929</v>
      </c>
      <c r="C50" s="276" t="s">
        <v>59</v>
      </c>
      <c r="D50" s="242">
        <v>270.63</v>
      </c>
      <c r="E50" s="276" t="s">
        <v>11</v>
      </c>
    </row>
    <row r="51" spans="1:5" s="243" customFormat="1">
      <c r="A51" s="243" t="s">
        <v>60</v>
      </c>
      <c r="B51" s="244">
        <v>41638</v>
      </c>
      <c r="C51" s="243" t="s">
        <v>61</v>
      </c>
      <c r="D51" s="245">
        <v>16</v>
      </c>
    </row>
    <row r="52" spans="1:5" s="243" customFormat="1">
      <c r="A52" s="243" t="s">
        <v>62</v>
      </c>
      <c r="B52" s="244">
        <v>41857</v>
      </c>
      <c r="C52" s="243" t="s">
        <v>63</v>
      </c>
      <c r="D52" s="245">
        <v>25</v>
      </c>
    </row>
    <row r="53" spans="1:5" s="243" customFormat="1">
      <c r="A53" s="276" t="s">
        <v>64</v>
      </c>
      <c r="B53" s="241">
        <v>41924</v>
      </c>
      <c r="C53" s="276" t="s">
        <v>65</v>
      </c>
      <c r="D53" s="242">
        <v>147.07</v>
      </c>
      <c r="E53" s="276" t="s">
        <v>11</v>
      </c>
    </row>
    <row r="54" spans="1:5" s="243" customFormat="1">
      <c r="A54" s="276" t="s">
        <v>66</v>
      </c>
      <c r="B54" s="241">
        <v>41910</v>
      </c>
      <c r="C54" s="276" t="s">
        <v>67</v>
      </c>
      <c r="D54" s="242">
        <v>31.21</v>
      </c>
      <c r="E54" s="276" t="s">
        <v>11</v>
      </c>
    </row>
    <row r="55" spans="1:5" s="243" customFormat="1">
      <c r="A55" s="243" t="s">
        <v>68</v>
      </c>
      <c r="B55" s="244">
        <v>41612</v>
      </c>
      <c r="C55" s="243" t="s">
        <v>69</v>
      </c>
      <c r="D55" s="245">
        <v>265</v>
      </c>
    </row>
    <row r="56" spans="1:5" s="243" customFormat="1">
      <c r="A56" s="243" t="s">
        <v>70</v>
      </c>
      <c r="B56" s="244">
        <v>41579</v>
      </c>
      <c r="C56" s="243" t="s">
        <v>71</v>
      </c>
      <c r="D56" s="245">
        <v>3874.5</v>
      </c>
      <c r="E56" s="243" t="s">
        <v>72</v>
      </c>
    </row>
    <row r="57" spans="1:5" s="243" customFormat="1">
      <c r="A57" s="243" t="s">
        <v>70</v>
      </c>
      <c r="B57" s="244">
        <v>41699</v>
      </c>
      <c r="C57" s="243" t="s">
        <v>71</v>
      </c>
      <c r="D57" s="245">
        <v>843.75</v>
      </c>
    </row>
    <row r="58" spans="1:5">
      <c r="A58" s="243" t="s">
        <v>70</v>
      </c>
      <c r="B58" s="244">
        <v>41791</v>
      </c>
      <c r="C58" s="243" t="s">
        <v>71</v>
      </c>
      <c r="D58" s="245">
        <v>2150</v>
      </c>
      <c r="E58" s="243"/>
    </row>
    <row r="59" spans="1:5">
      <c r="A59" s="243" t="s">
        <v>73</v>
      </c>
      <c r="B59" s="244">
        <v>41864</v>
      </c>
      <c r="C59" s="243" t="s">
        <v>74</v>
      </c>
      <c r="D59" s="245">
        <v>243.56</v>
      </c>
      <c r="E59" s="243"/>
    </row>
    <row r="60" spans="1:5">
      <c r="A60" s="282" t="s">
        <v>75</v>
      </c>
      <c r="B60" s="281">
        <v>41958</v>
      </c>
      <c r="C60" s="280" t="s">
        <v>76</v>
      </c>
      <c r="D60" s="283">
        <v>81.19</v>
      </c>
      <c r="E60" s="280" t="s">
        <v>7</v>
      </c>
    </row>
    <row r="61" spans="1:5">
      <c r="A61" s="280" t="s">
        <v>75</v>
      </c>
      <c r="B61" s="281">
        <v>41988</v>
      </c>
      <c r="C61" s="280" t="s">
        <v>76</v>
      </c>
      <c r="D61" s="283">
        <v>75</v>
      </c>
      <c r="E61" s="280" t="s">
        <v>7</v>
      </c>
    </row>
    <row r="62" spans="1:5" s="243" customFormat="1">
      <c r="A62" s="243" t="s">
        <v>77</v>
      </c>
      <c r="B62" s="244">
        <v>41741</v>
      </c>
      <c r="C62" s="243" t="s">
        <v>78</v>
      </c>
      <c r="D62" s="245">
        <v>85.52</v>
      </c>
    </row>
    <row r="63" spans="1:5" s="243" customFormat="1">
      <c r="A63" s="243" t="s">
        <v>77</v>
      </c>
      <c r="B63" s="244">
        <v>41741</v>
      </c>
      <c r="C63" s="243" t="s">
        <v>79</v>
      </c>
      <c r="D63" s="245">
        <v>461.15</v>
      </c>
    </row>
    <row r="64" spans="1:5" s="243" customFormat="1">
      <c r="A64" s="351" t="s">
        <v>80</v>
      </c>
      <c r="B64" s="241">
        <v>41997</v>
      </c>
      <c r="C64" s="351" t="s">
        <v>81</v>
      </c>
      <c r="D64" s="242">
        <v>6192</v>
      </c>
      <c r="E64" s="351" t="s">
        <v>7</v>
      </c>
    </row>
    <row r="65" spans="1:5" s="243" customFormat="1">
      <c r="A65" s="276" t="s">
        <v>82</v>
      </c>
      <c r="B65" s="277">
        <v>41926</v>
      </c>
      <c r="C65" s="276" t="s">
        <v>83</v>
      </c>
      <c r="D65" s="242">
        <v>17.54</v>
      </c>
      <c r="E65" s="276" t="s">
        <v>11</v>
      </c>
    </row>
    <row r="66" spans="1:5" s="243" customFormat="1">
      <c r="A66" s="243" t="s">
        <v>84</v>
      </c>
      <c r="B66" s="244">
        <v>74476</v>
      </c>
      <c r="C66" s="243" t="s">
        <v>85</v>
      </c>
      <c r="D66" s="245">
        <v>102.88</v>
      </c>
      <c r="E66" s="243" t="s">
        <v>86</v>
      </c>
    </row>
    <row r="67" spans="1:5" s="243" customFormat="1">
      <c r="A67" s="243" t="s">
        <v>84</v>
      </c>
      <c r="B67" s="244">
        <v>41793</v>
      </c>
      <c r="C67" s="243" t="s">
        <v>85</v>
      </c>
      <c r="D67" s="245">
        <v>89.11</v>
      </c>
    </row>
    <row r="68" spans="1:5" s="243" customFormat="1">
      <c r="A68" s="243" t="s">
        <v>87</v>
      </c>
      <c r="B68" s="244">
        <v>41570</v>
      </c>
      <c r="C68" s="243" t="s">
        <v>88</v>
      </c>
      <c r="D68" s="245">
        <f>(149+149+119.91)*1.08245</f>
        <v>452.36667949999992</v>
      </c>
    </row>
    <row r="69" spans="1:5">
      <c r="A69" s="243" t="s">
        <v>87</v>
      </c>
      <c r="B69" s="244">
        <v>41603</v>
      </c>
      <c r="C69" s="243" t="s">
        <v>89</v>
      </c>
      <c r="D69" s="245">
        <v>96.52</v>
      </c>
      <c r="E69" s="243"/>
    </row>
    <row r="70" spans="1:5">
      <c r="A70" s="243" t="s">
        <v>87</v>
      </c>
      <c r="B70" s="244">
        <v>41603</v>
      </c>
      <c r="C70" s="243" t="s">
        <v>90</v>
      </c>
      <c r="D70" s="245">
        <v>543.41999999999996</v>
      </c>
      <c r="E70" s="243"/>
    </row>
    <row r="71" spans="1:5">
      <c r="A71" s="243" t="s">
        <v>87</v>
      </c>
      <c r="B71" s="244">
        <v>41651</v>
      </c>
      <c r="C71" s="243" t="s">
        <v>91</v>
      </c>
      <c r="D71" s="245">
        <v>846.44</v>
      </c>
      <c r="E71" s="243"/>
    </row>
    <row r="72" spans="1:5">
      <c r="A72" s="294" t="s">
        <v>87</v>
      </c>
      <c r="B72" s="293">
        <v>41946</v>
      </c>
      <c r="C72" s="294" t="s">
        <v>92</v>
      </c>
      <c r="D72" s="295">
        <v>67.27</v>
      </c>
      <c r="E72" s="296" t="s">
        <v>11</v>
      </c>
    </row>
    <row r="73" spans="1:5">
      <c r="A73" s="282" t="s">
        <v>87</v>
      </c>
      <c r="B73" s="281">
        <v>41960</v>
      </c>
      <c r="C73" s="280" t="s">
        <v>93</v>
      </c>
      <c r="D73" s="283">
        <v>65.17</v>
      </c>
      <c r="E73" s="280" t="s">
        <v>11</v>
      </c>
    </row>
    <row r="74" spans="1:5">
      <c r="A74" s="282" t="s">
        <v>87</v>
      </c>
      <c r="B74" s="281">
        <v>41963</v>
      </c>
      <c r="C74" s="280" t="s">
        <v>93</v>
      </c>
      <c r="D74" s="283">
        <v>31.34</v>
      </c>
      <c r="E74" s="255" t="s">
        <v>11</v>
      </c>
    </row>
    <row r="75" spans="1:5">
      <c r="A75" s="282" t="s">
        <v>87</v>
      </c>
      <c r="B75" s="281">
        <v>41969</v>
      </c>
      <c r="C75" s="280" t="s">
        <v>93</v>
      </c>
      <c r="D75" s="283">
        <v>6.57</v>
      </c>
      <c r="E75" s="255" t="s">
        <v>11</v>
      </c>
    </row>
    <row r="76" spans="1:5">
      <c r="A76" s="282" t="s">
        <v>87</v>
      </c>
      <c r="B76" s="281">
        <v>41974</v>
      </c>
      <c r="C76" s="280" t="s">
        <v>94</v>
      </c>
      <c r="D76" s="283">
        <v>6863.26</v>
      </c>
      <c r="E76" s="255" t="s">
        <v>11</v>
      </c>
    </row>
    <row r="77" spans="1:5">
      <c r="A77" s="282" t="s">
        <v>87</v>
      </c>
      <c r="B77" s="281">
        <v>41979</v>
      </c>
      <c r="C77" s="280" t="s">
        <v>95</v>
      </c>
      <c r="D77" s="283">
        <v>556.79</v>
      </c>
      <c r="E77" s="255" t="s">
        <v>11</v>
      </c>
    </row>
    <row r="78" spans="1:5">
      <c r="A78" s="280" t="s">
        <v>87</v>
      </c>
      <c r="B78" s="281">
        <v>41993</v>
      </c>
      <c r="C78" s="280" t="s">
        <v>96</v>
      </c>
      <c r="D78" s="283">
        <v>84.45</v>
      </c>
      <c r="E78" s="255" t="s">
        <v>11</v>
      </c>
    </row>
    <row r="79" spans="1:5">
      <c r="A79" s="314" t="s">
        <v>97</v>
      </c>
      <c r="B79" s="313">
        <v>41650</v>
      </c>
      <c r="C79" s="314" t="s">
        <v>98</v>
      </c>
      <c r="D79" s="315">
        <v>1400</v>
      </c>
      <c r="E79" s="243" t="s">
        <v>99</v>
      </c>
    </row>
    <row r="80" spans="1:5">
      <c r="A80" s="282" t="s">
        <v>100</v>
      </c>
      <c r="B80" s="281">
        <v>41964</v>
      </c>
      <c r="C80" s="280" t="s">
        <v>101</v>
      </c>
      <c r="D80" s="283">
        <v>2425.21</v>
      </c>
      <c r="E80" s="255" t="s">
        <v>7</v>
      </c>
    </row>
    <row r="81" spans="1:5">
      <c r="A81" s="243" t="s">
        <v>102</v>
      </c>
      <c r="B81" s="244">
        <v>41611</v>
      </c>
      <c r="C81" s="243" t="s">
        <v>103</v>
      </c>
      <c r="D81" s="245">
        <v>300</v>
      </c>
      <c r="E81" s="243"/>
    </row>
    <row r="82" spans="1:5">
      <c r="A82" s="243" t="s">
        <v>102</v>
      </c>
      <c r="B82" s="244">
        <v>41611</v>
      </c>
      <c r="C82" s="243" t="s">
        <v>104</v>
      </c>
      <c r="D82" s="245">
        <v>1500</v>
      </c>
      <c r="E82" s="243"/>
    </row>
    <row r="83" spans="1:5">
      <c r="A83" s="305" t="s">
        <v>105</v>
      </c>
      <c r="B83" s="281">
        <v>41956</v>
      </c>
      <c r="C83" s="305" t="s">
        <v>106</v>
      </c>
      <c r="D83" s="306">
        <f>8500+500+160+100</f>
        <v>9260</v>
      </c>
      <c r="E83" s="255" t="s">
        <v>7</v>
      </c>
    </row>
    <row r="84" spans="1:5">
      <c r="A84" s="243" t="s">
        <v>107</v>
      </c>
      <c r="B84" s="244">
        <v>41873</v>
      </c>
      <c r="C84" s="243" t="s">
        <v>108</v>
      </c>
      <c r="D84" s="245">
        <v>2323.6799999999998</v>
      </c>
      <c r="E84" s="243"/>
    </row>
    <row r="85" spans="1:5" s="282" customFormat="1">
      <c r="A85" s="280" t="s">
        <v>107</v>
      </c>
      <c r="B85" s="281">
        <v>41992</v>
      </c>
      <c r="C85" s="280" t="s">
        <v>108</v>
      </c>
      <c r="D85" s="283">
        <v>26.5</v>
      </c>
      <c r="E85" s="255" t="s">
        <v>7</v>
      </c>
    </row>
    <row r="86" spans="1:5" s="255" customFormat="1">
      <c r="A86" s="243" t="s">
        <v>109</v>
      </c>
      <c r="B86" s="244">
        <v>41857</v>
      </c>
      <c r="C86" s="243" t="s">
        <v>110</v>
      </c>
      <c r="D86" s="245">
        <v>4424.8599999999997</v>
      </c>
      <c r="E86" s="243"/>
    </row>
    <row r="87" spans="1:5" s="255" customFormat="1">
      <c r="A87" s="243" t="s">
        <v>111</v>
      </c>
      <c r="B87" s="244">
        <v>41863</v>
      </c>
      <c r="C87" s="243" t="s">
        <v>112</v>
      </c>
      <c r="D87" s="245">
        <v>1937</v>
      </c>
      <c r="E87" s="243"/>
    </row>
    <row r="88" spans="1:5" s="280" customFormat="1">
      <c r="A88" s="243" t="s">
        <v>113</v>
      </c>
      <c r="B88" s="244">
        <v>41647</v>
      </c>
      <c r="C88" s="243" t="s">
        <v>114</v>
      </c>
      <c r="D88" s="245">
        <v>90</v>
      </c>
      <c r="E88" s="234"/>
    </row>
    <row r="89" spans="1:5" s="280" customFormat="1">
      <c r="A89" s="243" t="s">
        <v>113</v>
      </c>
      <c r="B89" s="244">
        <v>41878</v>
      </c>
      <c r="C89" s="243" t="s">
        <v>115</v>
      </c>
      <c r="D89" s="245">
        <v>300</v>
      </c>
      <c r="E89" s="243"/>
    </row>
    <row r="90" spans="1:5" s="255" customFormat="1">
      <c r="A90" s="282" t="s">
        <v>116</v>
      </c>
      <c r="B90" s="301">
        <v>41940</v>
      </c>
      <c r="C90" s="282" t="s">
        <v>117</v>
      </c>
      <c r="D90" s="302">
        <v>5182</v>
      </c>
      <c r="E90" s="282" t="s">
        <v>7</v>
      </c>
    </row>
    <row r="91" spans="1:5" s="280" customFormat="1">
      <c r="A91" s="305" t="s">
        <v>116</v>
      </c>
      <c r="B91" s="281">
        <v>41954</v>
      </c>
      <c r="C91" s="305" t="s">
        <v>117</v>
      </c>
      <c r="D91" s="306">
        <v>5200</v>
      </c>
      <c r="E91" s="280" t="s">
        <v>7</v>
      </c>
    </row>
    <row r="92" spans="1:5" s="255" customFormat="1">
      <c r="A92" s="305" t="s">
        <v>116</v>
      </c>
      <c r="B92" s="281">
        <v>41957</v>
      </c>
      <c r="C92" s="305" t="s">
        <v>117</v>
      </c>
      <c r="D92" s="306">
        <v>4300</v>
      </c>
      <c r="E92" s="280" t="s">
        <v>7</v>
      </c>
    </row>
    <row r="93" spans="1:5" s="255" customFormat="1">
      <c r="A93" s="305" t="s">
        <v>116</v>
      </c>
      <c r="B93" s="281">
        <v>41989</v>
      </c>
      <c r="C93" s="305" t="s">
        <v>117</v>
      </c>
      <c r="D93" s="306">
        <v>1927</v>
      </c>
      <c r="E93" s="255" t="s">
        <v>7</v>
      </c>
    </row>
    <row r="94" spans="1:5" s="255" customFormat="1">
      <c r="A94" s="243" t="s">
        <v>118</v>
      </c>
      <c r="B94" s="244">
        <v>41590</v>
      </c>
      <c r="C94" s="243" t="s">
        <v>119</v>
      </c>
      <c r="D94" s="245">
        <v>4100</v>
      </c>
      <c r="E94" s="243"/>
    </row>
    <row r="95" spans="1:5" s="255" customFormat="1">
      <c r="A95" s="303" t="s">
        <v>118</v>
      </c>
      <c r="B95" s="241">
        <v>41879</v>
      </c>
      <c r="C95" s="303" t="s">
        <v>120</v>
      </c>
      <c r="D95" s="304">
        <v>11478</v>
      </c>
      <c r="E95" s="234"/>
    </row>
    <row r="96" spans="1:5" s="255" customFormat="1">
      <c r="A96" s="303" t="s">
        <v>118</v>
      </c>
      <c r="B96" s="241">
        <v>41908</v>
      </c>
      <c r="C96" s="303" t="s">
        <v>121</v>
      </c>
      <c r="D96" s="304">
        <v>825</v>
      </c>
      <c r="E96" s="276" t="s">
        <v>11</v>
      </c>
    </row>
    <row r="97" spans="1:5" s="278" customFormat="1">
      <c r="A97" s="303" t="s">
        <v>118</v>
      </c>
      <c r="B97" s="277">
        <v>41929</v>
      </c>
      <c r="C97" s="303" t="s">
        <v>122</v>
      </c>
      <c r="D97" s="304">
        <v>43994.7</v>
      </c>
      <c r="E97" s="276" t="s">
        <v>7</v>
      </c>
    </row>
    <row r="98" spans="1:5" s="255" customFormat="1">
      <c r="A98" s="282" t="s">
        <v>123</v>
      </c>
      <c r="B98" s="281">
        <v>41985</v>
      </c>
      <c r="C98" s="280" t="s">
        <v>124</v>
      </c>
      <c r="D98" s="283">
        <v>3500</v>
      </c>
      <c r="E98" s="255" t="s">
        <v>7</v>
      </c>
    </row>
    <row r="99" spans="1:5" s="255" customFormat="1">
      <c r="A99" s="352" t="s">
        <v>125</v>
      </c>
      <c r="B99" s="353">
        <v>41979</v>
      </c>
      <c r="C99" s="351" t="s">
        <v>126</v>
      </c>
      <c r="D99" s="354">
        <v>199</v>
      </c>
      <c r="E99" s="255" t="s">
        <v>11</v>
      </c>
    </row>
    <row r="100" spans="1:5" s="255" customFormat="1">
      <c r="A100" s="243" t="s">
        <v>127</v>
      </c>
      <c r="B100" s="244">
        <v>41479</v>
      </c>
      <c r="C100" s="243" t="s">
        <v>128</v>
      </c>
      <c r="D100" s="245">
        <v>300</v>
      </c>
      <c r="E100" s="243"/>
    </row>
    <row r="101" spans="1:5" s="255" customFormat="1">
      <c r="A101" s="234" t="s">
        <v>129</v>
      </c>
      <c r="B101" s="241">
        <v>41860</v>
      </c>
      <c r="C101" s="234" t="s">
        <v>130</v>
      </c>
      <c r="D101" s="242">
        <v>284.75</v>
      </c>
      <c r="E101" s="234"/>
    </row>
    <row r="102" spans="1:5" s="280" customFormat="1">
      <c r="A102" s="282" t="s">
        <v>129</v>
      </c>
      <c r="B102" s="281">
        <v>41964</v>
      </c>
      <c r="C102" s="280" t="s">
        <v>130</v>
      </c>
      <c r="D102" s="283">
        <v>304.75</v>
      </c>
      <c r="E102" s="280" t="s">
        <v>7</v>
      </c>
    </row>
    <row r="103" spans="1:5" s="255" customFormat="1">
      <c r="A103" s="243" t="s">
        <v>131</v>
      </c>
      <c r="B103" s="244">
        <v>41880</v>
      </c>
      <c r="C103" s="243" t="s">
        <v>132</v>
      </c>
      <c r="D103" s="245">
        <v>2684.76</v>
      </c>
      <c r="E103" s="243"/>
    </row>
    <row r="104" spans="1:5" s="255" customFormat="1">
      <c r="A104" s="282" t="s">
        <v>131</v>
      </c>
      <c r="B104" s="281">
        <v>41983</v>
      </c>
      <c r="C104" s="280" t="s">
        <v>132</v>
      </c>
      <c r="D104" s="283">
        <v>536.96</v>
      </c>
      <c r="E104" s="255" t="s">
        <v>11</v>
      </c>
    </row>
    <row r="105" spans="1:5" s="255" customFormat="1">
      <c r="A105" s="276" t="s">
        <v>133</v>
      </c>
      <c r="B105" s="277">
        <v>41926</v>
      </c>
      <c r="C105" s="276" t="s">
        <v>132</v>
      </c>
      <c r="D105" s="242">
        <v>2147.8000000000002</v>
      </c>
      <c r="E105" s="276" t="s">
        <v>7</v>
      </c>
    </row>
    <row r="106" spans="1:5" s="255" customFormat="1">
      <c r="A106" s="243" t="s">
        <v>134</v>
      </c>
      <c r="B106" s="244">
        <v>41638</v>
      </c>
      <c r="C106" s="243" t="s">
        <v>135</v>
      </c>
      <c r="D106" s="245">
        <v>780</v>
      </c>
      <c r="E106" s="243"/>
    </row>
    <row r="107" spans="1:5" s="255" customFormat="1">
      <c r="A107" s="276" t="s">
        <v>136</v>
      </c>
      <c r="B107" s="241">
        <v>41925</v>
      </c>
      <c r="C107" s="276" t="s">
        <v>137</v>
      </c>
      <c r="D107" s="242">
        <v>510.31</v>
      </c>
      <c r="E107" s="276" t="s">
        <v>7</v>
      </c>
    </row>
    <row r="108" spans="1:5" s="255" customFormat="1">
      <c r="A108" s="243" t="s">
        <v>138</v>
      </c>
      <c r="B108" s="244">
        <v>41864</v>
      </c>
      <c r="C108" s="243" t="s">
        <v>139</v>
      </c>
      <c r="D108" s="245">
        <v>1144.28</v>
      </c>
      <c r="E108" s="243"/>
    </row>
    <row r="109" spans="1:5" s="255" customFormat="1">
      <c r="A109" s="280" t="s">
        <v>140</v>
      </c>
      <c r="B109" s="281">
        <v>41946</v>
      </c>
      <c r="C109" s="280" t="s">
        <v>139</v>
      </c>
      <c r="D109" s="283">
        <v>657.54</v>
      </c>
      <c r="E109" s="280" t="s">
        <v>7</v>
      </c>
    </row>
    <row r="110" spans="1:5" s="255" customFormat="1">
      <c r="A110" s="280" t="s">
        <v>140</v>
      </c>
      <c r="B110" s="281">
        <v>41950</v>
      </c>
      <c r="C110" s="280" t="s">
        <v>139</v>
      </c>
      <c r="D110" s="283">
        <v>457.96</v>
      </c>
      <c r="E110" s="280" t="s">
        <v>7</v>
      </c>
    </row>
    <row r="111" spans="1:5" s="255" customFormat="1">
      <c r="A111" s="280" t="s">
        <v>140</v>
      </c>
      <c r="B111" s="281">
        <v>41992</v>
      </c>
      <c r="C111" s="280" t="s">
        <v>139</v>
      </c>
      <c r="D111" s="283">
        <v>1212</v>
      </c>
      <c r="E111" s="255" t="s">
        <v>7</v>
      </c>
    </row>
    <row r="112" spans="1:5" s="255" customFormat="1">
      <c r="A112" s="305" t="s">
        <v>141</v>
      </c>
      <c r="B112" s="281">
        <v>41941</v>
      </c>
      <c r="C112" s="305" t="s">
        <v>142</v>
      </c>
      <c r="D112" s="306">
        <v>4913</v>
      </c>
      <c r="E112" s="255" t="s">
        <v>7</v>
      </c>
    </row>
    <row r="113" spans="1:5">
      <c r="A113" s="282" t="s">
        <v>141</v>
      </c>
      <c r="B113" s="281">
        <v>41975</v>
      </c>
      <c r="C113" s="280" t="s">
        <v>142</v>
      </c>
      <c r="D113" s="283">
        <v>5896</v>
      </c>
      <c r="E113" s="255" t="s">
        <v>7</v>
      </c>
    </row>
    <row r="114" spans="1:5">
      <c r="A114" s="351" t="s">
        <v>141</v>
      </c>
      <c r="B114" s="241">
        <v>41995</v>
      </c>
      <c r="C114" s="351" t="s">
        <v>142</v>
      </c>
      <c r="D114" s="242">
        <v>9017.2199999999993</v>
      </c>
      <c r="E114" s="351" t="s">
        <v>11</v>
      </c>
    </row>
    <row r="115" spans="1:5" s="243" customFormat="1">
      <c r="A115" s="243" t="s">
        <v>143</v>
      </c>
      <c r="B115" s="246" t="s">
        <v>144</v>
      </c>
      <c r="C115" s="243" t="s">
        <v>145</v>
      </c>
      <c r="D115" s="245">
        <v>2700</v>
      </c>
    </row>
    <row r="116" spans="1:5" s="255" customFormat="1">
      <c r="A116" s="243" t="s">
        <v>143</v>
      </c>
      <c r="B116" s="244">
        <v>41785</v>
      </c>
      <c r="C116" s="243" t="s">
        <v>146</v>
      </c>
      <c r="D116" s="245">
        <v>625</v>
      </c>
      <c r="E116" s="243"/>
    </row>
    <row r="117" spans="1:5" s="255" customFormat="1">
      <c r="A117" s="243" t="s">
        <v>143</v>
      </c>
      <c r="B117" s="244">
        <v>41793</v>
      </c>
      <c r="C117" s="243" t="s">
        <v>146</v>
      </c>
      <c r="D117" s="245">
        <v>625</v>
      </c>
      <c r="E117" s="243"/>
    </row>
    <row r="118" spans="1:5" s="280" customFormat="1">
      <c r="A118" s="243" t="s">
        <v>143</v>
      </c>
      <c r="B118" s="244">
        <v>41863</v>
      </c>
      <c r="C118" s="243" t="s">
        <v>147</v>
      </c>
      <c r="D118" s="245">
        <v>7829</v>
      </c>
      <c r="E118" s="243"/>
    </row>
    <row r="119" spans="1:5" s="255" customFormat="1">
      <c r="A119" s="351" t="s">
        <v>143</v>
      </c>
      <c r="B119" s="241">
        <v>41925</v>
      </c>
      <c r="C119" s="276" t="s">
        <v>148</v>
      </c>
      <c r="D119" s="242">
        <v>4893</v>
      </c>
      <c r="E119" s="276" t="s">
        <v>7</v>
      </c>
    </row>
    <row r="120" spans="1:5" s="280" customFormat="1">
      <c r="A120" s="305" t="s">
        <v>143</v>
      </c>
      <c r="B120" s="281">
        <v>41947</v>
      </c>
      <c r="C120" s="305" t="s">
        <v>149</v>
      </c>
      <c r="D120" s="306">
        <v>3914</v>
      </c>
      <c r="E120" s="255" t="s">
        <v>7</v>
      </c>
    </row>
    <row r="121" spans="1:5" s="255" customFormat="1">
      <c r="A121" s="243" t="s">
        <v>150</v>
      </c>
      <c r="B121" s="244">
        <v>41621</v>
      </c>
      <c r="C121" s="243" t="s">
        <v>151</v>
      </c>
      <c r="D121" s="245">
        <v>599.64</v>
      </c>
      <c r="E121" s="243" t="s">
        <v>152</v>
      </c>
    </row>
    <row r="122" spans="1:5" s="255" customFormat="1">
      <c r="A122" s="243" t="s">
        <v>150</v>
      </c>
      <c r="B122" s="244">
        <v>41621</v>
      </c>
      <c r="C122" s="243" t="s">
        <v>151</v>
      </c>
      <c r="D122" s="245">
        <v>553.66</v>
      </c>
      <c r="E122" s="243"/>
    </row>
    <row r="123" spans="1:5" s="255" customFormat="1">
      <c r="A123" s="243" t="s">
        <v>150</v>
      </c>
      <c r="B123" s="244">
        <v>41822</v>
      </c>
      <c r="C123" s="243" t="s">
        <v>122</v>
      </c>
      <c r="D123" s="245">
        <v>27</v>
      </c>
      <c r="E123" s="243"/>
    </row>
    <row r="124" spans="1:5" s="255" customFormat="1">
      <c r="A124" s="276" t="s">
        <v>150</v>
      </c>
      <c r="B124" s="241">
        <v>41893</v>
      </c>
      <c r="C124" s="276" t="s">
        <v>153</v>
      </c>
      <c r="D124" s="245">
        <v>300</v>
      </c>
      <c r="E124" s="234"/>
    </row>
    <row r="125" spans="1:5" s="255" customFormat="1">
      <c r="A125" s="234" t="s">
        <v>154</v>
      </c>
      <c r="B125" s="241">
        <v>41868</v>
      </c>
      <c r="C125" s="234" t="s">
        <v>155</v>
      </c>
      <c r="D125" s="242">
        <f>238-75.99-70.8</f>
        <v>91.21</v>
      </c>
      <c r="E125" s="234"/>
    </row>
    <row r="126" spans="1:5">
      <c r="A126" s="234" t="s">
        <v>154</v>
      </c>
      <c r="B126" s="241">
        <v>41868</v>
      </c>
      <c r="C126" s="234" t="s">
        <v>156</v>
      </c>
      <c r="D126" s="242">
        <f>75.99+70.8</f>
        <v>146.79</v>
      </c>
    </row>
    <row r="127" spans="1:5">
      <c r="A127" s="243" t="s">
        <v>157</v>
      </c>
      <c r="B127" s="244">
        <v>41616</v>
      </c>
      <c r="C127" s="243" t="s">
        <v>158</v>
      </c>
      <c r="D127" s="245">
        <v>583.20000000000005</v>
      </c>
      <c r="E127" s="243"/>
    </row>
    <row r="128" spans="1:5">
      <c r="A128" s="243" t="s">
        <v>157</v>
      </c>
      <c r="B128" s="277">
        <v>41930</v>
      </c>
      <c r="C128" s="276" t="s">
        <v>159</v>
      </c>
      <c r="D128" s="242">
        <v>386.01</v>
      </c>
      <c r="E128" s="276" t="s">
        <v>11</v>
      </c>
    </row>
    <row r="130" spans="4:4">
      <c r="D130" s="242">
        <f>SUM(D2:D129)</f>
        <v>249708.54708450008</v>
      </c>
    </row>
  </sheetData>
  <sortState ref="A3:E128">
    <sortCondition ref="A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tabSelected="1" workbookViewId="0">
      <selection activeCell="B3" sqref="B3"/>
    </sheetView>
  </sheetViews>
  <sheetFormatPr defaultColWidth="11" defaultRowHeight="15.75"/>
  <cols>
    <col min="1" max="1" width="4.140625" style="234" customWidth="1"/>
    <col min="2" max="2" width="22.42578125" style="241" customWidth="1"/>
    <col min="3" max="3" width="29.28515625" style="234" customWidth="1"/>
    <col min="4" max="4" width="38.7109375" style="234" customWidth="1"/>
    <col min="5" max="5" width="17.28515625" style="242" customWidth="1"/>
    <col min="6" max="6" width="10.85546875" style="234" customWidth="1"/>
    <col min="7" max="16384" width="11" style="234"/>
  </cols>
  <sheetData>
    <row r="1" spans="1:6">
      <c r="B1" s="358" t="s">
        <v>160</v>
      </c>
      <c r="C1" s="358"/>
      <c r="D1" s="358"/>
      <c r="E1" s="358"/>
      <c r="F1" s="358"/>
    </row>
    <row r="2" spans="1:6">
      <c r="B2" s="236" t="s">
        <v>1</v>
      </c>
      <c r="C2" s="235" t="s">
        <v>0</v>
      </c>
      <c r="D2" s="235" t="s">
        <v>2</v>
      </c>
      <c r="E2" s="237" t="s">
        <v>3</v>
      </c>
      <c r="F2" s="235" t="s">
        <v>4</v>
      </c>
    </row>
    <row r="3" spans="1:6" s="243" customFormat="1">
      <c r="A3" s="243">
        <v>0</v>
      </c>
      <c r="B3" s="246">
        <v>41472</v>
      </c>
      <c r="C3" s="243" t="s">
        <v>143</v>
      </c>
      <c r="D3" s="243" t="s">
        <v>145</v>
      </c>
      <c r="E3" s="245">
        <v>2700</v>
      </c>
    </row>
    <row r="4" spans="1:6" s="243" customFormat="1">
      <c r="A4" s="243">
        <v>1</v>
      </c>
      <c r="B4" s="244">
        <v>41479</v>
      </c>
      <c r="C4" s="243" t="s">
        <v>127</v>
      </c>
      <c r="D4" s="243" t="s">
        <v>128</v>
      </c>
      <c r="E4" s="245">
        <v>300</v>
      </c>
    </row>
    <row r="5" spans="1:6" s="243" customFormat="1">
      <c r="A5" s="243">
        <v>2</v>
      </c>
      <c r="B5" s="244">
        <v>41570</v>
      </c>
      <c r="C5" s="243" t="s">
        <v>87</v>
      </c>
      <c r="D5" s="243" t="s">
        <v>88</v>
      </c>
      <c r="E5" s="245">
        <f>(149+149+119.91)*1.08245</f>
        <v>452.36667949999992</v>
      </c>
    </row>
    <row r="6" spans="1:6" s="243" customFormat="1">
      <c r="A6" s="243">
        <v>3</v>
      </c>
      <c r="B6" s="244">
        <v>41579</v>
      </c>
      <c r="C6" s="243" t="s">
        <v>70</v>
      </c>
      <c r="D6" s="243" t="s">
        <v>71</v>
      </c>
      <c r="E6" s="245">
        <v>3874.5</v>
      </c>
      <c r="F6" s="243" t="s">
        <v>72</v>
      </c>
    </row>
    <row r="7" spans="1:6" s="243" customFormat="1">
      <c r="A7" s="243">
        <v>4</v>
      </c>
      <c r="B7" s="244">
        <v>41590</v>
      </c>
      <c r="C7" s="243" t="s">
        <v>118</v>
      </c>
      <c r="D7" s="243" t="s">
        <v>119</v>
      </c>
      <c r="E7" s="245">
        <v>4100</v>
      </c>
    </row>
    <row r="8" spans="1:6" s="243" customFormat="1">
      <c r="A8" s="243">
        <v>5</v>
      </c>
      <c r="B8" s="244">
        <v>41603</v>
      </c>
      <c r="C8" s="243" t="s">
        <v>87</v>
      </c>
      <c r="D8" s="243" t="s">
        <v>89</v>
      </c>
      <c r="E8" s="245">
        <v>96.52</v>
      </c>
    </row>
    <row r="9" spans="1:6" s="243" customFormat="1">
      <c r="A9" s="243">
        <v>6</v>
      </c>
      <c r="B9" s="244">
        <v>41603</v>
      </c>
      <c r="C9" s="243" t="s">
        <v>87</v>
      </c>
      <c r="D9" s="243" t="s">
        <v>90</v>
      </c>
      <c r="E9" s="245">
        <v>543.41999999999996</v>
      </c>
    </row>
    <row r="10" spans="1:6" s="243" customFormat="1">
      <c r="A10" s="243">
        <v>7</v>
      </c>
      <c r="B10" s="244">
        <v>74476</v>
      </c>
      <c r="C10" s="243" t="s">
        <v>84</v>
      </c>
      <c r="D10" s="243" t="s">
        <v>85</v>
      </c>
      <c r="E10" s="245">
        <v>102.88</v>
      </c>
      <c r="F10" s="243" t="s">
        <v>86</v>
      </c>
    </row>
    <row r="11" spans="1:6" s="243" customFormat="1">
      <c r="A11" s="243">
        <v>8</v>
      </c>
      <c r="B11" s="244">
        <v>41611</v>
      </c>
      <c r="C11" s="243" t="s">
        <v>102</v>
      </c>
      <c r="D11" s="243" t="s">
        <v>103</v>
      </c>
      <c r="E11" s="245">
        <v>300</v>
      </c>
    </row>
    <row r="12" spans="1:6" s="243" customFormat="1">
      <c r="A12" s="243">
        <v>9</v>
      </c>
      <c r="B12" s="244">
        <v>41611</v>
      </c>
      <c r="C12" s="243" t="s">
        <v>102</v>
      </c>
      <c r="D12" s="243" t="s">
        <v>104</v>
      </c>
      <c r="E12" s="245">
        <v>1500</v>
      </c>
    </row>
    <row r="13" spans="1:6" s="243" customFormat="1">
      <c r="A13" s="243">
        <v>10</v>
      </c>
      <c r="B13" s="244">
        <v>41612</v>
      </c>
      <c r="C13" s="243" t="s">
        <v>68</v>
      </c>
      <c r="D13" s="243" t="s">
        <v>69</v>
      </c>
      <c r="E13" s="245">
        <v>265</v>
      </c>
    </row>
    <row r="14" spans="1:6" s="243" customFormat="1">
      <c r="A14" s="243">
        <v>11</v>
      </c>
      <c r="B14" s="244">
        <v>41616</v>
      </c>
      <c r="C14" s="243" t="s">
        <v>157</v>
      </c>
      <c r="D14" s="243" t="s">
        <v>158</v>
      </c>
      <c r="E14" s="245">
        <v>583.20000000000005</v>
      </c>
    </row>
    <row r="15" spans="1:6" s="243" customFormat="1">
      <c r="A15" s="243">
        <v>12</v>
      </c>
      <c r="B15" s="244">
        <v>41621</v>
      </c>
      <c r="C15" s="243" t="s">
        <v>150</v>
      </c>
      <c r="D15" s="243" t="s">
        <v>151</v>
      </c>
      <c r="E15" s="245">
        <v>599.64</v>
      </c>
      <c r="F15" s="243" t="s">
        <v>152</v>
      </c>
    </row>
    <row r="16" spans="1:6" s="243" customFormat="1">
      <c r="A16" s="243">
        <v>13</v>
      </c>
      <c r="B16" s="244">
        <v>41621</v>
      </c>
      <c r="C16" s="243" t="s">
        <v>150</v>
      </c>
      <c r="D16" s="243" t="s">
        <v>151</v>
      </c>
      <c r="E16" s="245">
        <v>553.66</v>
      </c>
    </row>
    <row r="17" spans="1:5" s="243" customFormat="1">
      <c r="A17" s="243">
        <v>14</v>
      </c>
      <c r="B17" s="244">
        <v>41626</v>
      </c>
      <c r="C17" s="243" t="s">
        <v>13</v>
      </c>
      <c r="D17" s="243" t="s">
        <v>14</v>
      </c>
      <c r="E17" s="245">
        <v>63.9</v>
      </c>
    </row>
    <row r="18" spans="1:5" s="243" customFormat="1">
      <c r="A18" s="243">
        <v>15</v>
      </c>
      <c r="B18" s="244">
        <v>41626</v>
      </c>
      <c r="C18" s="243" t="s">
        <v>13</v>
      </c>
      <c r="D18" s="243" t="s">
        <v>15</v>
      </c>
      <c r="E18" s="245">
        <f>64.95*1.08245+7</f>
        <v>77.305127499999998</v>
      </c>
    </row>
    <row r="19" spans="1:5" s="243" customFormat="1">
      <c r="A19" s="243">
        <v>16</v>
      </c>
      <c r="B19" s="244">
        <v>41626</v>
      </c>
      <c r="C19" s="243" t="s">
        <v>13</v>
      </c>
      <c r="D19" s="243" t="s">
        <v>16</v>
      </c>
      <c r="E19" s="245">
        <f>11.95*1.08245</f>
        <v>12.935277499999998</v>
      </c>
    </row>
    <row r="20" spans="1:5" s="243" customFormat="1">
      <c r="A20" s="243">
        <v>17</v>
      </c>
      <c r="B20" s="244">
        <v>41626</v>
      </c>
      <c r="C20" s="243" t="s">
        <v>13</v>
      </c>
      <c r="D20" s="243" t="s">
        <v>17</v>
      </c>
      <c r="E20" s="245">
        <v>153.94999999999999</v>
      </c>
    </row>
    <row r="21" spans="1:5" s="243" customFormat="1">
      <c r="A21" s="243">
        <v>18</v>
      </c>
      <c r="B21" s="244">
        <v>41626</v>
      </c>
      <c r="C21" s="243" t="s">
        <v>13</v>
      </c>
      <c r="D21" s="243" t="s">
        <v>18</v>
      </c>
      <c r="E21" s="245">
        <v>37.799999999999997</v>
      </c>
    </row>
    <row r="22" spans="1:5" s="243" customFormat="1">
      <c r="A22" s="243">
        <v>19</v>
      </c>
      <c r="B22" s="244">
        <v>41626</v>
      </c>
      <c r="C22" s="243" t="s">
        <v>13</v>
      </c>
      <c r="D22" s="243" t="s">
        <v>17</v>
      </c>
      <c r="E22" s="245">
        <v>73.62</v>
      </c>
    </row>
    <row r="23" spans="1:5" s="243" customFormat="1">
      <c r="A23" s="243">
        <v>20</v>
      </c>
      <c r="B23" s="244">
        <v>41626</v>
      </c>
      <c r="C23" s="243" t="s">
        <v>13</v>
      </c>
      <c r="D23" s="243" t="s">
        <v>19</v>
      </c>
      <c r="E23" s="245">
        <v>121.99</v>
      </c>
    </row>
    <row r="24" spans="1:5" s="243" customFormat="1">
      <c r="A24" s="243">
        <v>21</v>
      </c>
      <c r="B24" s="244">
        <v>41626</v>
      </c>
      <c r="C24" s="243" t="s">
        <v>13</v>
      </c>
      <c r="D24" s="243" t="s">
        <v>20</v>
      </c>
      <c r="E24" s="245">
        <v>21.8</v>
      </c>
    </row>
    <row r="25" spans="1:5" s="243" customFormat="1">
      <c r="A25" s="243">
        <v>22</v>
      </c>
      <c r="B25" s="244">
        <v>41627</v>
      </c>
      <c r="C25" s="243" t="s">
        <v>13</v>
      </c>
      <c r="D25" s="243" t="s">
        <v>21</v>
      </c>
      <c r="E25" s="245">
        <v>79.900000000000006</v>
      </c>
    </row>
    <row r="26" spans="1:5" s="243" customFormat="1">
      <c r="A26" s="243">
        <v>23</v>
      </c>
      <c r="B26" s="244">
        <v>41628</v>
      </c>
      <c r="C26" s="243" t="s">
        <v>13</v>
      </c>
      <c r="D26" s="243" t="s">
        <v>21</v>
      </c>
      <c r="E26" s="245">
        <v>63.95</v>
      </c>
    </row>
    <row r="27" spans="1:5" s="243" customFormat="1">
      <c r="A27" s="243">
        <v>24</v>
      </c>
      <c r="B27" s="244">
        <v>41628</v>
      </c>
      <c r="C27" s="243" t="s">
        <v>42</v>
      </c>
      <c r="D27" s="243" t="s">
        <v>21</v>
      </c>
      <c r="E27" s="245">
        <v>79.900000000000006</v>
      </c>
    </row>
    <row r="28" spans="1:5" s="243" customFormat="1">
      <c r="A28" s="243">
        <v>25</v>
      </c>
      <c r="B28" s="244">
        <v>41635</v>
      </c>
      <c r="C28" s="243" t="s">
        <v>13</v>
      </c>
      <c r="D28" s="243" t="s">
        <v>22</v>
      </c>
      <c r="E28" s="245">
        <v>227.34</v>
      </c>
    </row>
    <row r="29" spans="1:5" s="243" customFormat="1">
      <c r="A29" s="243">
        <v>26</v>
      </c>
      <c r="B29" s="244">
        <v>41635</v>
      </c>
      <c r="C29" s="243" t="s">
        <v>13</v>
      </c>
      <c r="D29" s="243" t="s">
        <v>22</v>
      </c>
      <c r="E29" s="245">
        <v>105.32</v>
      </c>
    </row>
    <row r="30" spans="1:5" s="243" customFormat="1">
      <c r="A30" s="243">
        <v>27</v>
      </c>
      <c r="B30" s="244">
        <v>41638</v>
      </c>
      <c r="C30" s="243" t="s">
        <v>60</v>
      </c>
      <c r="D30" s="243" t="s">
        <v>61</v>
      </c>
      <c r="E30" s="245">
        <v>16</v>
      </c>
    </row>
    <row r="31" spans="1:5" s="243" customFormat="1">
      <c r="A31" s="243">
        <v>28</v>
      </c>
      <c r="B31" s="244">
        <v>41638</v>
      </c>
      <c r="C31" s="243" t="s">
        <v>134</v>
      </c>
      <c r="D31" s="243" t="s">
        <v>135</v>
      </c>
      <c r="E31" s="245">
        <v>780</v>
      </c>
    </row>
    <row r="32" spans="1:5" s="243" customFormat="1">
      <c r="A32" s="243">
        <v>29</v>
      </c>
      <c r="B32" s="244">
        <v>41645</v>
      </c>
      <c r="C32" s="243" t="s">
        <v>42</v>
      </c>
      <c r="D32" s="243" t="s">
        <v>43</v>
      </c>
      <c r="E32" s="245">
        <v>94.6</v>
      </c>
    </row>
    <row r="33" spans="1:6">
      <c r="A33" s="243">
        <v>30</v>
      </c>
      <c r="B33" s="244">
        <v>41647</v>
      </c>
      <c r="C33" s="243" t="s">
        <v>113</v>
      </c>
      <c r="D33" s="243" t="s">
        <v>114</v>
      </c>
      <c r="E33" s="245">
        <v>90</v>
      </c>
    </row>
    <row r="34" spans="1:6" s="243" customFormat="1">
      <c r="A34" s="243">
        <v>31</v>
      </c>
      <c r="B34" s="244">
        <v>41648</v>
      </c>
      <c r="C34" s="243" t="s">
        <v>13</v>
      </c>
      <c r="D34" s="243" t="s">
        <v>23</v>
      </c>
      <c r="E34" s="245">
        <v>83.68</v>
      </c>
    </row>
    <row r="35" spans="1:6" s="243" customFormat="1">
      <c r="A35" s="243">
        <v>32</v>
      </c>
      <c r="B35" s="313">
        <v>41650</v>
      </c>
      <c r="C35" s="314" t="s">
        <v>97</v>
      </c>
      <c r="D35" s="314" t="s">
        <v>98</v>
      </c>
      <c r="E35" s="315">
        <v>1400</v>
      </c>
      <c r="F35" s="243" t="s">
        <v>99</v>
      </c>
    </row>
    <row r="36" spans="1:6" s="243" customFormat="1">
      <c r="A36" s="243">
        <v>33</v>
      </c>
      <c r="B36" s="244">
        <v>41651</v>
      </c>
      <c r="C36" s="243" t="s">
        <v>87</v>
      </c>
      <c r="D36" s="243" t="s">
        <v>91</v>
      </c>
      <c r="E36" s="245">
        <v>846.44</v>
      </c>
    </row>
    <row r="37" spans="1:6" s="243" customFormat="1">
      <c r="A37" s="243">
        <v>34</v>
      </c>
      <c r="B37" s="244">
        <v>41699</v>
      </c>
      <c r="C37" s="243" t="s">
        <v>70</v>
      </c>
      <c r="D37" s="243" t="s">
        <v>71</v>
      </c>
      <c r="E37" s="245">
        <v>843.75</v>
      </c>
    </row>
    <row r="38" spans="1:6" s="243" customFormat="1">
      <c r="A38" s="243">
        <v>35</v>
      </c>
      <c r="B38" s="244">
        <v>41741</v>
      </c>
      <c r="C38" s="243" t="s">
        <v>77</v>
      </c>
      <c r="D38" s="243" t="s">
        <v>78</v>
      </c>
      <c r="E38" s="245">
        <v>85.52</v>
      </c>
    </row>
    <row r="39" spans="1:6" s="243" customFormat="1">
      <c r="A39" s="243">
        <v>36</v>
      </c>
      <c r="B39" s="244">
        <v>41741</v>
      </c>
      <c r="C39" s="243" t="s">
        <v>77</v>
      </c>
      <c r="D39" s="243" t="s">
        <v>79</v>
      </c>
      <c r="E39" s="245">
        <v>461.15</v>
      </c>
    </row>
    <row r="40" spans="1:6" s="243" customFormat="1">
      <c r="A40" s="243">
        <v>37</v>
      </c>
      <c r="B40" s="244">
        <v>41785</v>
      </c>
      <c r="C40" s="243" t="s">
        <v>143</v>
      </c>
      <c r="D40" s="243" t="s">
        <v>146</v>
      </c>
      <c r="E40" s="245">
        <v>625</v>
      </c>
    </row>
    <row r="41" spans="1:6" s="243" customFormat="1">
      <c r="A41" s="243">
        <v>38</v>
      </c>
      <c r="B41" s="244">
        <v>41793</v>
      </c>
      <c r="C41" s="243" t="s">
        <v>143</v>
      </c>
      <c r="D41" s="243" t="s">
        <v>146</v>
      </c>
      <c r="E41" s="245">
        <v>625</v>
      </c>
    </row>
    <row r="42" spans="1:6" s="243" customFormat="1">
      <c r="A42" s="243">
        <v>39</v>
      </c>
      <c r="B42" s="244">
        <v>41791</v>
      </c>
      <c r="C42" s="243" t="s">
        <v>70</v>
      </c>
      <c r="D42" s="243" t="s">
        <v>71</v>
      </c>
      <c r="E42" s="245">
        <v>2150</v>
      </c>
    </row>
    <row r="43" spans="1:6" s="243" customFormat="1">
      <c r="A43" s="243">
        <v>40</v>
      </c>
      <c r="B43" s="244">
        <v>41793</v>
      </c>
      <c r="C43" s="243" t="s">
        <v>84</v>
      </c>
      <c r="D43" s="243" t="s">
        <v>85</v>
      </c>
      <c r="E43" s="245">
        <v>89.11</v>
      </c>
    </row>
    <row r="44" spans="1:6" s="243" customFormat="1">
      <c r="A44" s="243">
        <v>41</v>
      </c>
      <c r="B44" s="244">
        <v>41822</v>
      </c>
      <c r="C44" s="243" t="s">
        <v>150</v>
      </c>
      <c r="D44" s="243" t="s">
        <v>122</v>
      </c>
      <c r="E44" s="245">
        <v>27</v>
      </c>
    </row>
    <row r="45" spans="1:6" s="243" customFormat="1">
      <c r="A45" s="243">
        <v>42</v>
      </c>
      <c r="B45" s="244">
        <v>41857</v>
      </c>
      <c r="C45" s="243" t="s">
        <v>109</v>
      </c>
      <c r="D45" s="243" t="s">
        <v>110</v>
      </c>
      <c r="E45" s="245">
        <v>4424.8599999999997</v>
      </c>
    </row>
    <row r="46" spans="1:6" s="243" customFormat="1">
      <c r="A46" s="243">
        <v>43</v>
      </c>
      <c r="B46" s="244">
        <v>41857</v>
      </c>
      <c r="C46" s="243" t="s">
        <v>62</v>
      </c>
      <c r="D46" s="243" t="s">
        <v>63</v>
      </c>
      <c r="E46" s="245">
        <v>25</v>
      </c>
    </row>
    <row r="47" spans="1:6" s="243" customFormat="1">
      <c r="A47" s="243">
        <v>44</v>
      </c>
      <c r="B47" s="244">
        <v>41860</v>
      </c>
      <c r="C47" s="243" t="s">
        <v>13</v>
      </c>
      <c r="D47" s="243" t="s">
        <v>24</v>
      </c>
      <c r="E47" s="245">
        <v>66.03</v>
      </c>
    </row>
    <row r="48" spans="1:6" s="243" customFormat="1">
      <c r="A48" s="243">
        <v>45</v>
      </c>
      <c r="B48" s="244">
        <v>41860</v>
      </c>
      <c r="C48" s="243" t="s">
        <v>13</v>
      </c>
      <c r="D48" s="243" t="s">
        <v>25</v>
      </c>
      <c r="E48" s="245">
        <v>57.89</v>
      </c>
    </row>
    <row r="49" spans="1:5" s="243" customFormat="1">
      <c r="A49" s="243">
        <v>46</v>
      </c>
      <c r="B49" s="244">
        <v>41860</v>
      </c>
      <c r="C49" s="243" t="s">
        <v>13</v>
      </c>
      <c r="D49" s="243" t="s">
        <v>17</v>
      </c>
      <c r="E49" s="245">
        <v>60.44</v>
      </c>
    </row>
    <row r="50" spans="1:5" s="243" customFormat="1">
      <c r="A50" s="243">
        <v>47</v>
      </c>
      <c r="B50" s="244">
        <v>41860</v>
      </c>
      <c r="C50" s="243" t="s">
        <v>13</v>
      </c>
      <c r="D50" s="243" t="s">
        <v>17</v>
      </c>
      <c r="E50" s="245">
        <v>34.97</v>
      </c>
    </row>
    <row r="51" spans="1:5">
      <c r="A51" s="243">
        <v>48</v>
      </c>
      <c r="B51" s="241">
        <v>41860</v>
      </c>
      <c r="C51" s="234" t="s">
        <v>129</v>
      </c>
      <c r="D51" s="234" t="s">
        <v>130</v>
      </c>
      <c r="E51" s="242">
        <v>284.75</v>
      </c>
    </row>
    <row r="52" spans="1:5" s="243" customFormat="1">
      <c r="A52" s="243">
        <v>49</v>
      </c>
      <c r="B52" s="244">
        <v>41863</v>
      </c>
      <c r="C52" s="243" t="s">
        <v>111</v>
      </c>
      <c r="D52" s="243" t="s">
        <v>112</v>
      </c>
      <c r="E52" s="245">
        <v>1937</v>
      </c>
    </row>
    <row r="53" spans="1:5" s="243" customFormat="1">
      <c r="A53" s="243">
        <v>50</v>
      </c>
      <c r="B53" s="244">
        <v>41863</v>
      </c>
      <c r="C53" s="243" t="s">
        <v>143</v>
      </c>
      <c r="D53" s="243" t="s">
        <v>147</v>
      </c>
      <c r="E53" s="245">
        <v>7829</v>
      </c>
    </row>
    <row r="54" spans="1:5" s="243" customFormat="1">
      <c r="A54" s="243">
        <v>51</v>
      </c>
      <c r="B54" s="244">
        <v>41864</v>
      </c>
      <c r="C54" s="243" t="s">
        <v>138</v>
      </c>
      <c r="D54" s="243" t="s">
        <v>139</v>
      </c>
      <c r="E54" s="245">
        <v>1144.28</v>
      </c>
    </row>
    <row r="55" spans="1:5" s="243" customFormat="1">
      <c r="A55" s="243">
        <v>52</v>
      </c>
      <c r="B55" s="244">
        <v>41864</v>
      </c>
      <c r="C55" s="243" t="s">
        <v>73</v>
      </c>
      <c r="D55" s="243" t="s">
        <v>74</v>
      </c>
      <c r="E55" s="245">
        <v>243.56</v>
      </c>
    </row>
    <row r="56" spans="1:5" s="243" customFormat="1">
      <c r="A56" s="243">
        <v>53</v>
      </c>
      <c r="B56" s="244">
        <v>41865</v>
      </c>
      <c r="C56" s="243" t="s">
        <v>55</v>
      </c>
      <c r="D56" s="243" t="s">
        <v>56</v>
      </c>
      <c r="E56" s="245">
        <v>950</v>
      </c>
    </row>
    <row r="57" spans="1:5" s="243" customFormat="1">
      <c r="A57" s="243">
        <v>54</v>
      </c>
      <c r="B57" s="244">
        <v>41865</v>
      </c>
      <c r="C57" s="243" t="s">
        <v>13</v>
      </c>
      <c r="D57" s="243" t="s">
        <v>26</v>
      </c>
      <c r="E57" s="245">
        <v>231.49</v>
      </c>
    </row>
    <row r="58" spans="1:5" s="243" customFormat="1">
      <c r="A58" s="243">
        <v>55</v>
      </c>
      <c r="B58" s="244">
        <v>41865</v>
      </c>
      <c r="C58" s="243" t="s">
        <v>13</v>
      </c>
      <c r="D58" s="243" t="s">
        <v>27</v>
      </c>
      <c r="E58" s="245">
        <v>11.7</v>
      </c>
    </row>
    <row r="59" spans="1:5" s="243" customFormat="1">
      <c r="A59" s="243">
        <v>56</v>
      </c>
      <c r="B59" s="244">
        <v>41865</v>
      </c>
      <c r="C59" s="243" t="s">
        <v>13</v>
      </c>
      <c r="D59" s="243" t="s">
        <v>28</v>
      </c>
      <c r="E59" s="245">
        <v>536.22</v>
      </c>
    </row>
    <row r="60" spans="1:5">
      <c r="A60" s="243">
        <v>57</v>
      </c>
      <c r="B60" s="241">
        <v>41865</v>
      </c>
      <c r="C60" s="234" t="s">
        <v>13</v>
      </c>
      <c r="D60" s="234" t="s">
        <v>29</v>
      </c>
      <c r="E60" s="242">
        <v>129.51</v>
      </c>
    </row>
    <row r="61" spans="1:5">
      <c r="A61" s="243">
        <v>58</v>
      </c>
      <c r="B61" s="241">
        <v>41868</v>
      </c>
      <c r="C61" s="234" t="s">
        <v>154</v>
      </c>
      <c r="D61" s="234" t="s">
        <v>155</v>
      </c>
      <c r="E61" s="242">
        <f>238-75.99-70.8</f>
        <v>91.21</v>
      </c>
    </row>
    <row r="62" spans="1:5">
      <c r="A62" s="243">
        <v>59</v>
      </c>
      <c r="B62" s="241">
        <v>41868</v>
      </c>
      <c r="C62" s="234" t="s">
        <v>154</v>
      </c>
      <c r="D62" s="234" t="s">
        <v>156</v>
      </c>
      <c r="E62" s="242">
        <f>75.99+70.8</f>
        <v>146.79</v>
      </c>
    </row>
    <row r="63" spans="1:5">
      <c r="A63" s="243">
        <v>60</v>
      </c>
      <c r="B63" s="241">
        <v>41870</v>
      </c>
      <c r="C63" s="234" t="s">
        <v>13</v>
      </c>
      <c r="D63" s="234" t="s">
        <v>30</v>
      </c>
      <c r="E63" s="242">
        <v>31.54</v>
      </c>
    </row>
    <row r="64" spans="1:5" s="243" customFormat="1">
      <c r="A64" s="243">
        <v>61</v>
      </c>
      <c r="B64" s="244">
        <v>41871</v>
      </c>
      <c r="C64" s="243" t="s">
        <v>13</v>
      </c>
      <c r="D64" s="243" t="s">
        <v>26</v>
      </c>
      <c r="E64" s="245">
        <v>247.6</v>
      </c>
    </row>
    <row r="65" spans="1:6" s="243" customFormat="1">
      <c r="A65" s="243">
        <v>62</v>
      </c>
      <c r="B65" s="244">
        <v>41873</v>
      </c>
      <c r="C65" s="243" t="s">
        <v>107</v>
      </c>
      <c r="D65" s="243" t="s">
        <v>108</v>
      </c>
      <c r="E65" s="245">
        <v>2323.6799999999998</v>
      </c>
    </row>
    <row r="66" spans="1:6" s="243" customFormat="1">
      <c r="A66" s="243">
        <v>63</v>
      </c>
      <c r="B66" s="244">
        <v>41877</v>
      </c>
      <c r="C66" s="243" t="s">
        <v>13</v>
      </c>
      <c r="D66" s="243" t="s">
        <v>19</v>
      </c>
      <c r="E66" s="245">
        <v>175.79</v>
      </c>
    </row>
    <row r="67" spans="1:6" s="243" customFormat="1">
      <c r="A67" s="243">
        <v>64</v>
      </c>
      <c r="B67" s="244">
        <v>41878</v>
      </c>
      <c r="C67" s="243" t="s">
        <v>113</v>
      </c>
      <c r="D67" s="243" t="s">
        <v>115</v>
      </c>
      <c r="E67" s="245">
        <v>300</v>
      </c>
    </row>
    <row r="68" spans="1:6" s="243" customFormat="1">
      <c r="A68" s="243">
        <v>65</v>
      </c>
      <c r="B68" s="244">
        <v>41880</v>
      </c>
      <c r="C68" s="243" t="s">
        <v>131</v>
      </c>
      <c r="D68" s="243" t="s">
        <v>132</v>
      </c>
      <c r="E68" s="245">
        <v>2684.76</v>
      </c>
      <c r="F68" s="352" t="s">
        <v>7</v>
      </c>
    </row>
    <row r="69" spans="1:6" s="243" customFormat="1">
      <c r="A69" s="243">
        <v>66</v>
      </c>
      <c r="B69" s="244">
        <v>41892</v>
      </c>
      <c r="C69" s="243" t="s">
        <v>13</v>
      </c>
      <c r="D69" s="243" t="s">
        <v>31</v>
      </c>
      <c r="E69" s="245">
        <v>15.9</v>
      </c>
    </row>
    <row r="70" spans="1:6" s="243" customFormat="1">
      <c r="A70" s="243">
        <v>67</v>
      </c>
      <c r="B70" s="244">
        <v>41892</v>
      </c>
      <c r="C70" s="243" t="s">
        <v>13</v>
      </c>
      <c r="D70" s="243" t="s">
        <v>32</v>
      </c>
      <c r="E70" s="245">
        <v>69.48</v>
      </c>
    </row>
    <row r="71" spans="1:6">
      <c r="A71" s="243">
        <v>68</v>
      </c>
      <c r="B71" s="241">
        <v>41893</v>
      </c>
      <c r="C71" s="276" t="s">
        <v>150</v>
      </c>
      <c r="D71" s="276" t="s">
        <v>153</v>
      </c>
      <c r="E71" s="245">
        <v>300</v>
      </c>
    </row>
    <row r="72" spans="1:6">
      <c r="A72" s="243">
        <v>69</v>
      </c>
      <c r="B72" s="241">
        <v>41879</v>
      </c>
      <c r="C72" s="303" t="s">
        <v>118</v>
      </c>
      <c r="D72" s="303" t="s">
        <v>120</v>
      </c>
      <c r="E72" s="304">
        <v>11478</v>
      </c>
    </row>
    <row r="73" spans="1:6">
      <c r="A73" s="243">
        <v>70</v>
      </c>
      <c r="B73" s="241">
        <v>41893</v>
      </c>
      <c r="C73" s="276" t="s">
        <v>37</v>
      </c>
      <c r="D73" s="276" t="s">
        <v>38</v>
      </c>
      <c r="E73" s="242">
        <f>495+40</f>
        <v>535</v>
      </c>
      <c r="F73" s="276" t="s">
        <v>11</v>
      </c>
    </row>
    <row r="74" spans="1:6">
      <c r="A74" s="243">
        <v>71</v>
      </c>
      <c r="B74" s="241">
        <v>41910</v>
      </c>
      <c r="C74" s="276" t="s">
        <v>66</v>
      </c>
      <c r="D74" s="276" t="s">
        <v>67</v>
      </c>
      <c r="E74" s="242">
        <v>31.21</v>
      </c>
      <c r="F74" s="276" t="s">
        <v>11</v>
      </c>
    </row>
    <row r="75" spans="1:6">
      <c r="A75" s="243">
        <v>72</v>
      </c>
      <c r="B75" s="241">
        <v>41908</v>
      </c>
      <c r="C75" s="303" t="s">
        <v>118</v>
      </c>
      <c r="D75" s="303" t="s">
        <v>121</v>
      </c>
      <c r="E75" s="304">
        <v>825</v>
      </c>
      <c r="F75" s="276" t="s">
        <v>11</v>
      </c>
    </row>
    <row r="76" spans="1:6">
      <c r="A76" s="243">
        <v>73</v>
      </c>
      <c r="B76" s="241">
        <v>41921</v>
      </c>
      <c r="C76" s="276" t="s">
        <v>39</v>
      </c>
      <c r="D76" s="276" t="s">
        <v>40</v>
      </c>
      <c r="E76" s="242">
        <v>2000</v>
      </c>
      <c r="F76" s="276" t="s">
        <v>7</v>
      </c>
    </row>
    <row r="77" spans="1:6">
      <c r="A77" s="243">
        <v>75</v>
      </c>
      <c r="B77" s="241">
        <v>41924</v>
      </c>
      <c r="C77" s="276" t="s">
        <v>64</v>
      </c>
      <c r="D77" s="276" t="s">
        <v>65</v>
      </c>
      <c r="E77" s="242">
        <v>147.07</v>
      </c>
      <c r="F77" s="276" t="s">
        <v>11</v>
      </c>
    </row>
    <row r="78" spans="1:6">
      <c r="A78" s="243">
        <v>76</v>
      </c>
      <c r="B78" s="241">
        <v>41925</v>
      </c>
      <c r="C78" s="351" t="s">
        <v>143</v>
      </c>
      <c r="D78" s="276" t="s">
        <v>148</v>
      </c>
      <c r="E78" s="242">
        <v>4893</v>
      </c>
      <c r="F78" s="276" t="s">
        <v>7</v>
      </c>
    </row>
    <row r="79" spans="1:6">
      <c r="A79" s="243">
        <v>77</v>
      </c>
      <c r="B79" s="241">
        <v>41925</v>
      </c>
      <c r="C79" s="276" t="s">
        <v>136</v>
      </c>
      <c r="D79" s="276" t="s">
        <v>137</v>
      </c>
      <c r="E79" s="242">
        <v>510.31</v>
      </c>
      <c r="F79" s="276" t="s">
        <v>7</v>
      </c>
    </row>
    <row r="80" spans="1:6">
      <c r="A80" s="243">
        <v>78</v>
      </c>
      <c r="B80" s="277">
        <v>41926</v>
      </c>
      <c r="C80" s="276" t="s">
        <v>82</v>
      </c>
      <c r="D80" s="276" t="s">
        <v>83</v>
      </c>
      <c r="E80" s="242">
        <v>17.54</v>
      </c>
      <c r="F80" s="276" t="s">
        <v>11</v>
      </c>
    </row>
    <row r="81" spans="1:6">
      <c r="A81" s="243">
        <v>79</v>
      </c>
      <c r="B81" s="277">
        <v>41926</v>
      </c>
      <c r="C81" s="276" t="s">
        <v>133</v>
      </c>
      <c r="D81" s="276" t="s">
        <v>132</v>
      </c>
      <c r="E81" s="242">
        <v>2147.8000000000002</v>
      </c>
      <c r="F81" s="276" t="s">
        <v>7</v>
      </c>
    </row>
    <row r="82" spans="1:6">
      <c r="A82" s="243">
        <v>80</v>
      </c>
      <c r="B82" s="277">
        <v>41930</v>
      </c>
      <c r="C82" s="243" t="s">
        <v>157</v>
      </c>
      <c r="D82" s="276" t="s">
        <v>159</v>
      </c>
      <c r="E82" s="242">
        <v>386.01</v>
      </c>
      <c r="F82" s="276" t="s">
        <v>11</v>
      </c>
    </row>
    <row r="83" spans="1:6">
      <c r="A83" s="243">
        <v>81</v>
      </c>
      <c r="B83" s="277">
        <v>41929</v>
      </c>
      <c r="C83" s="275" t="s">
        <v>58</v>
      </c>
      <c r="D83" s="276" t="s">
        <v>59</v>
      </c>
      <c r="E83" s="242">
        <v>270.63</v>
      </c>
      <c r="F83" s="276" t="s">
        <v>11</v>
      </c>
    </row>
    <row r="84" spans="1:6">
      <c r="A84" s="243">
        <v>82</v>
      </c>
      <c r="B84" s="277">
        <v>41929</v>
      </c>
      <c r="C84" s="303" t="s">
        <v>118</v>
      </c>
      <c r="D84" s="303" t="s">
        <v>122</v>
      </c>
      <c r="E84" s="304">
        <v>43994.7</v>
      </c>
      <c r="F84" s="276" t="s">
        <v>7</v>
      </c>
    </row>
    <row r="85" spans="1:6">
      <c r="A85" s="243">
        <v>83</v>
      </c>
      <c r="B85" s="277">
        <v>41933</v>
      </c>
      <c r="C85" s="275" t="s">
        <v>9</v>
      </c>
      <c r="D85" s="276" t="s">
        <v>10</v>
      </c>
      <c r="E85" s="242">
        <v>365.34</v>
      </c>
      <c r="F85" s="276" t="s">
        <v>11</v>
      </c>
    </row>
    <row r="86" spans="1:6">
      <c r="A86" s="243">
        <v>84</v>
      </c>
      <c r="B86" s="277">
        <v>41935</v>
      </c>
      <c r="C86" s="350" t="s">
        <v>5</v>
      </c>
      <c r="D86" s="350" t="s">
        <v>6</v>
      </c>
      <c r="E86" s="307">
        <f>4855+12198.58</f>
        <v>17053.580000000002</v>
      </c>
      <c r="F86" s="351" t="s">
        <v>7</v>
      </c>
    </row>
    <row r="87" spans="1:6" s="282" customFormat="1">
      <c r="A87" s="282">
        <v>85</v>
      </c>
      <c r="B87" s="301">
        <v>41940</v>
      </c>
      <c r="C87" s="282" t="s">
        <v>116</v>
      </c>
      <c r="D87" s="282" t="s">
        <v>117</v>
      </c>
      <c r="E87" s="302">
        <v>5182</v>
      </c>
      <c r="F87" s="282" t="s">
        <v>7</v>
      </c>
    </row>
    <row r="88" spans="1:6" s="255" customFormat="1">
      <c r="A88" s="243">
        <v>86</v>
      </c>
      <c r="B88" s="281">
        <v>41941</v>
      </c>
      <c r="C88" s="305" t="s">
        <v>141</v>
      </c>
      <c r="D88" s="305" t="s">
        <v>142</v>
      </c>
      <c r="E88" s="306">
        <v>4913</v>
      </c>
      <c r="F88" s="255" t="s">
        <v>7</v>
      </c>
    </row>
    <row r="89" spans="1:6" s="255" customFormat="1">
      <c r="A89" s="243">
        <v>87</v>
      </c>
      <c r="B89" s="353">
        <v>41945</v>
      </c>
      <c r="C89" s="352" t="s">
        <v>53</v>
      </c>
      <c r="D89" s="351" t="s">
        <v>54</v>
      </c>
      <c r="E89" s="354">
        <v>132.32</v>
      </c>
      <c r="F89" s="255" t="s">
        <v>11</v>
      </c>
    </row>
    <row r="90" spans="1:6" s="280" customFormat="1">
      <c r="A90" s="243">
        <v>88</v>
      </c>
      <c r="B90" s="281">
        <v>41946</v>
      </c>
      <c r="C90" s="280" t="s">
        <v>140</v>
      </c>
      <c r="D90" s="280" t="s">
        <v>139</v>
      </c>
      <c r="E90" s="283">
        <v>657.54</v>
      </c>
      <c r="F90" s="280" t="s">
        <v>7</v>
      </c>
    </row>
    <row r="91" spans="1:6" s="280" customFormat="1">
      <c r="A91" s="243">
        <v>89</v>
      </c>
      <c r="B91" s="293">
        <v>41946</v>
      </c>
      <c r="C91" s="294" t="s">
        <v>87</v>
      </c>
      <c r="D91" s="294" t="s">
        <v>92</v>
      </c>
      <c r="E91" s="295">
        <v>67.27</v>
      </c>
      <c r="F91" s="296" t="s">
        <v>11</v>
      </c>
    </row>
    <row r="92" spans="1:6" s="255" customFormat="1">
      <c r="A92" s="243">
        <v>90</v>
      </c>
      <c r="B92" s="281">
        <v>41947</v>
      </c>
      <c r="C92" s="305" t="s">
        <v>143</v>
      </c>
      <c r="D92" s="305" t="s">
        <v>149</v>
      </c>
      <c r="E92" s="306">
        <v>3914</v>
      </c>
      <c r="F92" s="255" t="s">
        <v>7</v>
      </c>
    </row>
    <row r="93" spans="1:6" s="280" customFormat="1">
      <c r="A93" s="243">
        <v>91</v>
      </c>
      <c r="B93" s="281">
        <v>41950</v>
      </c>
      <c r="C93" s="280" t="s">
        <v>140</v>
      </c>
      <c r="D93" s="280" t="s">
        <v>139</v>
      </c>
      <c r="E93" s="283">
        <v>457.96</v>
      </c>
      <c r="F93" s="280" t="s">
        <v>7</v>
      </c>
    </row>
    <row r="94" spans="1:6" s="255" customFormat="1">
      <c r="A94" s="243">
        <v>92</v>
      </c>
      <c r="B94" s="353">
        <v>41951</v>
      </c>
      <c r="C94" s="352" t="s">
        <v>13</v>
      </c>
      <c r="D94" s="351" t="s">
        <v>33</v>
      </c>
      <c r="E94" s="354">
        <f>40.05+20.76+39.97+26.55+48.7+69.28+62.58</f>
        <v>307.89</v>
      </c>
      <c r="F94" s="255" t="s">
        <v>7</v>
      </c>
    </row>
    <row r="95" spans="1:6" s="255" customFormat="1">
      <c r="A95" s="243">
        <v>93</v>
      </c>
      <c r="B95" s="281">
        <v>41954</v>
      </c>
      <c r="C95" s="305" t="s">
        <v>116</v>
      </c>
      <c r="D95" s="305" t="s">
        <v>117</v>
      </c>
      <c r="E95" s="306">
        <v>5200</v>
      </c>
      <c r="F95" s="280" t="s">
        <v>7</v>
      </c>
    </row>
    <row r="96" spans="1:6" s="255" customFormat="1">
      <c r="A96" s="243">
        <v>94</v>
      </c>
      <c r="B96" s="281">
        <v>41956</v>
      </c>
      <c r="C96" s="305" t="s">
        <v>105</v>
      </c>
      <c r="D96" s="305" t="s">
        <v>106</v>
      </c>
      <c r="E96" s="306">
        <f>8500+500+160+100</f>
        <v>9260</v>
      </c>
      <c r="F96" s="255" t="s">
        <v>7</v>
      </c>
    </row>
    <row r="97" spans="1:6" s="255" customFormat="1">
      <c r="A97" s="243">
        <v>95</v>
      </c>
      <c r="B97" s="281">
        <v>41957</v>
      </c>
      <c r="C97" s="305" t="s">
        <v>116</v>
      </c>
      <c r="D97" s="305" t="s">
        <v>117</v>
      </c>
      <c r="E97" s="306">
        <v>4300</v>
      </c>
      <c r="F97" s="280" t="s">
        <v>7</v>
      </c>
    </row>
    <row r="98" spans="1:6" s="255" customFormat="1">
      <c r="A98" s="243">
        <v>96</v>
      </c>
      <c r="B98" s="281">
        <v>41958</v>
      </c>
      <c r="C98" s="282" t="s">
        <v>75</v>
      </c>
      <c r="D98" s="280" t="s">
        <v>76</v>
      </c>
      <c r="E98" s="283">
        <v>81.19</v>
      </c>
      <c r="F98" s="280" t="s">
        <v>7</v>
      </c>
    </row>
    <row r="99" spans="1:6" s="278" customFormat="1">
      <c r="A99" s="243">
        <v>97</v>
      </c>
      <c r="B99" s="301">
        <v>41960</v>
      </c>
      <c r="C99" s="305" t="s">
        <v>44</v>
      </c>
      <c r="D99" s="305" t="s">
        <v>45</v>
      </c>
      <c r="E99" s="306">
        <v>5000</v>
      </c>
      <c r="F99" s="278" t="s">
        <v>7</v>
      </c>
    </row>
    <row r="100" spans="1:6" s="255" customFormat="1">
      <c r="A100" s="243">
        <v>98</v>
      </c>
      <c r="B100" s="281">
        <v>41960</v>
      </c>
      <c r="C100" s="282" t="s">
        <v>87</v>
      </c>
      <c r="D100" s="280" t="s">
        <v>93</v>
      </c>
      <c r="E100" s="283">
        <v>65.17</v>
      </c>
      <c r="F100" s="280" t="s">
        <v>11</v>
      </c>
    </row>
    <row r="101" spans="1:6" s="255" customFormat="1">
      <c r="A101" s="243">
        <v>99</v>
      </c>
      <c r="B101" s="281">
        <v>41963</v>
      </c>
      <c r="C101" s="282" t="s">
        <v>87</v>
      </c>
      <c r="D101" s="280" t="s">
        <v>93</v>
      </c>
      <c r="E101" s="283">
        <v>31.34</v>
      </c>
      <c r="F101" s="255" t="s">
        <v>11</v>
      </c>
    </row>
    <row r="102" spans="1:6" s="255" customFormat="1">
      <c r="A102" s="243">
        <v>100</v>
      </c>
      <c r="B102" s="281">
        <v>41964</v>
      </c>
      <c r="C102" s="282" t="s">
        <v>100</v>
      </c>
      <c r="D102" s="280" t="s">
        <v>101</v>
      </c>
      <c r="E102" s="283">
        <v>2425.21</v>
      </c>
      <c r="F102" s="255" t="s">
        <v>7</v>
      </c>
    </row>
    <row r="103" spans="1:6" s="255" customFormat="1">
      <c r="A103" s="243">
        <v>101</v>
      </c>
      <c r="B103" s="281">
        <v>41964</v>
      </c>
      <c r="C103" s="305" t="s">
        <v>49</v>
      </c>
      <c r="D103" s="305" t="s">
        <v>50</v>
      </c>
      <c r="E103" s="306">
        <v>1790.04</v>
      </c>
      <c r="F103" s="255" t="s">
        <v>7</v>
      </c>
    </row>
    <row r="104" spans="1:6" s="280" customFormat="1">
      <c r="A104" s="243">
        <v>102</v>
      </c>
      <c r="B104" s="281">
        <v>41964</v>
      </c>
      <c r="C104" s="282" t="s">
        <v>129</v>
      </c>
      <c r="D104" s="280" t="s">
        <v>130</v>
      </c>
      <c r="E104" s="283">
        <v>304.75</v>
      </c>
      <c r="F104" s="280" t="s">
        <v>7</v>
      </c>
    </row>
    <row r="105" spans="1:6" s="255" customFormat="1">
      <c r="A105" s="243">
        <v>103</v>
      </c>
      <c r="B105" s="281">
        <v>41969</v>
      </c>
      <c r="C105" s="282" t="s">
        <v>87</v>
      </c>
      <c r="D105" s="280" t="s">
        <v>93</v>
      </c>
      <c r="E105" s="283">
        <v>6.57</v>
      </c>
      <c r="F105" s="255" t="s">
        <v>11</v>
      </c>
    </row>
    <row r="106" spans="1:6" s="255" customFormat="1">
      <c r="A106" s="243">
        <v>104</v>
      </c>
      <c r="B106" s="281">
        <v>41969</v>
      </c>
      <c r="C106" s="282" t="s">
        <v>5</v>
      </c>
      <c r="D106" s="280" t="s">
        <v>8</v>
      </c>
      <c r="E106" s="283">
        <v>13408.19</v>
      </c>
      <c r="F106" s="255" t="s">
        <v>7</v>
      </c>
    </row>
    <row r="107" spans="1:6" s="255" customFormat="1">
      <c r="A107" s="243">
        <v>105</v>
      </c>
      <c r="B107" s="281">
        <v>41974</v>
      </c>
      <c r="C107" s="282" t="s">
        <v>87</v>
      </c>
      <c r="D107" s="280" t="s">
        <v>94</v>
      </c>
      <c r="E107" s="283">
        <v>6863.26</v>
      </c>
      <c r="F107" s="255" t="s">
        <v>11</v>
      </c>
    </row>
    <row r="108" spans="1:6" s="255" customFormat="1">
      <c r="A108" s="243">
        <v>106</v>
      </c>
      <c r="B108" s="281">
        <v>41975</v>
      </c>
      <c r="C108" s="282" t="s">
        <v>141</v>
      </c>
      <c r="D108" s="280" t="s">
        <v>142</v>
      </c>
      <c r="E108" s="283">
        <v>5896</v>
      </c>
      <c r="F108" s="255" t="s">
        <v>7</v>
      </c>
    </row>
    <row r="109" spans="1:6" s="255" customFormat="1">
      <c r="A109" s="243">
        <v>107</v>
      </c>
      <c r="B109" s="301">
        <v>41976</v>
      </c>
      <c r="C109" s="282" t="s">
        <v>44</v>
      </c>
      <c r="D109" s="282" t="s">
        <v>46</v>
      </c>
      <c r="E109" s="302">
        <v>5000</v>
      </c>
      <c r="F109" s="255" t="s">
        <v>7</v>
      </c>
    </row>
    <row r="110" spans="1:6" s="255" customFormat="1">
      <c r="A110" s="243">
        <v>108</v>
      </c>
      <c r="B110" s="353">
        <v>41979</v>
      </c>
      <c r="C110" s="352" t="s">
        <v>125</v>
      </c>
      <c r="D110" s="351" t="s">
        <v>126</v>
      </c>
      <c r="E110" s="354">
        <v>199</v>
      </c>
      <c r="F110" s="255" t="s">
        <v>11</v>
      </c>
    </row>
    <row r="111" spans="1:6" s="255" customFormat="1">
      <c r="A111" s="243">
        <v>109</v>
      </c>
      <c r="B111" s="281">
        <v>41979</v>
      </c>
      <c r="C111" s="282" t="s">
        <v>13</v>
      </c>
      <c r="D111" s="280" t="s">
        <v>34</v>
      </c>
      <c r="E111" s="283">
        <v>27</v>
      </c>
      <c r="F111" s="255" t="s">
        <v>11</v>
      </c>
    </row>
    <row r="112" spans="1:6" s="255" customFormat="1">
      <c r="A112" s="243">
        <v>110</v>
      </c>
      <c r="B112" s="281">
        <v>41979</v>
      </c>
      <c r="C112" s="282" t="s">
        <v>13</v>
      </c>
      <c r="D112" s="280" t="s">
        <v>35</v>
      </c>
      <c r="E112" s="283">
        <v>286.8</v>
      </c>
      <c r="F112" s="255" t="s">
        <v>11</v>
      </c>
    </row>
    <row r="113" spans="1:6" s="255" customFormat="1">
      <c r="A113" s="243">
        <v>111</v>
      </c>
      <c r="B113" s="281">
        <v>41979</v>
      </c>
      <c r="C113" s="282" t="s">
        <v>87</v>
      </c>
      <c r="D113" s="280" t="s">
        <v>95</v>
      </c>
      <c r="E113" s="283">
        <v>556.79</v>
      </c>
      <c r="F113" s="255" t="s">
        <v>7</v>
      </c>
    </row>
    <row r="114" spans="1:6" s="255" customFormat="1">
      <c r="A114" s="243">
        <v>112</v>
      </c>
      <c r="B114" s="281">
        <v>41982</v>
      </c>
      <c r="C114" s="282" t="s">
        <v>9</v>
      </c>
      <c r="D114" s="280" t="s">
        <v>12</v>
      </c>
      <c r="E114" s="283">
        <v>235</v>
      </c>
      <c r="F114" s="255" t="s">
        <v>11</v>
      </c>
    </row>
    <row r="115" spans="1:6">
      <c r="A115" s="243">
        <v>113</v>
      </c>
      <c r="B115" s="281">
        <v>41983</v>
      </c>
      <c r="C115" s="305" t="s">
        <v>51</v>
      </c>
      <c r="D115" s="305" t="s">
        <v>52</v>
      </c>
      <c r="E115" s="306">
        <v>3088.37</v>
      </c>
      <c r="F115" s="255" t="s">
        <v>7</v>
      </c>
    </row>
    <row r="116" spans="1:6">
      <c r="A116" s="243">
        <v>114</v>
      </c>
      <c r="B116" s="281">
        <v>41983</v>
      </c>
      <c r="C116" s="282" t="s">
        <v>131</v>
      </c>
      <c r="D116" s="280" t="s">
        <v>132</v>
      </c>
      <c r="E116" s="283">
        <v>536.96</v>
      </c>
      <c r="F116" s="255" t="s">
        <v>7</v>
      </c>
    </row>
    <row r="117" spans="1:6" s="255" customFormat="1">
      <c r="A117" s="243">
        <v>115</v>
      </c>
      <c r="B117" s="281">
        <v>41984</v>
      </c>
      <c r="C117" s="282" t="s">
        <v>44</v>
      </c>
      <c r="D117" s="280" t="s">
        <v>47</v>
      </c>
      <c r="E117" s="283">
        <v>3250</v>
      </c>
      <c r="F117" s="280" t="s">
        <v>7</v>
      </c>
    </row>
    <row r="118" spans="1:6" s="255" customFormat="1">
      <c r="A118" s="243">
        <v>116</v>
      </c>
      <c r="B118" s="281">
        <v>41985</v>
      </c>
      <c r="C118" s="282" t="s">
        <v>123</v>
      </c>
      <c r="D118" s="280" t="s">
        <v>124</v>
      </c>
      <c r="E118" s="283">
        <v>3500</v>
      </c>
      <c r="F118" s="255" t="s">
        <v>7</v>
      </c>
    </row>
    <row r="119" spans="1:6" s="280" customFormat="1">
      <c r="A119" s="280">
        <v>117</v>
      </c>
      <c r="B119" s="281">
        <v>41988</v>
      </c>
      <c r="C119" s="280" t="s">
        <v>75</v>
      </c>
      <c r="D119" s="280" t="s">
        <v>76</v>
      </c>
      <c r="E119" s="283">
        <v>75</v>
      </c>
      <c r="F119" s="280" t="s">
        <v>7</v>
      </c>
    </row>
    <row r="120" spans="1:6" s="255" customFormat="1">
      <c r="A120" s="243">
        <v>118</v>
      </c>
      <c r="B120" s="281">
        <v>41989</v>
      </c>
      <c r="C120" s="305" t="s">
        <v>116</v>
      </c>
      <c r="D120" s="305" t="s">
        <v>117</v>
      </c>
      <c r="E120" s="306">
        <v>1927</v>
      </c>
      <c r="F120" s="255" t="s">
        <v>7</v>
      </c>
    </row>
    <row r="121" spans="1:6" s="280" customFormat="1">
      <c r="A121" s="280">
        <v>119</v>
      </c>
      <c r="B121" s="281">
        <v>41990</v>
      </c>
      <c r="C121" s="280" t="s">
        <v>39</v>
      </c>
      <c r="D121" s="280" t="s">
        <v>41</v>
      </c>
      <c r="E121" s="283">
        <v>6950</v>
      </c>
      <c r="F121" s="280" t="s">
        <v>7</v>
      </c>
    </row>
    <row r="122" spans="1:6" s="255" customFormat="1">
      <c r="A122" s="243">
        <v>120</v>
      </c>
      <c r="B122" s="281">
        <v>41992</v>
      </c>
      <c r="C122" s="280" t="s">
        <v>140</v>
      </c>
      <c r="D122" s="280" t="s">
        <v>139</v>
      </c>
      <c r="E122" s="283">
        <v>1212</v>
      </c>
      <c r="F122" s="255" t="s">
        <v>7</v>
      </c>
    </row>
    <row r="123" spans="1:6" s="255" customFormat="1">
      <c r="A123" s="243">
        <v>121</v>
      </c>
      <c r="B123" s="281">
        <v>41992</v>
      </c>
      <c r="C123" s="280" t="s">
        <v>107</v>
      </c>
      <c r="D123" s="280" t="s">
        <v>108</v>
      </c>
      <c r="E123" s="283">
        <v>26.5</v>
      </c>
      <c r="F123" s="255" t="s">
        <v>7</v>
      </c>
    </row>
    <row r="124" spans="1:6" s="255" customFormat="1">
      <c r="A124" s="243">
        <v>122</v>
      </c>
      <c r="B124" s="281">
        <v>41992</v>
      </c>
      <c r="C124" s="280" t="s">
        <v>55</v>
      </c>
      <c r="D124" s="280" t="s">
        <v>57</v>
      </c>
      <c r="E124" s="283">
        <v>44.44</v>
      </c>
      <c r="F124" s="280" t="s">
        <v>7</v>
      </c>
    </row>
    <row r="125" spans="1:6" s="255" customFormat="1">
      <c r="A125" s="243">
        <v>123</v>
      </c>
      <c r="B125" s="281">
        <v>41993</v>
      </c>
      <c r="C125" s="280" t="s">
        <v>13</v>
      </c>
      <c r="D125" s="280" t="s">
        <v>36</v>
      </c>
      <c r="E125" s="283">
        <v>34.53</v>
      </c>
      <c r="F125" s="255" t="s">
        <v>11</v>
      </c>
    </row>
    <row r="126" spans="1:6" s="255" customFormat="1">
      <c r="A126" s="243">
        <v>124</v>
      </c>
      <c r="B126" s="281">
        <v>41993</v>
      </c>
      <c r="C126" s="280" t="s">
        <v>87</v>
      </c>
      <c r="D126" s="280" t="s">
        <v>96</v>
      </c>
      <c r="E126" s="283">
        <v>84.45</v>
      </c>
      <c r="F126" s="255" t="s">
        <v>11</v>
      </c>
    </row>
    <row r="127" spans="1:6">
      <c r="A127" s="234">
        <v>125</v>
      </c>
      <c r="B127" s="241">
        <v>41995</v>
      </c>
      <c r="C127" s="351" t="s">
        <v>141</v>
      </c>
      <c r="D127" s="351" t="s">
        <v>142</v>
      </c>
      <c r="E127" s="242">
        <v>9017.2199999999993</v>
      </c>
      <c r="F127" s="351" t="s">
        <v>7</v>
      </c>
    </row>
    <row r="128" spans="1:6">
      <c r="A128" s="234">
        <v>126</v>
      </c>
      <c r="B128" s="241">
        <v>41997</v>
      </c>
      <c r="C128" s="351" t="s">
        <v>44</v>
      </c>
      <c r="D128" s="351" t="s">
        <v>48</v>
      </c>
      <c r="E128" s="242">
        <v>2885</v>
      </c>
      <c r="F128" s="351" t="s">
        <v>7</v>
      </c>
    </row>
    <row r="129" spans="1:7">
      <c r="A129" s="234">
        <v>127</v>
      </c>
      <c r="B129" s="241">
        <v>41997</v>
      </c>
      <c r="C129" s="351" t="s">
        <v>80</v>
      </c>
      <c r="D129" s="351" t="s">
        <v>81</v>
      </c>
      <c r="E129" s="242">
        <v>6192</v>
      </c>
      <c r="F129" s="351" t="s">
        <v>7</v>
      </c>
    </row>
    <row r="130" spans="1:7" s="255" customFormat="1">
      <c r="A130" s="351">
        <v>128</v>
      </c>
      <c r="B130" s="353">
        <v>41999</v>
      </c>
      <c r="C130" s="351" t="s">
        <v>77</v>
      </c>
      <c r="D130" s="351" t="s">
        <v>161</v>
      </c>
      <c r="E130" s="354">
        <f>(5975.18+930-186)*1.0825-E133-E131-E132*0.8</f>
        <v>5443.7236300000013</v>
      </c>
      <c r="F130" s="351" t="s">
        <v>7</v>
      </c>
    </row>
    <row r="131" spans="1:7" s="339" customFormat="1">
      <c r="A131" s="351">
        <v>129</v>
      </c>
      <c r="B131" s="353">
        <v>41999</v>
      </c>
      <c r="C131" s="351" t="s">
        <v>77</v>
      </c>
      <c r="D131" s="351" t="s">
        <v>162</v>
      </c>
      <c r="E131" s="354">
        <f>429*1.0825</f>
        <v>464.39249999999998</v>
      </c>
      <c r="F131" s="351" t="s">
        <v>11</v>
      </c>
      <c r="G131" s="351"/>
    </row>
    <row r="132" spans="1:7" s="339" customFormat="1">
      <c r="A132" s="351">
        <v>130</v>
      </c>
      <c r="B132" s="353">
        <v>41999</v>
      </c>
      <c r="C132" s="351" t="s">
        <v>77</v>
      </c>
      <c r="D132" s="351" t="s">
        <v>163</v>
      </c>
      <c r="E132" s="354">
        <f>223.72*1.0825</f>
        <v>242.17689999999999</v>
      </c>
      <c r="F132" s="351" t="s">
        <v>11</v>
      </c>
      <c r="G132" s="351"/>
    </row>
    <row r="133" spans="1:7" s="255" customFormat="1">
      <c r="A133" s="351">
        <v>131</v>
      </c>
      <c r="B133" s="353">
        <v>41999</v>
      </c>
      <c r="C133" s="351" t="s">
        <v>77</v>
      </c>
      <c r="D133" s="351" t="s">
        <v>164</v>
      </c>
      <c r="E133" s="354">
        <f>(470+273+435+30+14.95+70+60)*0.8*1.0825</f>
        <v>1171.6547</v>
      </c>
      <c r="F133" s="351" t="s">
        <v>7</v>
      </c>
      <c r="G133" s="340"/>
    </row>
    <row r="134" spans="1:7" s="334" customFormat="1">
      <c r="A134" s="351">
        <v>132</v>
      </c>
      <c r="B134" s="353">
        <v>41999</v>
      </c>
      <c r="C134" s="351" t="s">
        <v>77</v>
      </c>
      <c r="D134" s="351" t="s">
        <v>165</v>
      </c>
      <c r="E134" s="354">
        <f>(1289-147)*1.0825-E132*0.2</f>
        <v>1187.77962</v>
      </c>
      <c r="F134" s="351" t="s">
        <v>11</v>
      </c>
      <c r="G134" s="351"/>
    </row>
    <row r="135" spans="1:7">
      <c r="A135" s="234">
        <v>133</v>
      </c>
      <c r="B135" s="241">
        <v>42003</v>
      </c>
      <c r="C135" s="351" t="s">
        <v>166</v>
      </c>
      <c r="D135" s="351" t="s">
        <v>167</v>
      </c>
      <c r="E135" s="242">
        <v>4920</v>
      </c>
      <c r="F135" s="351" t="s">
        <v>7</v>
      </c>
      <c r="G135" s="333"/>
    </row>
    <row r="136" spans="1:7" s="255" customFormat="1">
      <c r="A136" s="351">
        <v>134</v>
      </c>
      <c r="B136" s="353">
        <v>42010</v>
      </c>
      <c r="C136" s="351" t="s">
        <v>5</v>
      </c>
      <c r="D136" s="351" t="s">
        <v>6</v>
      </c>
      <c r="E136" s="354">
        <v>736.92</v>
      </c>
      <c r="F136" s="351" t="s">
        <v>7</v>
      </c>
    </row>
    <row r="137" spans="1:7" s="255" customFormat="1">
      <c r="A137" s="351">
        <v>135</v>
      </c>
      <c r="B137" s="353">
        <v>42010</v>
      </c>
      <c r="C137" s="351" t="s">
        <v>87</v>
      </c>
      <c r="D137" s="351" t="s">
        <v>168</v>
      </c>
      <c r="E137" s="354">
        <v>718.83</v>
      </c>
      <c r="F137" s="351" t="s">
        <v>11</v>
      </c>
    </row>
    <row r="138" spans="1:7" s="255" customFormat="1">
      <c r="A138" s="351">
        <v>136</v>
      </c>
      <c r="B138" s="353">
        <v>42010</v>
      </c>
      <c r="C138" s="351" t="s">
        <v>169</v>
      </c>
      <c r="D138" s="351" t="s">
        <v>170</v>
      </c>
      <c r="E138" s="354">
        <v>8120</v>
      </c>
      <c r="F138" s="351" t="s">
        <v>7</v>
      </c>
    </row>
    <row r="139" spans="1:7" s="255" customFormat="1">
      <c r="A139" s="351">
        <v>137</v>
      </c>
      <c r="B139" s="353">
        <v>42010</v>
      </c>
      <c r="C139" s="351" t="s">
        <v>123</v>
      </c>
      <c r="D139" s="351" t="s">
        <v>171</v>
      </c>
      <c r="E139" s="354">
        <v>2500</v>
      </c>
      <c r="F139" s="351" t="s">
        <v>7</v>
      </c>
    </row>
    <row r="140" spans="1:7" s="255" customFormat="1">
      <c r="A140" s="351">
        <v>138</v>
      </c>
      <c r="B140" s="353">
        <v>42010</v>
      </c>
      <c r="C140" s="351" t="s">
        <v>80</v>
      </c>
      <c r="D140" s="351" t="s">
        <v>172</v>
      </c>
      <c r="E140" s="354">
        <v>150</v>
      </c>
      <c r="F140" s="351" t="s">
        <v>7</v>
      </c>
    </row>
    <row r="141" spans="1:7">
      <c r="C141" s="351"/>
      <c r="D141" s="351"/>
      <c r="F141" s="351"/>
    </row>
    <row r="142" spans="1:7">
      <c r="C142" s="351"/>
      <c r="D142" s="351"/>
      <c r="F142" s="351"/>
    </row>
    <row r="143" spans="1:7">
      <c r="E143" s="242">
        <f>SUM(E3:E142)</f>
        <v>275364.02443450002</v>
      </c>
    </row>
  </sheetData>
  <mergeCells count="1">
    <mergeCell ref="B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3"/>
  <sheetViews>
    <sheetView topLeftCell="A201" zoomScale="125" zoomScaleNormal="125" zoomScalePageLayoutView="125" workbookViewId="0">
      <selection activeCell="E200" sqref="E200"/>
    </sheetView>
  </sheetViews>
  <sheetFormatPr defaultColWidth="11" defaultRowHeight="15.75"/>
  <cols>
    <col min="1" max="1" width="7.85546875" style="234" customWidth="1"/>
    <col min="2" max="2" width="22" style="241" customWidth="1"/>
    <col min="3" max="3" width="29.28515625" style="234" customWidth="1"/>
    <col min="4" max="4" width="38.7109375" style="234" customWidth="1"/>
    <col min="5" max="5" width="18.42578125" style="267" customWidth="1"/>
    <col min="6" max="6" width="17.7109375" style="242" customWidth="1"/>
    <col min="7" max="7" width="16.7109375" style="242" customWidth="1"/>
    <col min="8" max="8" width="16.42578125" style="242" customWidth="1"/>
    <col min="9" max="9" width="28.7109375" style="234" customWidth="1"/>
    <col min="10" max="10" width="12.28515625" style="234" bestFit="1" customWidth="1"/>
    <col min="11" max="16384" width="11" style="234"/>
  </cols>
  <sheetData>
    <row r="1" spans="1:9" ht="30">
      <c r="A1" s="251" t="s">
        <v>173</v>
      </c>
      <c r="B1" s="236" t="s">
        <v>1</v>
      </c>
      <c r="C1" s="235" t="s">
        <v>0</v>
      </c>
      <c r="D1" s="235" t="s">
        <v>2</v>
      </c>
      <c r="E1" s="265" t="s">
        <v>3</v>
      </c>
      <c r="F1" s="237" t="s">
        <v>174</v>
      </c>
      <c r="G1" s="237" t="s">
        <v>11</v>
      </c>
      <c r="H1" s="237" t="s">
        <v>7</v>
      </c>
      <c r="I1" s="235" t="s">
        <v>4</v>
      </c>
    </row>
    <row r="2" spans="1:9" s="243" customFormat="1">
      <c r="A2" s="234">
        <v>0</v>
      </c>
      <c r="B2" s="244">
        <v>41579</v>
      </c>
      <c r="C2" s="243" t="s">
        <v>70</v>
      </c>
      <c r="D2" s="243" t="s">
        <v>71</v>
      </c>
      <c r="E2" s="355">
        <v>3874.5</v>
      </c>
      <c r="F2" s="245"/>
      <c r="G2" s="245">
        <v>3874.5</v>
      </c>
      <c r="H2" s="245">
        <f t="shared" ref="H2:H7" si="0">E2-G2</f>
        <v>0</v>
      </c>
      <c r="I2" s="243" t="s">
        <v>72</v>
      </c>
    </row>
    <row r="3" spans="1:9" s="243" customFormat="1">
      <c r="A3" s="234">
        <v>0</v>
      </c>
      <c r="B3" s="244">
        <v>41699</v>
      </c>
      <c r="C3" s="243" t="s">
        <v>70</v>
      </c>
      <c r="D3" s="243" t="s">
        <v>71</v>
      </c>
      <c r="E3" s="355">
        <v>843.75</v>
      </c>
      <c r="F3" s="245"/>
      <c r="G3" s="245">
        <v>843.75</v>
      </c>
      <c r="H3" s="245">
        <f t="shared" si="0"/>
        <v>0</v>
      </c>
    </row>
    <row r="4" spans="1:9" s="243" customFormat="1">
      <c r="A4" s="234">
        <v>0</v>
      </c>
      <c r="B4" s="244">
        <v>74476</v>
      </c>
      <c r="C4" s="243" t="s">
        <v>84</v>
      </c>
      <c r="D4" s="243" t="s">
        <v>85</v>
      </c>
      <c r="E4" s="355">
        <v>102.88</v>
      </c>
      <c r="F4" s="245"/>
      <c r="G4" s="245">
        <v>102.88</v>
      </c>
      <c r="H4" s="245">
        <f t="shared" si="0"/>
        <v>0</v>
      </c>
      <c r="I4" s="243" t="s">
        <v>86</v>
      </c>
    </row>
    <row r="5" spans="1:9" s="243" customFormat="1">
      <c r="A5" s="234">
        <v>0</v>
      </c>
      <c r="B5" s="244">
        <v>41878</v>
      </c>
      <c r="C5" s="243" t="s">
        <v>113</v>
      </c>
      <c r="D5" s="243" t="s">
        <v>115</v>
      </c>
      <c r="E5" s="355">
        <v>300</v>
      </c>
      <c r="F5" s="245"/>
      <c r="G5" s="245">
        <v>300</v>
      </c>
      <c r="H5" s="245">
        <f t="shared" si="0"/>
        <v>0</v>
      </c>
    </row>
    <row r="6" spans="1:9" s="243" customFormat="1">
      <c r="A6" s="234">
        <v>0</v>
      </c>
      <c r="B6" s="244">
        <v>41647</v>
      </c>
      <c r="C6" s="243" t="s">
        <v>113</v>
      </c>
      <c r="D6" s="243" t="s">
        <v>114</v>
      </c>
      <c r="E6" s="355">
        <v>90</v>
      </c>
      <c r="F6" s="245"/>
      <c r="G6" s="245">
        <v>90</v>
      </c>
      <c r="H6" s="245">
        <f t="shared" si="0"/>
        <v>0</v>
      </c>
    </row>
    <row r="7" spans="1:9" s="243" customFormat="1">
      <c r="A7" s="234">
        <v>0</v>
      </c>
      <c r="B7" s="244">
        <v>41479</v>
      </c>
      <c r="C7" s="243" t="s">
        <v>127</v>
      </c>
      <c r="D7" s="243" t="s">
        <v>128</v>
      </c>
      <c r="E7" s="355">
        <v>300</v>
      </c>
      <c r="F7" s="245"/>
      <c r="G7" s="245">
        <v>300</v>
      </c>
      <c r="H7" s="245">
        <f t="shared" si="0"/>
        <v>0</v>
      </c>
    </row>
    <row r="8" spans="1:9" s="243" customFormat="1">
      <c r="A8" s="234"/>
      <c r="B8" s="244"/>
      <c r="E8" s="266"/>
      <c r="F8" s="248">
        <f>SUM(E2:E7)</f>
        <v>5511.13</v>
      </c>
      <c r="G8" s="248">
        <f>SUM(G2:G7)</f>
        <v>5511.13</v>
      </c>
      <c r="H8" s="248">
        <f>SUM(H2:H7)</f>
        <v>0</v>
      </c>
    </row>
    <row r="9" spans="1:9" s="243" customFormat="1">
      <c r="A9" s="234"/>
      <c r="B9" s="244"/>
      <c r="E9" s="355"/>
      <c r="F9" s="245"/>
      <c r="G9" s="245"/>
      <c r="H9" s="245"/>
    </row>
    <row r="10" spans="1:9" s="243" customFormat="1">
      <c r="A10" s="234">
        <v>1</v>
      </c>
      <c r="B10" s="244">
        <v>41611</v>
      </c>
      <c r="C10" s="243" t="s">
        <v>102</v>
      </c>
      <c r="D10" s="243" t="s">
        <v>103</v>
      </c>
      <c r="E10" s="355">
        <v>300</v>
      </c>
      <c r="F10" s="245"/>
      <c r="G10" s="245">
        <v>300</v>
      </c>
      <c r="H10" s="245">
        <f>E10-G10</f>
        <v>0</v>
      </c>
    </row>
    <row r="11" spans="1:9" s="243" customFormat="1">
      <c r="A11" s="234">
        <v>1</v>
      </c>
      <c r="B11" s="244">
        <v>41857</v>
      </c>
      <c r="C11" s="243" t="s">
        <v>62</v>
      </c>
      <c r="D11" s="243" t="s">
        <v>63</v>
      </c>
      <c r="E11" s="355">
        <v>25</v>
      </c>
      <c r="F11" s="245"/>
      <c r="G11" s="245">
        <v>25</v>
      </c>
      <c r="H11" s="245">
        <f>E11-G11</f>
        <v>0</v>
      </c>
    </row>
    <row r="12" spans="1:9" s="243" customFormat="1">
      <c r="A12" s="234">
        <v>1</v>
      </c>
      <c r="B12" s="244">
        <v>41611</v>
      </c>
      <c r="C12" s="243" t="s">
        <v>102</v>
      </c>
      <c r="D12" s="243" t="s">
        <v>104</v>
      </c>
      <c r="E12" s="355">
        <v>1500</v>
      </c>
      <c r="F12" s="245"/>
      <c r="G12" s="245">
        <v>1500</v>
      </c>
      <c r="H12" s="245">
        <f>E12-G12</f>
        <v>0</v>
      </c>
    </row>
    <row r="13" spans="1:9" s="243" customFormat="1">
      <c r="A13" s="234"/>
      <c r="B13" s="244"/>
      <c r="E13" s="266"/>
      <c r="F13" s="248">
        <f>SUM(E10:E12)</f>
        <v>1825</v>
      </c>
      <c r="G13" s="248">
        <f t="shared" ref="G13:H13" si="1">SUM(G10:G12)</f>
        <v>1825</v>
      </c>
      <c r="H13" s="248">
        <f t="shared" si="1"/>
        <v>0</v>
      </c>
    </row>
    <row r="14" spans="1:9" s="243" customFormat="1">
      <c r="A14" s="234"/>
      <c r="B14" s="244"/>
      <c r="E14" s="355"/>
      <c r="F14" s="245"/>
      <c r="G14" s="245"/>
      <c r="H14" s="245"/>
    </row>
    <row r="15" spans="1:9" s="243" customFormat="1">
      <c r="A15" s="234">
        <v>2</v>
      </c>
      <c r="B15" s="244">
        <v>41621</v>
      </c>
      <c r="C15" s="243" t="s">
        <v>150</v>
      </c>
      <c r="D15" s="243" t="s">
        <v>151</v>
      </c>
      <c r="E15" s="355">
        <v>553.66</v>
      </c>
      <c r="F15" s="245"/>
      <c r="G15" s="245">
        <v>553.66</v>
      </c>
      <c r="H15" s="245">
        <f>E15-G15</f>
        <v>0</v>
      </c>
    </row>
    <row r="16" spans="1:9" s="243" customFormat="1">
      <c r="A16" s="234">
        <v>2</v>
      </c>
      <c r="B16" s="244">
        <v>41822</v>
      </c>
      <c r="C16" s="243" t="s">
        <v>150</v>
      </c>
      <c r="D16" s="352" t="s">
        <v>175</v>
      </c>
      <c r="E16" s="355">
        <v>27</v>
      </c>
      <c r="F16" s="245"/>
      <c r="G16" s="245">
        <v>27</v>
      </c>
      <c r="H16" s="245">
        <f>E16-G16</f>
        <v>0</v>
      </c>
    </row>
    <row r="17" spans="1:9" s="243" customFormat="1">
      <c r="A17" s="234"/>
      <c r="B17" s="244"/>
      <c r="E17" s="266"/>
      <c r="F17" s="248">
        <f>SUM(E15:E16)</f>
        <v>580.66</v>
      </c>
      <c r="G17" s="248">
        <f t="shared" ref="G17:H17" si="2">SUM(G15:G16)</f>
        <v>580.66</v>
      </c>
      <c r="H17" s="248">
        <f t="shared" si="2"/>
        <v>0</v>
      </c>
    </row>
    <row r="18" spans="1:9" s="243" customFormat="1">
      <c r="A18" s="234"/>
      <c r="B18" s="244"/>
      <c r="E18" s="355"/>
      <c r="F18" s="245"/>
      <c r="G18" s="245"/>
      <c r="H18" s="245"/>
    </row>
    <row r="19" spans="1:9" s="243" customFormat="1">
      <c r="A19" s="234">
        <v>3</v>
      </c>
      <c r="B19" s="241">
        <v>41893</v>
      </c>
      <c r="C19" s="276" t="s">
        <v>37</v>
      </c>
      <c r="D19" s="276" t="s">
        <v>38</v>
      </c>
      <c r="E19" s="356">
        <f>495+40</f>
        <v>535</v>
      </c>
      <c r="F19" s="242"/>
      <c r="G19" s="242">
        <f t="shared" ref="G19" si="3">495+40</f>
        <v>535</v>
      </c>
      <c r="H19" s="245">
        <f>E19-G19</f>
        <v>0</v>
      </c>
    </row>
    <row r="20" spans="1:9" s="243" customFormat="1">
      <c r="A20" s="234">
        <v>3</v>
      </c>
      <c r="B20" s="244">
        <v>41621</v>
      </c>
      <c r="C20" s="243" t="s">
        <v>150</v>
      </c>
      <c r="D20" s="352" t="s">
        <v>176</v>
      </c>
      <c r="E20" s="355">
        <f>599.64-319.49-15</f>
        <v>265.14999999999998</v>
      </c>
      <c r="F20" s="245"/>
      <c r="G20" s="245">
        <f t="shared" ref="G20" si="4">599.64-319.49-15</f>
        <v>265.14999999999998</v>
      </c>
      <c r="H20" s="245">
        <f>E20-G20</f>
        <v>0</v>
      </c>
      <c r="I20" s="352" t="s">
        <v>177</v>
      </c>
    </row>
    <row r="21" spans="1:9" s="243" customFormat="1">
      <c r="A21" s="234"/>
      <c r="B21" s="244"/>
      <c r="D21" s="352"/>
      <c r="E21" s="266"/>
      <c r="F21" s="248">
        <f>SUM(E19:E20)</f>
        <v>800.15</v>
      </c>
      <c r="G21" s="248">
        <f t="shared" ref="G21:H21" si="5">SUM(G19:G20)</f>
        <v>800.15</v>
      </c>
      <c r="H21" s="248">
        <f t="shared" si="5"/>
        <v>0</v>
      </c>
      <c r="I21" s="352"/>
    </row>
    <row r="22" spans="1:9" s="243" customFormat="1">
      <c r="A22" s="234"/>
      <c r="B22" s="244"/>
      <c r="D22" s="352"/>
      <c r="E22" s="355"/>
      <c r="F22" s="245"/>
      <c r="G22" s="245"/>
      <c r="H22" s="245"/>
      <c r="I22" s="352"/>
    </row>
    <row r="23" spans="1:9" s="243" customFormat="1">
      <c r="A23" s="234">
        <v>4</v>
      </c>
      <c r="B23" s="244">
        <v>41791</v>
      </c>
      <c r="C23" s="243" t="s">
        <v>70</v>
      </c>
      <c r="D23" s="243" t="s">
        <v>71</v>
      </c>
      <c r="E23" s="355">
        <v>2150</v>
      </c>
      <c r="F23" s="245"/>
      <c r="G23" s="245">
        <v>2150</v>
      </c>
      <c r="H23" s="245">
        <f>E23-G23</f>
        <v>0</v>
      </c>
    </row>
    <row r="24" spans="1:9" s="243" customFormat="1">
      <c r="A24" s="234">
        <v>4</v>
      </c>
      <c r="B24" s="244">
        <v>41793</v>
      </c>
      <c r="C24" s="243" t="s">
        <v>84</v>
      </c>
      <c r="D24" s="243" t="s">
        <v>85</v>
      </c>
      <c r="E24" s="355">
        <v>89.11</v>
      </c>
      <c r="F24" s="245"/>
      <c r="G24" s="245">
        <v>89.11</v>
      </c>
      <c r="H24" s="245">
        <f>E24-G24</f>
        <v>0</v>
      </c>
    </row>
    <row r="25" spans="1:9">
      <c r="A25" s="234">
        <v>4</v>
      </c>
      <c r="B25" s="277">
        <v>41926</v>
      </c>
      <c r="C25" s="276" t="s">
        <v>82</v>
      </c>
      <c r="D25" s="276" t="s">
        <v>83</v>
      </c>
      <c r="E25" s="356">
        <v>17.54</v>
      </c>
      <c r="G25" s="242">
        <f>E25</f>
        <v>17.54</v>
      </c>
      <c r="H25" s="245">
        <v>0</v>
      </c>
    </row>
    <row r="26" spans="1:9">
      <c r="A26" s="234">
        <v>4</v>
      </c>
      <c r="B26" s="241">
        <v>41910</v>
      </c>
      <c r="C26" s="276" t="s">
        <v>66</v>
      </c>
      <c r="D26" s="276" t="s">
        <v>67</v>
      </c>
      <c r="E26" s="356">
        <v>31.21</v>
      </c>
      <c r="G26" s="242">
        <f>E26</f>
        <v>31.21</v>
      </c>
      <c r="H26" s="242">
        <v>0</v>
      </c>
    </row>
    <row r="27" spans="1:9" s="243" customFormat="1">
      <c r="A27" s="234"/>
      <c r="B27" s="244"/>
      <c r="E27" s="266"/>
      <c r="F27" s="248">
        <f>SUM(E23:E26)</f>
        <v>2287.86</v>
      </c>
      <c r="G27" s="248">
        <f>SUM(G23:G26)</f>
        <v>2287.86</v>
      </c>
      <c r="H27" s="248">
        <f>SUM(H23:H26)</f>
        <v>0</v>
      </c>
    </row>
    <row r="28" spans="1:9" s="243" customFormat="1">
      <c r="A28" s="234"/>
      <c r="B28" s="244"/>
      <c r="E28" s="355"/>
      <c r="F28" s="245"/>
      <c r="G28" s="245"/>
      <c r="H28" s="245"/>
    </row>
    <row r="29" spans="1:9" s="243" customFormat="1">
      <c r="A29" s="234">
        <v>5</v>
      </c>
      <c r="B29" s="244">
        <v>41612</v>
      </c>
      <c r="C29" s="243" t="s">
        <v>68</v>
      </c>
      <c r="D29" s="243" t="s">
        <v>69</v>
      </c>
      <c r="E29" s="355">
        <v>265</v>
      </c>
      <c r="F29" s="245"/>
      <c r="G29" s="245">
        <v>265</v>
      </c>
      <c r="H29" s="245">
        <f>E29-G29</f>
        <v>0</v>
      </c>
    </row>
    <row r="30" spans="1:9" s="243" customFormat="1">
      <c r="A30" s="234">
        <v>5</v>
      </c>
      <c r="B30" s="241">
        <v>41893</v>
      </c>
      <c r="C30" s="276" t="s">
        <v>150</v>
      </c>
      <c r="D30" s="276" t="s">
        <v>153</v>
      </c>
      <c r="E30" s="355">
        <v>300</v>
      </c>
      <c r="F30" s="245"/>
      <c r="G30" s="245">
        <v>300</v>
      </c>
      <c r="H30" s="245">
        <f>E30-G30</f>
        <v>0</v>
      </c>
      <c r="I30" s="234"/>
    </row>
    <row r="31" spans="1:9" s="243" customFormat="1">
      <c r="A31" s="234"/>
      <c r="B31" s="241"/>
      <c r="C31" s="276"/>
      <c r="D31" s="276"/>
      <c r="E31" s="266"/>
      <c r="F31" s="248">
        <f>SUM(E29:E30)</f>
        <v>565</v>
      </c>
      <c r="G31" s="248">
        <f t="shared" ref="G31:H31" si="6">SUM(G29:G30)</f>
        <v>565</v>
      </c>
      <c r="H31" s="248">
        <f t="shared" si="6"/>
        <v>0</v>
      </c>
      <c r="I31" s="234"/>
    </row>
    <row r="32" spans="1:9" s="243" customFormat="1">
      <c r="A32" s="234"/>
      <c r="B32" s="241"/>
      <c r="C32" s="276"/>
      <c r="D32" s="276"/>
      <c r="E32" s="355"/>
      <c r="F32" s="245"/>
      <c r="G32" s="245"/>
      <c r="H32" s="245"/>
      <c r="I32" s="234"/>
    </row>
    <row r="33" spans="1:9" s="243" customFormat="1">
      <c r="A33" s="234">
        <v>6</v>
      </c>
      <c r="B33" s="241">
        <v>41860</v>
      </c>
      <c r="C33" s="234" t="s">
        <v>129</v>
      </c>
      <c r="D33" s="234" t="s">
        <v>130</v>
      </c>
      <c r="E33" s="356">
        <v>284.75</v>
      </c>
      <c r="F33" s="242"/>
      <c r="G33" s="242">
        <v>284.75</v>
      </c>
      <c r="H33" s="245">
        <f>E33-G33</f>
        <v>0</v>
      </c>
      <c r="I33" s="234"/>
    </row>
    <row r="34" spans="1:9" s="243" customFormat="1">
      <c r="A34" s="234">
        <v>6</v>
      </c>
      <c r="B34" s="241">
        <v>41964</v>
      </c>
      <c r="C34" s="351" t="s">
        <v>129</v>
      </c>
      <c r="D34" s="351" t="s">
        <v>130</v>
      </c>
      <c r="E34" s="356">
        <v>304.75</v>
      </c>
      <c r="F34" s="242"/>
      <c r="G34" s="242">
        <v>0</v>
      </c>
      <c r="H34" s="245">
        <f>E34</f>
        <v>304.75</v>
      </c>
      <c r="I34" s="234"/>
    </row>
    <row r="35" spans="1:9" s="243" customFormat="1">
      <c r="A35" s="234"/>
      <c r="B35" s="241"/>
      <c r="C35" s="234"/>
      <c r="D35" s="234"/>
      <c r="E35" s="268"/>
      <c r="F35" s="248">
        <f>SUM(E33:E34)</f>
        <v>589.5</v>
      </c>
      <c r="G35" s="249">
        <f>SUM(G33:G34)</f>
        <v>284.75</v>
      </c>
      <c r="H35" s="249">
        <f>SUM(H33:H34)</f>
        <v>304.75</v>
      </c>
      <c r="I35" s="234"/>
    </row>
    <row r="36" spans="1:9" s="243" customFormat="1">
      <c r="A36" s="234"/>
      <c r="B36" s="241"/>
      <c r="C36" s="234"/>
      <c r="D36" s="234"/>
      <c r="E36" s="356"/>
      <c r="F36" s="242"/>
      <c r="G36" s="242"/>
      <c r="H36" s="242"/>
      <c r="I36" s="234"/>
    </row>
    <row r="37" spans="1:9" s="243" customFormat="1">
      <c r="A37" s="234">
        <v>7</v>
      </c>
      <c r="B37" s="244">
        <v>41863</v>
      </c>
      <c r="C37" s="243" t="s">
        <v>111</v>
      </c>
      <c r="D37" s="243" t="s">
        <v>112</v>
      </c>
      <c r="E37" s="355">
        <v>1937</v>
      </c>
      <c r="F37" s="245"/>
      <c r="G37" s="245">
        <v>1937</v>
      </c>
      <c r="H37" s="245">
        <f>E37-G37</f>
        <v>0</v>
      </c>
    </row>
    <row r="38" spans="1:9" s="243" customFormat="1">
      <c r="A38" s="234"/>
      <c r="B38" s="244"/>
      <c r="E38" s="266"/>
      <c r="F38" s="248">
        <f>SUM(E37)</f>
        <v>1937</v>
      </c>
      <c r="G38" s="248">
        <f t="shared" ref="G38:H38" si="7">SUM(G37)</f>
        <v>1937</v>
      </c>
      <c r="H38" s="248">
        <f t="shared" si="7"/>
        <v>0</v>
      </c>
    </row>
    <row r="39" spans="1:9" s="243" customFormat="1">
      <c r="A39" s="234"/>
      <c r="B39" s="244"/>
      <c r="E39" s="355"/>
      <c r="F39" s="245"/>
      <c r="G39" s="245"/>
      <c r="H39" s="245"/>
    </row>
    <row r="40" spans="1:9" s="243" customFormat="1">
      <c r="A40" s="234">
        <v>8</v>
      </c>
      <c r="B40" s="246" t="s">
        <v>144</v>
      </c>
      <c r="C40" s="243" t="s">
        <v>143</v>
      </c>
      <c r="D40" s="243" t="s">
        <v>145</v>
      </c>
      <c r="E40" s="355">
        <v>2700</v>
      </c>
      <c r="F40" s="245"/>
      <c r="G40" s="245">
        <v>2700</v>
      </c>
      <c r="H40" s="245">
        <f>E40-G40</f>
        <v>0</v>
      </c>
    </row>
    <row r="41" spans="1:9" s="243" customFormat="1">
      <c r="A41" s="234">
        <v>8</v>
      </c>
      <c r="B41" s="244">
        <v>41785</v>
      </c>
      <c r="C41" s="243" t="s">
        <v>143</v>
      </c>
      <c r="D41" s="243" t="s">
        <v>146</v>
      </c>
      <c r="E41" s="355">
        <v>625</v>
      </c>
      <c r="F41" s="245"/>
      <c r="G41" s="245">
        <v>625</v>
      </c>
      <c r="H41" s="245">
        <f>E41-G41</f>
        <v>0</v>
      </c>
    </row>
    <row r="42" spans="1:9" s="243" customFormat="1">
      <c r="A42" s="234">
        <v>8</v>
      </c>
      <c r="B42" s="244">
        <v>41793</v>
      </c>
      <c r="C42" s="243" t="s">
        <v>143</v>
      </c>
      <c r="D42" s="243" t="s">
        <v>146</v>
      </c>
      <c r="E42" s="355">
        <v>625</v>
      </c>
      <c r="F42" s="245"/>
      <c r="G42" s="245">
        <v>625</v>
      </c>
      <c r="H42" s="245">
        <f>E42-G42</f>
        <v>0</v>
      </c>
    </row>
    <row r="43" spans="1:9" s="243" customFormat="1">
      <c r="A43" s="234"/>
      <c r="B43" s="244"/>
      <c r="E43" s="266"/>
      <c r="F43" s="248">
        <f>SUM(E40:E42)</f>
        <v>3950</v>
      </c>
      <c r="G43" s="248">
        <f t="shared" ref="G43:H43" si="8">SUM(G40:G42)</f>
        <v>3950</v>
      </c>
      <c r="H43" s="248">
        <f t="shared" si="8"/>
        <v>0</v>
      </c>
    </row>
    <row r="44" spans="1:9" s="243" customFormat="1">
      <c r="A44" s="234"/>
      <c r="B44" s="244"/>
      <c r="E44" s="355"/>
      <c r="F44" s="245"/>
      <c r="G44" s="245"/>
      <c r="H44" s="245"/>
    </row>
    <row r="45" spans="1:9" s="243" customFormat="1">
      <c r="A45" s="234">
        <v>9</v>
      </c>
      <c r="B45" s="244">
        <v>41863</v>
      </c>
      <c r="C45" s="243" t="s">
        <v>143</v>
      </c>
      <c r="D45" s="243" t="s">
        <v>147</v>
      </c>
      <c r="E45" s="355">
        <v>7829</v>
      </c>
      <c r="F45" s="245"/>
      <c r="G45" s="245">
        <v>7829</v>
      </c>
      <c r="H45" s="245">
        <f>E45-G45</f>
        <v>0</v>
      </c>
    </row>
    <row r="46" spans="1:9">
      <c r="A46" s="234">
        <v>9</v>
      </c>
      <c r="B46" s="241">
        <v>41925</v>
      </c>
      <c r="C46" s="243" t="s">
        <v>143</v>
      </c>
      <c r="D46" s="276" t="s">
        <v>148</v>
      </c>
      <c r="E46" s="356">
        <v>4893</v>
      </c>
      <c r="G46" s="242">
        <v>0</v>
      </c>
      <c r="H46" s="242">
        <f>E46</f>
        <v>4893</v>
      </c>
    </row>
    <row r="47" spans="1:9">
      <c r="A47" s="234">
        <v>9</v>
      </c>
      <c r="B47" s="281">
        <v>41947</v>
      </c>
      <c r="C47" s="282" t="s">
        <v>143</v>
      </c>
      <c r="D47" s="280" t="s">
        <v>149</v>
      </c>
      <c r="E47" s="283">
        <v>3914</v>
      </c>
      <c r="G47" s="242">
        <v>0</v>
      </c>
      <c r="H47" s="245">
        <f>E47</f>
        <v>3914</v>
      </c>
    </row>
    <row r="48" spans="1:9" s="243" customFormat="1">
      <c r="A48" s="234"/>
      <c r="B48" s="244"/>
      <c r="E48" s="266"/>
      <c r="F48" s="248">
        <f>SUM(E45:E47)</f>
        <v>16636</v>
      </c>
      <c r="G48" s="248">
        <f>SUM(G45:G47)</f>
        <v>7829</v>
      </c>
      <c r="H48" s="248">
        <f>SUM(H45:H47)</f>
        <v>8807</v>
      </c>
    </row>
    <row r="49" spans="1:8" s="243" customFormat="1">
      <c r="A49" s="234"/>
      <c r="B49" s="244"/>
      <c r="E49" s="355"/>
      <c r="F49" s="245"/>
      <c r="G49" s="245"/>
      <c r="H49" s="245"/>
    </row>
    <row r="50" spans="1:8" s="243" customFormat="1">
      <c r="A50" s="234">
        <v>19</v>
      </c>
      <c r="B50" s="244">
        <v>41873</v>
      </c>
      <c r="C50" s="243" t="s">
        <v>107</v>
      </c>
      <c r="D50" s="243" t="s">
        <v>108</v>
      </c>
      <c r="E50" s="355">
        <v>2323.6799999999998</v>
      </c>
      <c r="F50" s="245"/>
      <c r="G50" s="245">
        <v>0</v>
      </c>
      <c r="H50" s="245">
        <f>E50-G50</f>
        <v>2323.6799999999998</v>
      </c>
    </row>
    <row r="51" spans="1:8" s="243" customFormat="1">
      <c r="A51" s="234">
        <v>19</v>
      </c>
      <c r="B51" s="287">
        <v>41992</v>
      </c>
      <c r="C51" s="288" t="s">
        <v>107</v>
      </c>
      <c r="D51" s="288" t="s">
        <v>108</v>
      </c>
      <c r="E51" s="289">
        <v>26.5</v>
      </c>
      <c r="F51" s="245"/>
      <c r="G51" s="245">
        <v>0</v>
      </c>
      <c r="H51" s="245">
        <f>E51</f>
        <v>26.5</v>
      </c>
    </row>
    <row r="52" spans="1:8" s="243" customFormat="1">
      <c r="A52" s="234"/>
      <c r="B52" s="244"/>
      <c r="E52" s="266"/>
      <c r="F52" s="248">
        <f>SUM(E50:E51)</f>
        <v>2350.1799999999998</v>
      </c>
      <c r="G52" s="248">
        <f>SUM(G50:G51)</f>
        <v>0</v>
      </c>
      <c r="H52" s="248">
        <f>SUM(H50:H51)</f>
        <v>2350.1799999999998</v>
      </c>
    </row>
    <row r="53" spans="1:8" s="243" customFormat="1">
      <c r="A53" s="234"/>
      <c r="B53" s="244"/>
      <c r="E53" s="355"/>
      <c r="F53" s="245"/>
      <c r="G53" s="245"/>
      <c r="H53" s="245"/>
    </row>
    <row r="54" spans="1:8" s="243" customFormat="1">
      <c r="A54" s="234">
        <v>21</v>
      </c>
      <c r="B54" s="244">
        <v>41865</v>
      </c>
      <c r="C54" s="243" t="s">
        <v>55</v>
      </c>
      <c r="D54" s="243" t="s">
        <v>56</v>
      </c>
      <c r="E54" s="355">
        <v>950</v>
      </c>
      <c r="F54" s="245"/>
      <c r="G54" s="245">
        <v>0</v>
      </c>
      <c r="H54" s="245">
        <f>E54-G54</f>
        <v>950</v>
      </c>
    </row>
    <row r="55" spans="1:8" s="243" customFormat="1">
      <c r="A55" s="234">
        <v>21</v>
      </c>
      <c r="B55" s="287">
        <v>41992</v>
      </c>
      <c r="C55" s="288" t="s">
        <v>55</v>
      </c>
      <c r="D55" s="288" t="s">
        <v>57</v>
      </c>
      <c r="E55" s="289">
        <v>44.44</v>
      </c>
      <c r="F55" s="245"/>
      <c r="G55" s="245">
        <v>0</v>
      </c>
      <c r="H55" s="245">
        <f>E55</f>
        <v>44.44</v>
      </c>
    </row>
    <row r="56" spans="1:8" s="243" customFormat="1">
      <c r="A56" s="234"/>
      <c r="B56" s="244"/>
      <c r="E56" s="266"/>
      <c r="F56" s="248">
        <f>SUM(E54:E55)</f>
        <v>994.44</v>
      </c>
      <c r="G56" s="248">
        <v>0</v>
      </c>
      <c r="H56" s="248">
        <f>SUM(H54:H55)</f>
        <v>994.44</v>
      </c>
    </row>
    <row r="57" spans="1:8" s="243" customFormat="1">
      <c r="A57" s="234"/>
      <c r="B57" s="244"/>
      <c r="E57" s="355"/>
      <c r="F57" s="245"/>
      <c r="G57" s="245"/>
      <c r="H57" s="245"/>
    </row>
    <row r="58" spans="1:8" s="243" customFormat="1">
      <c r="A58" s="234">
        <v>23</v>
      </c>
      <c r="B58" s="244">
        <v>41864</v>
      </c>
      <c r="C58" s="243" t="s">
        <v>73</v>
      </c>
      <c r="D58" s="243" t="s">
        <v>74</v>
      </c>
      <c r="E58" s="355">
        <v>243.56</v>
      </c>
      <c r="F58" s="245"/>
      <c r="G58" s="245">
        <v>243.56</v>
      </c>
      <c r="H58" s="245">
        <f>E58-G58</f>
        <v>0</v>
      </c>
    </row>
    <row r="59" spans="1:8" s="243" customFormat="1">
      <c r="A59" s="234">
        <v>23</v>
      </c>
      <c r="B59" s="287">
        <v>41958</v>
      </c>
      <c r="C59" s="288" t="s">
        <v>75</v>
      </c>
      <c r="D59" s="288" t="s">
        <v>76</v>
      </c>
      <c r="E59" s="289">
        <v>81.19</v>
      </c>
      <c r="F59" s="286"/>
      <c r="G59" s="245">
        <v>0</v>
      </c>
      <c r="H59" s="245">
        <f>E59</f>
        <v>81.19</v>
      </c>
    </row>
    <row r="60" spans="1:8" s="243" customFormat="1">
      <c r="A60" s="234">
        <v>23</v>
      </c>
      <c r="B60" s="287">
        <v>41988</v>
      </c>
      <c r="C60" s="288" t="s">
        <v>75</v>
      </c>
      <c r="D60" s="288" t="s">
        <v>76</v>
      </c>
      <c r="E60" s="289">
        <v>75</v>
      </c>
      <c r="F60" s="286"/>
      <c r="G60" s="245">
        <v>0</v>
      </c>
      <c r="H60" s="245">
        <f>E60</f>
        <v>75</v>
      </c>
    </row>
    <row r="61" spans="1:8" s="243" customFormat="1">
      <c r="A61" s="234"/>
      <c r="B61" s="244"/>
      <c r="E61" s="266"/>
      <c r="F61" s="248">
        <f>SUM(E58:E60)</f>
        <v>399.75</v>
      </c>
      <c r="G61" s="248">
        <f>SUM(G58:G60)</f>
        <v>243.56</v>
      </c>
      <c r="H61" s="248">
        <f>SUM(H58:H60)</f>
        <v>156.19</v>
      </c>
    </row>
    <row r="62" spans="1:8" s="243" customFormat="1">
      <c r="A62" s="234"/>
      <c r="B62" s="244"/>
      <c r="E62" s="355"/>
      <c r="F62" s="245"/>
      <c r="G62" s="245"/>
      <c r="H62" s="245"/>
    </row>
    <row r="63" spans="1:8" s="243" customFormat="1">
      <c r="A63" s="234">
        <v>26</v>
      </c>
      <c r="B63" s="244">
        <v>41638</v>
      </c>
      <c r="C63" s="243" t="s">
        <v>60</v>
      </c>
      <c r="D63" s="243" t="s">
        <v>61</v>
      </c>
      <c r="E63" s="355">
        <v>16</v>
      </c>
      <c r="F63" s="245"/>
      <c r="G63" s="245">
        <v>16</v>
      </c>
      <c r="H63" s="245">
        <f>E63-G63</f>
        <v>0</v>
      </c>
    </row>
    <row r="64" spans="1:8" s="243" customFormat="1">
      <c r="A64" s="234">
        <v>26</v>
      </c>
      <c r="B64" s="244">
        <v>41638</v>
      </c>
      <c r="C64" s="243" t="s">
        <v>134</v>
      </c>
      <c r="D64" s="243" t="s">
        <v>135</v>
      </c>
      <c r="E64" s="355">
        <v>780</v>
      </c>
      <c r="F64" s="245"/>
      <c r="G64" s="245">
        <v>780</v>
      </c>
      <c r="H64" s="245">
        <f>E64-G64</f>
        <v>0</v>
      </c>
    </row>
    <row r="65" spans="1:9" s="243" customFormat="1">
      <c r="A65" s="234">
        <v>26</v>
      </c>
      <c r="B65" s="287">
        <v>41956</v>
      </c>
      <c r="C65" s="288" t="s">
        <v>105</v>
      </c>
      <c r="D65" s="288" t="s">
        <v>106</v>
      </c>
      <c r="E65" s="289">
        <v>9260</v>
      </c>
      <c r="F65" s="245"/>
      <c r="G65" s="245">
        <v>0</v>
      </c>
      <c r="H65" s="245">
        <f>E65</f>
        <v>9260</v>
      </c>
    </row>
    <row r="66" spans="1:9" s="243" customFormat="1">
      <c r="A66" s="234"/>
      <c r="B66" s="244"/>
      <c r="E66" s="266"/>
      <c r="F66" s="248">
        <f>SUM(E63:E65)</f>
        <v>10056</v>
      </c>
      <c r="G66" s="248">
        <f>SUM(G63:G65)</f>
        <v>796</v>
      </c>
      <c r="H66" s="248">
        <f>SUM(H63:H65)</f>
        <v>9260</v>
      </c>
    </row>
    <row r="67" spans="1:9" s="243" customFormat="1">
      <c r="A67" s="234"/>
      <c r="B67" s="244"/>
      <c r="E67" s="355"/>
      <c r="F67" s="245"/>
      <c r="G67" s="245"/>
      <c r="H67" s="245"/>
    </row>
    <row r="68" spans="1:9" s="243" customFormat="1">
      <c r="A68" s="234">
        <v>33</v>
      </c>
      <c r="B68" s="287">
        <v>41964</v>
      </c>
      <c r="C68" s="288" t="s">
        <v>49</v>
      </c>
      <c r="D68" s="288" t="s">
        <v>50</v>
      </c>
      <c r="E68" s="289">
        <v>1790.04</v>
      </c>
      <c r="F68" s="245"/>
      <c r="G68" s="245">
        <v>0</v>
      </c>
      <c r="H68" s="245">
        <f>E68</f>
        <v>1790.04</v>
      </c>
    </row>
    <row r="69" spans="1:9" s="243" customFormat="1">
      <c r="A69" s="234"/>
      <c r="B69" s="244"/>
      <c r="E69" s="355"/>
      <c r="F69" s="284">
        <f>SUM(E68)</f>
        <v>1790.04</v>
      </c>
      <c r="G69" s="248">
        <f>SUM(G68)</f>
        <v>0</v>
      </c>
      <c r="H69" s="248">
        <f>SUM(H68)</f>
        <v>1790.04</v>
      </c>
    </row>
    <row r="70" spans="1:9" s="243" customFormat="1">
      <c r="A70" s="234"/>
      <c r="B70" s="244"/>
      <c r="E70" s="355"/>
      <c r="F70" s="245"/>
      <c r="G70" s="245"/>
      <c r="H70" s="245"/>
    </row>
    <row r="71" spans="1:9" s="243" customFormat="1">
      <c r="A71" s="234">
        <v>36</v>
      </c>
      <c r="B71" s="244">
        <v>41864</v>
      </c>
      <c r="C71" s="243" t="s">
        <v>138</v>
      </c>
      <c r="D71" s="243" t="s">
        <v>139</v>
      </c>
      <c r="E71" s="355">
        <v>1144.28</v>
      </c>
      <c r="F71" s="245"/>
      <c r="G71" s="245">
        <f>E71</f>
        <v>1144.28</v>
      </c>
      <c r="H71" s="245">
        <f>E71-G71</f>
        <v>0</v>
      </c>
    </row>
    <row r="72" spans="1:9" s="243" customFormat="1">
      <c r="A72" s="234">
        <v>36</v>
      </c>
      <c r="B72" s="244">
        <v>41946</v>
      </c>
      <c r="C72" s="352" t="s">
        <v>138</v>
      </c>
      <c r="D72" s="352" t="s">
        <v>139</v>
      </c>
      <c r="E72" s="355">
        <v>657.54</v>
      </c>
      <c r="F72" s="245"/>
      <c r="G72" s="245">
        <v>0</v>
      </c>
      <c r="H72" s="245">
        <f>E72</f>
        <v>657.54</v>
      </c>
    </row>
    <row r="73" spans="1:9" s="243" customFormat="1">
      <c r="A73" s="234">
        <v>36</v>
      </c>
      <c r="B73" s="287">
        <v>41950</v>
      </c>
      <c r="C73" s="288" t="s">
        <v>140</v>
      </c>
      <c r="D73" s="288" t="s">
        <v>139</v>
      </c>
      <c r="E73" s="289">
        <v>457.96</v>
      </c>
      <c r="F73" s="245"/>
      <c r="G73" s="245">
        <v>0</v>
      </c>
      <c r="H73" s="245">
        <f>E73</f>
        <v>457.96</v>
      </c>
    </row>
    <row r="74" spans="1:9" s="243" customFormat="1">
      <c r="A74" s="234">
        <v>36</v>
      </c>
      <c r="B74" s="287">
        <v>41992</v>
      </c>
      <c r="C74" s="288" t="s">
        <v>140</v>
      </c>
      <c r="D74" s="288" t="s">
        <v>139</v>
      </c>
      <c r="E74" s="289">
        <v>1212</v>
      </c>
      <c r="F74" s="245"/>
      <c r="G74" s="245">
        <v>0</v>
      </c>
      <c r="H74" s="245">
        <f>E74</f>
        <v>1212</v>
      </c>
    </row>
    <row r="75" spans="1:9" s="243" customFormat="1">
      <c r="A75" s="234"/>
      <c r="B75" s="244"/>
      <c r="E75" s="266"/>
      <c r="F75" s="248">
        <f>SUM(E71:E74)</f>
        <v>3471.7799999999997</v>
      </c>
      <c r="G75" s="248">
        <f>SUM(G71:G74)</f>
        <v>1144.28</v>
      </c>
      <c r="H75" s="248">
        <f>SUM(H71:H74)</f>
        <v>2327.5</v>
      </c>
    </row>
    <row r="76" spans="1:9" s="243" customFormat="1">
      <c r="A76" s="234"/>
      <c r="B76" s="244"/>
      <c r="E76" s="355"/>
      <c r="F76" s="245"/>
      <c r="G76" s="245"/>
      <c r="H76" s="245"/>
    </row>
    <row r="77" spans="1:9" s="243" customFormat="1">
      <c r="A77" s="234">
        <v>37</v>
      </c>
      <c r="B77" s="244">
        <v>41590</v>
      </c>
      <c r="C77" s="243" t="s">
        <v>118</v>
      </c>
      <c r="D77" s="243" t="s">
        <v>119</v>
      </c>
      <c r="E77" s="355">
        <v>4100</v>
      </c>
      <c r="F77" s="245"/>
      <c r="G77" s="245">
        <v>4100</v>
      </c>
      <c r="H77" s="245">
        <f>E77-G77</f>
        <v>0</v>
      </c>
    </row>
    <row r="78" spans="1:9" s="243" customFormat="1">
      <c r="A78" s="234"/>
      <c r="B78" s="244"/>
      <c r="E78" s="266"/>
      <c r="F78" s="248">
        <f>SUM(E77)</f>
        <v>4100</v>
      </c>
      <c r="G78" s="248">
        <f t="shared" ref="G78:H78" si="9">SUM(G77)</f>
        <v>4100</v>
      </c>
      <c r="H78" s="248">
        <f t="shared" si="9"/>
        <v>0</v>
      </c>
    </row>
    <row r="79" spans="1:9" s="243" customFormat="1">
      <c r="A79" s="234"/>
      <c r="B79" s="244"/>
      <c r="E79" s="355"/>
      <c r="F79" s="245"/>
      <c r="G79" s="245"/>
      <c r="H79" s="245"/>
    </row>
    <row r="80" spans="1:9" s="243" customFormat="1">
      <c r="A80" s="234">
        <v>38</v>
      </c>
      <c r="B80" s="241">
        <v>41879</v>
      </c>
      <c r="C80" s="276" t="s">
        <v>118</v>
      </c>
      <c r="D80" s="351" t="s">
        <v>178</v>
      </c>
      <c r="E80" s="355">
        <v>9528</v>
      </c>
      <c r="F80" s="245"/>
      <c r="G80" s="245">
        <v>0</v>
      </c>
      <c r="H80" s="245">
        <f>E80-G80</f>
        <v>9528</v>
      </c>
      <c r="I80" s="352" t="s">
        <v>179</v>
      </c>
    </row>
    <row r="81" spans="1:9" s="243" customFormat="1">
      <c r="A81" s="234"/>
      <c r="B81" s="241"/>
      <c r="C81" s="276"/>
      <c r="D81" s="276"/>
      <c r="E81" s="266"/>
      <c r="F81" s="248">
        <f>SUM(E80)</f>
        <v>9528</v>
      </c>
      <c r="G81" s="248">
        <f t="shared" ref="G81:H81" si="10">SUM(G80)</f>
        <v>0</v>
      </c>
      <c r="H81" s="248">
        <f t="shared" si="10"/>
        <v>9528</v>
      </c>
      <c r="I81" s="352"/>
    </row>
    <row r="82" spans="1:9" s="243" customFormat="1">
      <c r="A82" s="234"/>
      <c r="B82" s="241"/>
      <c r="C82" s="276"/>
      <c r="D82" s="276"/>
      <c r="E82" s="355"/>
      <c r="F82" s="245"/>
      <c r="G82" s="245"/>
      <c r="H82" s="245"/>
      <c r="I82" s="352"/>
    </row>
    <row r="83" spans="1:9" s="243" customFormat="1">
      <c r="A83" s="234">
        <v>40</v>
      </c>
      <c r="B83" s="241">
        <v>41879</v>
      </c>
      <c r="C83" s="276" t="s">
        <v>118</v>
      </c>
      <c r="D83" s="351" t="s">
        <v>180</v>
      </c>
      <c r="E83" s="355">
        <v>1950</v>
      </c>
      <c r="F83" s="245"/>
      <c r="G83" s="245">
        <v>0</v>
      </c>
      <c r="H83" s="245">
        <f>E83-G83</f>
        <v>1950</v>
      </c>
      <c r="I83" s="352" t="s">
        <v>181</v>
      </c>
    </row>
    <row r="84" spans="1:9" s="243" customFormat="1">
      <c r="A84" s="234"/>
      <c r="B84" s="241"/>
      <c r="C84" s="276"/>
      <c r="D84" s="351"/>
      <c r="E84" s="266"/>
      <c r="F84" s="248">
        <f>SUM(E83)</f>
        <v>1950</v>
      </c>
      <c r="G84" s="248">
        <f t="shared" ref="G84:H84" si="11">SUM(G83)</f>
        <v>0</v>
      </c>
      <c r="H84" s="248">
        <f t="shared" si="11"/>
        <v>1950</v>
      </c>
      <c r="I84" s="352"/>
    </row>
    <row r="85" spans="1:9" s="243" customFormat="1">
      <c r="A85" s="234"/>
      <c r="B85" s="241"/>
      <c r="C85" s="276"/>
      <c r="D85" s="351"/>
      <c r="E85" s="266"/>
      <c r="F85" s="248"/>
      <c r="G85" s="245"/>
      <c r="H85" s="245"/>
      <c r="I85" s="352"/>
    </row>
    <row r="86" spans="1:9">
      <c r="A86" s="234">
        <v>47</v>
      </c>
      <c r="B86" s="241">
        <v>41925</v>
      </c>
      <c r="C86" s="276" t="s">
        <v>136</v>
      </c>
      <c r="D86" s="276" t="s">
        <v>137</v>
      </c>
      <c r="E86" s="356">
        <v>510.31</v>
      </c>
      <c r="G86" s="242">
        <v>0</v>
      </c>
      <c r="H86" s="245">
        <f>E86</f>
        <v>510.31</v>
      </c>
    </row>
    <row r="87" spans="1:9">
      <c r="A87" s="234">
        <v>47</v>
      </c>
      <c r="B87" s="277">
        <v>41929</v>
      </c>
      <c r="C87" s="275" t="s">
        <v>58</v>
      </c>
      <c r="D87" s="276" t="s">
        <v>59</v>
      </c>
      <c r="E87" s="242">
        <v>270.63</v>
      </c>
      <c r="G87" s="242">
        <v>0</v>
      </c>
      <c r="H87" s="245">
        <f>E87</f>
        <v>270.63</v>
      </c>
    </row>
    <row r="88" spans="1:9">
      <c r="E88" s="356"/>
      <c r="F88" s="248">
        <f>SUM(E86:E87)</f>
        <v>780.94</v>
      </c>
      <c r="G88" s="248">
        <f>SUM(G86:G87)</f>
        <v>0</v>
      </c>
      <c r="H88" s="248">
        <f>SUM(H86:H87)</f>
        <v>780.94</v>
      </c>
    </row>
    <row r="89" spans="1:9">
      <c r="C89" s="276"/>
      <c r="D89" s="276"/>
      <c r="E89" s="356"/>
      <c r="H89" s="245"/>
    </row>
    <row r="90" spans="1:9" s="243" customFormat="1">
      <c r="A90" s="234">
        <v>48</v>
      </c>
      <c r="B90" s="241">
        <v>41908</v>
      </c>
      <c r="C90" s="276" t="s">
        <v>118</v>
      </c>
      <c r="D90" s="276" t="s">
        <v>121</v>
      </c>
      <c r="E90" s="356">
        <v>825</v>
      </c>
      <c r="F90" s="242"/>
      <c r="G90" s="242">
        <f>E90</f>
        <v>825</v>
      </c>
      <c r="H90" s="242"/>
      <c r="I90" s="352"/>
    </row>
    <row r="91" spans="1:9" s="243" customFormat="1">
      <c r="A91" s="234"/>
      <c r="B91" s="277">
        <v>41929</v>
      </c>
      <c r="C91" s="275" t="s">
        <v>118</v>
      </c>
      <c r="D91" s="276" t="s">
        <v>122</v>
      </c>
      <c r="E91" s="242">
        <v>43994.7</v>
      </c>
      <c r="F91" s="242"/>
      <c r="G91" s="242">
        <v>0</v>
      </c>
      <c r="H91" s="242">
        <f>E91</f>
        <v>43994.7</v>
      </c>
      <c r="I91" s="352"/>
    </row>
    <row r="92" spans="1:9" s="243" customFormat="1">
      <c r="A92" s="234"/>
      <c r="B92" s="241"/>
      <c r="C92" s="276"/>
      <c r="D92" s="276"/>
      <c r="E92" s="266"/>
      <c r="F92" s="248">
        <f>G92+H92</f>
        <v>44819.7</v>
      </c>
      <c r="G92" s="248">
        <f>SUM(G90:G91)</f>
        <v>825</v>
      </c>
      <c r="H92" s="248">
        <f>SUM(H90:H91)</f>
        <v>43994.7</v>
      </c>
      <c r="I92" s="352"/>
    </row>
    <row r="93" spans="1:9">
      <c r="C93" s="276"/>
      <c r="D93" s="276"/>
      <c r="E93" s="355"/>
      <c r="F93" s="245"/>
      <c r="H93" s="245"/>
    </row>
    <row r="94" spans="1:9">
      <c r="A94" s="234">
        <v>50</v>
      </c>
      <c r="B94" s="281">
        <v>41969</v>
      </c>
      <c r="C94" s="282" t="s">
        <v>5</v>
      </c>
      <c r="D94" s="280" t="s">
        <v>182</v>
      </c>
      <c r="E94" s="283">
        <f>13408.19-E147-E150</f>
        <v>7016.19</v>
      </c>
      <c r="F94" s="245"/>
      <c r="G94" s="242">
        <v>0</v>
      </c>
      <c r="H94" s="245">
        <f>E94</f>
        <v>7016.19</v>
      </c>
    </row>
    <row r="95" spans="1:9">
      <c r="A95" s="234">
        <v>50</v>
      </c>
      <c r="B95" s="277">
        <v>41935</v>
      </c>
      <c r="C95" s="352" t="s">
        <v>5</v>
      </c>
      <c r="D95" s="352" t="s">
        <v>6</v>
      </c>
      <c r="E95" s="245">
        <f>4855+12198.58</f>
        <v>17053.580000000002</v>
      </c>
      <c r="F95" s="245"/>
      <c r="G95" s="242">
        <v>0</v>
      </c>
      <c r="H95" s="245">
        <f>E95</f>
        <v>17053.580000000002</v>
      </c>
    </row>
    <row r="96" spans="1:9">
      <c r="A96" s="234">
        <v>50</v>
      </c>
      <c r="B96" s="290">
        <v>42010</v>
      </c>
      <c r="C96" s="291" t="s">
        <v>5</v>
      </c>
      <c r="D96" s="291" t="s">
        <v>6</v>
      </c>
      <c r="E96" s="292">
        <v>736.92</v>
      </c>
      <c r="F96" s="245"/>
      <c r="G96" s="242">
        <v>0</v>
      </c>
      <c r="H96" s="245">
        <f>E96</f>
        <v>736.92</v>
      </c>
    </row>
    <row r="97" spans="1:8">
      <c r="C97" s="276"/>
      <c r="D97" s="276"/>
      <c r="E97" s="355"/>
      <c r="F97" s="248">
        <f>SUM(E94:E96)</f>
        <v>24806.69</v>
      </c>
      <c r="G97" s="249">
        <f>SUM(G94:G96)</f>
        <v>0</v>
      </c>
      <c r="H97" s="248">
        <f>SUM(H94:H96)</f>
        <v>24806.69</v>
      </c>
    </row>
    <row r="98" spans="1:8">
      <c r="C98" s="276"/>
      <c r="D98" s="276"/>
      <c r="E98" s="355"/>
      <c r="F98" s="245"/>
      <c r="H98" s="245"/>
    </row>
    <row r="99" spans="1:8">
      <c r="B99" s="308">
        <v>41954</v>
      </c>
      <c r="C99" s="309" t="s">
        <v>116</v>
      </c>
      <c r="D99" s="309" t="s">
        <v>117</v>
      </c>
      <c r="E99" s="310">
        <v>5200</v>
      </c>
      <c r="F99" s="245"/>
      <c r="G99" s="242">
        <v>0</v>
      </c>
      <c r="H99" s="245">
        <f t="shared" ref="H99" si="12">E99</f>
        <v>5200</v>
      </c>
    </row>
    <row r="100" spans="1:8">
      <c r="A100" s="234">
        <v>51</v>
      </c>
      <c r="B100" s="308">
        <v>41957</v>
      </c>
      <c r="C100" s="309" t="s">
        <v>116</v>
      </c>
      <c r="D100" s="309" t="s">
        <v>117</v>
      </c>
      <c r="E100" s="310">
        <v>4300</v>
      </c>
      <c r="F100" s="245"/>
      <c r="G100" s="242">
        <v>0</v>
      </c>
      <c r="H100" s="245">
        <f>E100</f>
        <v>4300</v>
      </c>
    </row>
    <row r="101" spans="1:8">
      <c r="A101" s="234">
        <v>51</v>
      </c>
      <c r="B101" s="308">
        <v>41940</v>
      </c>
      <c r="C101" s="309" t="s">
        <v>116</v>
      </c>
      <c r="D101" s="309" t="s">
        <v>117</v>
      </c>
      <c r="E101" s="310">
        <v>5182</v>
      </c>
      <c r="F101" s="245"/>
      <c r="G101" s="242">
        <v>0</v>
      </c>
      <c r="H101" s="245">
        <f t="shared" ref="H101:H102" si="13">E101</f>
        <v>5182</v>
      </c>
    </row>
    <row r="102" spans="1:8">
      <c r="B102" s="287">
        <v>41989</v>
      </c>
      <c r="C102" s="311" t="s">
        <v>116</v>
      </c>
      <c r="D102" s="311" t="s">
        <v>117</v>
      </c>
      <c r="E102" s="312">
        <v>1927</v>
      </c>
      <c r="F102" s="245"/>
      <c r="G102" s="242">
        <v>0</v>
      </c>
      <c r="H102" s="245">
        <f t="shared" si="13"/>
        <v>1927</v>
      </c>
    </row>
    <row r="103" spans="1:8">
      <c r="C103" s="276"/>
      <c r="D103" s="276"/>
      <c r="E103" s="355"/>
      <c r="F103" s="284">
        <f>SUM(E99:E102)</f>
        <v>16609</v>
      </c>
      <c r="G103" s="285">
        <f>SUM(G99:G102)</f>
        <v>0</v>
      </c>
      <c r="H103" s="284">
        <f>SUM(H99:H102)</f>
        <v>16609</v>
      </c>
    </row>
    <row r="104" spans="1:8">
      <c r="C104" s="276"/>
      <c r="D104" s="276"/>
      <c r="E104" s="355"/>
      <c r="F104" s="245"/>
      <c r="H104" s="245"/>
    </row>
    <row r="105" spans="1:8">
      <c r="A105" s="234">
        <v>56</v>
      </c>
      <c r="B105" s="287">
        <v>41941</v>
      </c>
      <c r="C105" s="288" t="s">
        <v>141</v>
      </c>
      <c r="D105" s="288" t="s">
        <v>142</v>
      </c>
      <c r="E105" s="289">
        <v>4913</v>
      </c>
      <c r="F105" s="245"/>
      <c r="G105" s="242">
        <f>0</f>
        <v>0</v>
      </c>
      <c r="H105" s="245">
        <f>E105</f>
        <v>4913</v>
      </c>
    </row>
    <row r="106" spans="1:8">
      <c r="A106" s="234">
        <v>56</v>
      </c>
      <c r="B106" s="287">
        <v>41975</v>
      </c>
      <c r="C106" s="288" t="s">
        <v>141</v>
      </c>
      <c r="D106" s="288" t="s">
        <v>142</v>
      </c>
      <c r="E106" s="289">
        <v>5896</v>
      </c>
      <c r="F106" s="245"/>
      <c r="G106" s="242">
        <v>0</v>
      </c>
      <c r="H106" s="245">
        <f>E106</f>
        <v>5896</v>
      </c>
    </row>
    <row r="107" spans="1:8">
      <c r="A107" s="234">
        <v>56</v>
      </c>
      <c r="B107" s="331">
        <v>41995</v>
      </c>
      <c r="C107" s="247" t="s">
        <v>141</v>
      </c>
      <c r="D107" s="247" t="s">
        <v>142</v>
      </c>
      <c r="E107" s="332">
        <v>9017.2199999999993</v>
      </c>
      <c r="F107" s="245"/>
      <c r="G107" s="242">
        <v>0</v>
      </c>
      <c r="H107" s="245">
        <f>E107</f>
        <v>9017.2199999999993</v>
      </c>
    </row>
    <row r="108" spans="1:8">
      <c r="C108" s="276"/>
      <c r="D108" s="276"/>
      <c r="E108" s="355"/>
      <c r="F108" s="248">
        <f>SUM(E105:E107)</f>
        <v>19826.22</v>
      </c>
      <c r="G108" s="249">
        <f>SUM(G105:G107)</f>
        <v>0</v>
      </c>
      <c r="H108" s="248">
        <f>SUM(H105:H107)</f>
        <v>19826.22</v>
      </c>
    </row>
    <row r="109" spans="1:8">
      <c r="C109" s="276"/>
      <c r="D109" s="276"/>
      <c r="E109" s="355"/>
      <c r="F109" s="245"/>
      <c r="H109" s="245"/>
    </row>
    <row r="110" spans="1:8">
      <c r="A110" s="234">
        <v>58</v>
      </c>
      <c r="B110" s="287">
        <v>41983</v>
      </c>
      <c r="C110" s="288" t="s">
        <v>51</v>
      </c>
      <c r="D110" s="288" t="s">
        <v>52</v>
      </c>
      <c r="E110" s="289">
        <v>3088.37</v>
      </c>
      <c r="F110" s="245"/>
      <c r="G110" s="242">
        <v>0</v>
      </c>
      <c r="H110" s="245">
        <f>E110</f>
        <v>3088.37</v>
      </c>
    </row>
    <row r="111" spans="1:8" s="243" customFormat="1">
      <c r="A111" s="234">
        <v>58</v>
      </c>
      <c r="B111" s="331">
        <v>41997</v>
      </c>
      <c r="C111" s="247" t="s">
        <v>44</v>
      </c>
      <c r="D111" s="247" t="s">
        <v>48</v>
      </c>
      <c r="E111" s="332">
        <v>2885</v>
      </c>
      <c r="F111" s="245"/>
      <c r="G111" s="245">
        <v>0</v>
      </c>
      <c r="H111" s="245">
        <f>E111</f>
        <v>2885</v>
      </c>
    </row>
    <row r="112" spans="1:8">
      <c r="C112" s="276"/>
      <c r="D112" s="276"/>
      <c r="E112" s="355"/>
      <c r="F112" s="248">
        <f>SUM(E110:E111)</f>
        <v>5973.37</v>
      </c>
      <c r="G112" s="249">
        <f>SUM(G110:G111)</f>
        <v>0</v>
      </c>
      <c r="H112" s="248">
        <f>SUM(H110:H111)</f>
        <v>5973.37</v>
      </c>
    </row>
    <row r="113" spans="1:9">
      <c r="C113" s="276"/>
      <c r="D113" s="276"/>
      <c r="E113" s="355"/>
      <c r="F113" s="245"/>
      <c r="H113" s="245"/>
    </row>
    <row r="114" spans="1:9">
      <c r="A114" s="234">
        <v>60</v>
      </c>
      <c r="B114" s="287">
        <v>41979</v>
      </c>
      <c r="C114" s="288" t="s">
        <v>87</v>
      </c>
      <c r="D114" s="288" t="s">
        <v>95</v>
      </c>
      <c r="E114" s="289">
        <v>556.79</v>
      </c>
      <c r="F114" s="245"/>
      <c r="G114" s="242">
        <v>0</v>
      </c>
      <c r="H114" s="245">
        <f>E114</f>
        <v>556.79</v>
      </c>
    </row>
    <row r="115" spans="1:9">
      <c r="C115" s="276"/>
      <c r="D115" s="276"/>
      <c r="E115" s="355"/>
      <c r="F115" s="248">
        <f>SUM(E114)</f>
        <v>556.79</v>
      </c>
      <c r="G115" s="249">
        <f>SUM(G114)</f>
        <v>0</v>
      </c>
      <c r="H115" s="248">
        <f>SUM(H114)</f>
        <v>556.79</v>
      </c>
    </row>
    <row r="116" spans="1:9">
      <c r="C116" s="276"/>
      <c r="D116" s="276"/>
      <c r="E116" s="355"/>
      <c r="F116" s="245"/>
      <c r="H116" s="245"/>
    </row>
    <row r="117" spans="1:9">
      <c r="A117" s="234">
        <v>62</v>
      </c>
      <c r="B117" s="241">
        <v>41921</v>
      </c>
      <c r="C117" s="276" t="s">
        <v>39</v>
      </c>
      <c r="D117" s="276" t="s">
        <v>40</v>
      </c>
      <c r="E117" s="356">
        <v>2000</v>
      </c>
      <c r="G117" s="249">
        <f>SUM(G93)</f>
        <v>0</v>
      </c>
      <c r="H117" s="242">
        <f>E117</f>
        <v>2000</v>
      </c>
    </row>
    <row r="118" spans="1:9">
      <c r="A118" s="234">
        <v>62</v>
      </c>
      <c r="B118" s="287">
        <v>41993</v>
      </c>
      <c r="C118" s="288" t="s">
        <v>87</v>
      </c>
      <c r="D118" s="288" t="s">
        <v>183</v>
      </c>
      <c r="E118" s="289">
        <v>84.45</v>
      </c>
      <c r="G118" s="354">
        <f>E118</f>
        <v>84.45</v>
      </c>
      <c r="H118" s="242">
        <v>0</v>
      </c>
    </row>
    <row r="119" spans="1:9" s="280" customFormat="1">
      <c r="B119" s="281">
        <v>41990</v>
      </c>
      <c r="C119" s="280" t="s">
        <v>39</v>
      </c>
      <c r="D119" s="280" t="s">
        <v>41</v>
      </c>
      <c r="E119" s="283">
        <v>6950</v>
      </c>
      <c r="F119" s="283"/>
      <c r="G119" s="283">
        <v>0</v>
      </c>
      <c r="H119" s="283">
        <f>E119</f>
        <v>6950</v>
      </c>
    </row>
    <row r="120" spans="1:9">
      <c r="C120" s="276"/>
      <c r="D120" s="276"/>
      <c r="E120" s="268"/>
      <c r="F120" s="248">
        <f>SUM(E117:E119)</f>
        <v>9034.4500000000007</v>
      </c>
      <c r="G120" s="249">
        <f>SUM(G117:G119)</f>
        <v>84.45</v>
      </c>
      <c r="H120" s="249">
        <f>SUM(H117:H119)</f>
        <v>8950</v>
      </c>
    </row>
    <row r="121" spans="1:9">
      <c r="C121" s="276"/>
      <c r="D121" s="276"/>
      <c r="E121" s="268"/>
      <c r="F121" s="248"/>
      <c r="H121" s="249"/>
    </row>
    <row r="122" spans="1:9">
      <c r="A122" s="234">
        <v>63</v>
      </c>
      <c r="B122" s="287">
        <v>41974</v>
      </c>
      <c r="C122" s="288" t="s">
        <v>87</v>
      </c>
      <c r="D122" s="288" t="s">
        <v>184</v>
      </c>
      <c r="E122" s="289">
        <v>205.75</v>
      </c>
      <c r="F122" s="248"/>
      <c r="G122" s="242">
        <f>E122</f>
        <v>205.75</v>
      </c>
      <c r="H122" s="249">
        <v>0</v>
      </c>
    </row>
    <row r="123" spans="1:9" s="243" customFormat="1">
      <c r="A123" s="234">
        <v>63</v>
      </c>
      <c r="B123" s="241">
        <v>42003</v>
      </c>
      <c r="C123" s="351" t="s">
        <v>166</v>
      </c>
      <c r="D123" s="351" t="s">
        <v>167</v>
      </c>
      <c r="E123" s="242">
        <v>4920</v>
      </c>
      <c r="F123" s="245"/>
      <c r="G123" s="245">
        <v>0</v>
      </c>
      <c r="H123" s="245">
        <f>E123</f>
        <v>4920</v>
      </c>
      <c r="I123" s="352"/>
    </row>
    <row r="124" spans="1:9">
      <c r="C124" s="276"/>
      <c r="D124" s="276"/>
      <c r="E124" s="268"/>
      <c r="F124" s="248">
        <f>SUM(E122:E123)</f>
        <v>5125.75</v>
      </c>
      <c r="G124" s="249">
        <f>SUM(G122:G123)</f>
        <v>205.75</v>
      </c>
      <c r="H124" s="249">
        <f>SUM(H122:H123)</f>
        <v>4920</v>
      </c>
    </row>
    <row r="125" spans="1:9" s="243" customFormat="1">
      <c r="A125" s="234"/>
      <c r="B125" s="241"/>
      <c r="C125" s="276"/>
      <c r="D125" s="276"/>
      <c r="E125" s="356"/>
      <c r="F125" s="242"/>
      <c r="G125" s="242"/>
      <c r="H125" s="249"/>
      <c r="I125" s="234"/>
    </row>
    <row r="126" spans="1:9" s="243" customFormat="1">
      <c r="A126" s="234">
        <v>64</v>
      </c>
      <c r="B126" s="241">
        <v>41868</v>
      </c>
      <c r="C126" s="243" t="s">
        <v>157</v>
      </c>
      <c r="D126" s="234" t="s">
        <v>155</v>
      </c>
      <c r="E126" s="356">
        <f>238-75.99-70.8</f>
        <v>91.21</v>
      </c>
      <c r="F126" s="242"/>
      <c r="G126" s="242">
        <f t="shared" ref="G126" si="14">238-75.99-70.8</f>
        <v>91.21</v>
      </c>
      <c r="H126" s="354">
        <v>0</v>
      </c>
    </row>
    <row r="127" spans="1:9" s="243" customFormat="1">
      <c r="A127" s="234">
        <v>64</v>
      </c>
      <c r="B127" s="244">
        <v>41616</v>
      </c>
      <c r="C127" s="243" t="s">
        <v>157</v>
      </c>
      <c r="D127" s="243" t="s">
        <v>158</v>
      </c>
      <c r="E127" s="355">
        <v>583.20000000000005</v>
      </c>
      <c r="F127" s="245"/>
      <c r="G127" s="245">
        <v>583.20000000000005</v>
      </c>
      <c r="H127" s="245">
        <f>E126-G126</f>
        <v>0</v>
      </c>
    </row>
    <row r="128" spans="1:9" s="243" customFormat="1">
      <c r="A128" s="234">
        <v>64</v>
      </c>
      <c r="B128" s="277">
        <v>41930</v>
      </c>
      <c r="C128" s="243" t="s">
        <v>157</v>
      </c>
      <c r="D128" s="276" t="s">
        <v>159</v>
      </c>
      <c r="E128" s="356">
        <v>386.01</v>
      </c>
      <c r="F128" s="242"/>
      <c r="G128" s="245">
        <f>E128</f>
        <v>386.01</v>
      </c>
      <c r="H128" s="245">
        <f>E127-G127</f>
        <v>0</v>
      </c>
    </row>
    <row r="129" spans="1:9" s="243" customFormat="1">
      <c r="A129" s="234">
        <v>64</v>
      </c>
      <c r="B129" s="353">
        <v>41979</v>
      </c>
      <c r="C129" s="352" t="s">
        <v>125</v>
      </c>
      <c r="D129" s="351" t="s">
        <v>126</v>
      </c>
      <c r="E129" s="354">
        <v>199</v>
      </c>
      <c r="F129" s="245"/>
      <c r="G129" s="245">
        <f>E129</f>
        <v>199</v>
      </c>
      <c r="H129" s="245">
        <v>0</v>
      </c>
      <c r="I129" s="352"/>
    </row>
    <row r="130" spans="1:9" s="243" customFormat="1">
      <c r="A130" s="234">
        <v>64</v>
      </c>
      <c r="B130" s="331">
        <v>41997</v>
      </c>
      <c r="C130" s="247" t="s">
        <v>80</v>
      </c>
      <c r="D130" s="247" t="s">
        <v>81</v>
      </c>
      <c r="E130" s="332">
        <v>6192</v>
      </c>
      <c r="F130" s="242"/>
      <c r="G130" s="245">
        <v>0</v>
      </c>
      <c r="H130" s="245">
        <f>E130</f>
        <v>6192</v>
      </c>
    </row>
    <row r="131" spans="1:9" s="243" customFormat="1">
      <c r="A131" s="234">
        <v>64</v>
      </c>
      <c r="B131" s="290">
        <v>42010</v>
      </c>
      <c r="C131" s="291" t="s">
        <v>80</v>
      </c>
      <c r="D131" s="291" t="s">
        <v>172</v>
      </c>
      <c r="E131" s="292">
        <v>150</v>
      </c>
      <c r="F131" s="242"/>
      <c r="G131" s="245">
        <v>0</v>
      </c>
      <c r="H131" s="245">
        <f>E131</f>
        <v>150</v>
      </c>
    </row>
    <row r="132" spans="1:9" s="243" customFormat="1">
      <c r="A132" s="234"/>
      <c r="B132" s="244"/>
      <c r="E132" s="266"/>
      <c r="F132" s="248">
        <f>SUM(E126:E131)</f>
        <v>7601.42</v>
      </c>
      <c r="G132" s="248">
        <f>SUM(G126:G131)</f>
        <v>1259.42</v>
      </c>
      <c r="H132" s="248">
        <f>SUM(H126:H131)</f>
        <v>6342</v>
      </c>
      <c r="I132" s="352"/>
    </row>
    <row r="133" spans="1:9" s="243" customFormat="1">
      <c r="A133" s="234"/>
      <c r="B133" s="244"/>
      <c r="E133" s="355"/>
      <c r="F133" s="245"/>
      <c r="G133" s="245"/>
      <c r="H133" s="245"/>
      <c r="I133" s="352"/>
    </row>
    <row r="134" spans="1:9" s="243" customFormat="1">
      <c r="A134" s="234">
        <v>65</v>
      </c>
      <c r="B134" s="277">
        <v>41933</v>
      </c>
      <c r="C134" s="275" t="s">
        <v>9</v>
      </c>
      <c r="D134" s="276" t="s">
        <v>10</v>
      </c>
      <c r="E134" s="242">
        <v>365.34</v>
      </c>
      <c r="F134" s="245"/>
      <c r="G134" s="245">
        <f t="shared" ref="G134:G139" si="15">E134</f>
        <v>365.34</v>
      </c>
      <c r="H134" s="245">
        <v>0</v>
      </c>
      <c r="I134" s="352"/>
    </row>
    <row r="135" spans="1:9" s="243" customFormat="1">
      <c r="A135" s="234">
        <v>65</v>
      </c>
      <c r="B135" s="287">
        <v>41963</v>
      </c>
      <c r="C135" s="288" t="s">
        <v>87</v>
      </c>
      <c r="D135" s="288" t="s">
        <v>93</v>
      </c>
      <c r="E135" s="289">
        <v>31.34</v>
      </c>
      <c r="F135" s="245"/>
      <c r="G135" s="245">
        <f>E135</f>
        <v>31.34</v>
      </c>
      <c r="H135" s="245">
        <v>0</v>
      </c>
      <c r="I135" s="352"/>
    </row>
    <row r="136" spans="1:9" s="243" customFormat="1">
      <c r="A136" s="234">
        <v>65</v>
      </c>
      <c r="B136" s="287">
        <v>41969</v>
      </c>
      <c r="C136" s="288" t="s">
        <v>87</v>
      </c>
      <c r="D136" s="288" t="s">
        <v>93</v>
      </c>
      <c r="E136" s="289">
        <v>6.57</v>
      </c>
      <c r="F136" s="245"/>
      <c r="G136" s="245">
        <f>E136</f>
        <v>6.57</v>
      </c>
      <c r="H136" s="245">
        <f>0</f>
        <v>0</v>
      </c>
      <c r="I136" s="352"/>
    </row>
    <row r="137" spans="1:9" s="243" customFormat="1">
      <c r="A137" s="234">
        <v>65</v>
      </c>
      <c r="B137" s="287">
        <v>41979</v>
      </c>
      <c r="C137" s="288" t="s">
        <v>13</v>
      </c>
      <c r="D137" s="288" t="s">
        <v>35</v>
      </c>
      <c r="E137" s="289">
        <v>286.8</v>
      </c>
      <c r="F137" s="245"/>
      <c r="G137" s="245">
        <f t="shared" si="15"/>
        <v>286.8</v>
      </c>
      <c r="H137" s="245">
        <v>0</v>
      </c>
      <c r="I137" s="352"/>
    </row>
    <row r="138" spans="1:9" s="243" customFormat="1">
      <c r="A138" s="234">
        <v>65</v>
      </c>
      <c r="B138" s="353">
        <v>41945</v>
      </c>
      <c r="C138" s="352" t="s">
        <v>53</v>
      </c>
      <c r="D138" s="351" t="s">
        <v>54</v>
      </c>
      <c r="E138" s="354">
        <v>132.32</v>
      </c>
      <c r="F138" s="245"/>
      <c r="G138" s="245">
        <f t="shared" si="15"/>
        <v>132.32</v>
      </c>
      <c r="H138" s="245">
        <v>0</v>
      </c>
      <c r="I138" s="352"/>
    </row>
    <row r="139" spans="1:9" s="243" customFormat="1">
      <c r="A139" s="234">
        <v>65</v>
      </c>
      <c r="B139" s="297">
        <v>41946</v>
      </c>
      <c r="C139" s="298" t="s">
        <v>87</v>
      </c>
      <c r="D139" s="298" t="s">
        <v>92</v>
      </c>
      <c r="E139" s="299">
        <v>67.27</v>
      </c>
      <c r="F139" s="245"/>
      <c r="G139" s="245">
        <f t="shared" si="15"/>
        <v>67.27</v>
      </c>
      <c r="H139" s="245">
        <v>0</v>
      </c>
      <c r="I139" s="352"/>
    </row>
    <row r="140" spans="1:9" s="243" customFormat="1">
      <c r="A140" s="234">
        <v>65</v>
      </c>
      <c r="B140" s="290">
        <v>41951</v>
      </c>
      <c r="C140" s="291" t="s">
        <v>13</v>
      </c>
      <c r="D140" s="291" t="s">
        <v>33</v>
      </c>
      <c r="E140" s="292">
        <v>307.89</v>
      </c>
      <c r="F140" s="245"/>
      <c r="G140" s="245">
        <v>0</v>
      </c>
      <c r="H140" s="245">
        <f>E140</f>
        <v>307.89</v>
      </c>
      <c r="I140" s="352"/>
    </row>
    <row r="141" spans="1:9" s="243" customFormat="1">
      <c r="A141" s="234">
        <v>65</v>
      </c>
      <c r="B141" s="287">
        <v>41960</v>
      </c>
      <c r="C141" s="288" t="s">
        <v>87</v>
      </c>
      <c r="D141" s="288" t="s">
        <v>93</v>
      </c>
      <c r="E141" s="289">
        <v>65.17</v>
      </c>
      <c r="F141" s="245"/>
      <c r="G141" s="245">
        <f>E141</f>
        <v>65.17</v>
      </c>
      <c r="H141" s="245">
        <v>0</v>
      </c>
      <c r="I141" s="352"/>
    </row>
    <row r="142" spans="1:9" s="243" customFormat="1">
      <c r="A142" s="234">
        <v>65</v>
      </c>
      <c r="B142" s="287">
        <v>41974</v>
      </c>
      <c r="C142" s="288" t="s">
        <v>87</v>
      </c>
      <c r="D142" s="288" t="s">
        <v>185</v>
      </c>
      <c r="E142" s="289">
        <v>685.78</v>
      </c>
      <c r="F142" s="245"/>
      <c r="G142" s="245">
        <f>E142</f>
        <v>685.78</v>
      </c>
      <c r="H142" s="245">
        <v>0</v>
      </c>
      <c r="I142" s="352"/>
    </row>
    <row r="143" spans="1:9" s="243" customFormat="1">
      <c r="A143" s="234">
        <v>65</v>
      </c>
      <c r="B143" s="287">
        <v>41982</v>
      </c>
      <c r="C143" s="288" t="s">
        <v>9</v>
      </c>
      <c r="D143" s="288" t="s">
        <v>12</v>
      </c>
      <c r="E143" s="289">
        <v>235</v>
      </c>
      <c r="F143" s="245"/>
      <c r="G143" s="245">
        <f>E143</f>
        <v>235</v>
      </c>
      <c r="H143" s="245">
        <v>0</v>
      </c>
      <c r="I143" s="352"/>
    </row>
    <row r="144" spans="1:9" s="243" customFormat="1">
      <c r="A144" s="234">
        <v>65</v>
      </c>
      <c r="B144" s="287">
        <v>41993</v>
      </c>
      <c r="C144" s="288" t="s">
        <v>13</v>
      </c>
      <c r="D144" s="288" t="s">
        <v>36</v>
      </c>
      <c r="E144" s="289">
        <v>34.53</v>
      </c>
      <c r="F144" s="245"/>
      <c r="G144" s="245">
        <f>E144</f>
        <v>34.53</v>
      </c>
      <c r="H144" s="245">
        <v>0</v>
      </c>
      <c r="I144" s="352"/>
    </row>
    <row r="145" spans="1:9" s="243" customFormat="1">
      <c r="A145" s="234"/>
      <c r="B145" s="244"/>
      <c r="E145" s="355"/>
      <c r="F145" s="248">
        <f>SUM(E134:E144)</f>
        <v>2218.0099999999998</v>
      </c>
      <c r="G145" s="248">
        <f>SUM(G134:G144)</f>
        <v>1910.1199999999997</v>
      </c>
      <c r="H145" s="248">
        <f>SUM(H134:H144)</f>
        <v>307.89</v>
      </c>
      <c r="I145" s="352"/>
    </row>
    <row r="146" spans="1:9" s="243" customFormat="1">
      <c r="A146" s="234"/>
      <c r="B146" s="244"/>
      <c r="E146" s="355"/>
      <c r="F146" s="248"/>
      <c r="G146" s="248"/>
      <c r="H146" s="248"/>
      <c r="I146" s="352"/>
    </row>
    <row r="147" spans="1:9" s="243" customFormat="1">
      <c r="A147" s="234">
        <v>66</v>
      </c>
      <c r="B147" s="281">
        <v>41969</v>
      </c>
      <c r="C147" s="282" t="s">
        <v>5</v>
      </c>
      <c r="D147" s="280" t="s">
        <v>186</v>
      </c>
      <c r="E147" s="283">
        <f>3957*1.0825</f>
        <v>4283.4525000000003</v>
      </c>
      <c r="F147" s="245"/>
      <c r="G147" s="245">
        <v>0</v>
      </c>
      <c r="H147" s="245">
        <f>E147</f>
        <v>4283.4525000000003</v>
      </c>
      <c r="I147" s="352"/>
    </row>
    <row r="148" spans="1:9" s="243" customFormat="1">
      <c r="A148" s="234"/>
      <c r="B148" s="244"/>
      <c r="E148" s="355"/>
      <c r="F148" s="248">
        <f>E147</f>
        <v>4283.4525000000003</v>
      </c>
      <c r="G148" s="248">
        <f>SUM(G147)</f>
        <v>0</v>
      </c>
      <c r="H148" s="248">
        <f>SUM(H147)</f>
        <v>4283.4525000000003</v>
      </c>
      <c r="I148" s="352"/>
    </row>
    <row r="149" spans="1:9" s="243" customFormat="1">
      <c r="A149" s="234"/>
      <c r="B149" s="244"/>
      <c r="E149" s="355"/>
      <c r="F149" s="245"/>
      <c r="G149" s="245"/>
      <c r="H149" s="245"/>
      <c r="I149" s="352"/>
    </row>
    <row r="150" spans="1:9" s="243" customFormat="1">
      <c r="A150" s="234">
        <v>68</v>
      </c>
      <c r="B150" s="281">
        <v>41969</v>
      </c>
      <c r="C150" s="282" t="s">
        <v>5</v>
      </c>
      <c r="D150" s="280" t="s">
        <v>187</v>
      </c>
      <c r="E150" s="283">
        <f>6392-(3957*1.0825)</f>
        <v>2108.5474999999997</v>
      </c>
      <c r="F150" s="245"/>
      <c r="G150" s="245">
        <v>0</v>
      </c>
      <c r="H150" s="245">
        <f>E150</f>
        <v>2108.5474999999997</v>
      </c>
      <c r="I150" s="352"/>
    </row>
    <row r="151" spans="1:9" s="243" customFormat="1">
      <c r="A151" s="234"/>
      <c r="B151" s="244"/>
      <c r="E151" s="355"/>
      <c r="F151" s="248">
        <f>E150</f>
        <v>2108.5474999999997</v>
      </c>
      <c r="G151" s="248">
        <f>SUM(G150)</f>
        <v>0</v>
      </c>
      <c r="H151" s="248">
        <f>SUM(H150)</f>
        <v>2108.5474999999997</v>
      </c>
      <c r="I151" s="352"/>
    </row>
    <row r="152" spans="1:9" s="243" customFormat="1">
      <c r="A152" s="234"/>
      <c r="B152" s="244"/>
      <c r="E152" s="355"/>
      <c r="F152" s="245"/>
      <c r="G152" s="245"/>
      <c r="H152" s="245"/>
      <c r="I152" s="352"/>
    </row>
    <row r="153" spans="1:9">
      <c r="A153" s="234">
        <v>69</v>
      </c>
      <c r="B153" s="244">
        <v>41880</v>
      </c>
      <c r="C153" s="243" t="s">
        <v>131</v>
      </c>
      <c r="D153" s="243" t="s">
        <v>132</v>
      </c>
      <c r="E153" s="355">
        <v>2684.76</v>
      </c>
      <c r="F153" s="245"/>
      <c r="G153" s="245">
        <f>E153</f>
        <v>2684.76</v>
      </c>
      <c r="H153" s="245">
        <v>0</v>
      </c>
    </row>
    <row r="154" spans="1:9" s="243" customFormat="1">
      <c r="A154" s="234">
        <v>69</v>
      </c>
      <c r="B154" s="277">
        <v>41926</v>
      </c>
      <c r="C154" s="276" t="s">
        <v>133</v>
      </c>
      <c r="D154" s="276" t="s">
        <v>132</v>
      </c>
      <c r="E154" s="356">
        <v>2147.8000000000002</v>
      </c>
      <c r="F154" s="242"/>
      <c r="G154" s="242"/>
      <c r="H154" s="242">
        <f>E154</f>
        <v>2147.8000000000002</v>
      </c>
      <c r="I154" s="352"/>
    </row>
    <row r="155" spans="1:9" s="243" customFormat="1">
      <c r="A155" s="234">
        <v>69</v>
      </c>
      <c r="B155" s="287">
        <v>41983</v>
      </c>
      <c r="C155" s="288" t="s">
        <v>131</v>
      </c>
      <c r="D155" s="288" t="s">
        <v>132</v>
      </c>
      <c r="E155" s="289">
        <v>536.96</v>
      </c>
      <c r="F155" s="242"/>
      <c r="G155" s="242">
        <v>0</v>
      </c>
      <c r="H155" s="242">
        <f>E155</f>
        <v>536.96</v>
      </c>
      <c r="I155" s="352"/>
    </row>
    <row r="156" spans="1:9" s="243" customFormat="1">
      <c r="A156" s="234"/>
      <c r="B156" s="244"/>
      <c r="E156" s="266"/>
      <c r="F156" s="248">
        <f>SUM(E153:E155)</f>
        <v>5369.52</v>
      </c>
      <c r="G156" s="248">
        <f>SUM(G153:G155)</f>
        <v>2684.76</v>
      </c>
      <c r="H156" s="248">
        <f>SUM(H153:H155)</f>
        <v>2684.76</v>
      </c>
    </row>
    <row r="157" spans="1:9" s="243" customFormat="1">
      <c r="A157" s="234"/>
      <c r="B157" s="244"/>
      <c r="E157" s="355"/>
      <c r="F157" s="245"/>
      <c r="G157" s="245"/>
      <c r="H157" s="248"/>
    </row>
    <row r="158" spans="1:9" s="243" customFormat="1">
      <c r="A158" s="234">
        <v>77</v>
      </c>
      <c r="B158" s="290">
        <v>42010</v>
      </c>
      <c r="C158" s="291" t="s">
        <v>169</v>
      </c>
      <c r="D158" s="291" t="s">
        <v>170</v>
      </c>
      <c r="E158" s="292">
        <v>8120</v>
      </c>
      <c r="F158" s="245"/>
      <c r="G158" s="245">
        <v>0</v>
      </c>
      <c r="H158" s="248">
        <f>E158</f>
        <v>8120</v>
      </c>
    </row>
    <row r="159" spans="1:9" s="243" customFormat="1">
      <c r="A159" s="234"/>
      <c r="B159" s="244"/>
      <c r="E159" s="355"/>
      <c r="F159" s="248">
        <f>E158</f>
        <v>8120</v>
      </c>
      <c r="G159" s="245">
        <f>G158</f>
        <v>0</v>
      </c>
      <c r="H159" s="248">
        <f>H158</f>
        <v>8120</v>
      </c>
    </row>
    <row r="160" spans="1:9" s="243" customFormat="1">
      <c r="A160" s="234"/>
      <c r="B160" s="244"/>
      <c r="E160" s="355"/>
      <c r="F160" s="245"/>
      <c r="G160" s="245"/>
      <c r="H160" s="248"/>
    </row>
    <row r="161" spans="1:8" s="243" customFormat="1">
      <c r="A161" s="234">
        <v>78</v>
      </c>
      <c r="B161" s="281">
        <v>41985</v>
      </c>
      <c r="C161" s="282" t="s">
        <v>123</v>
      </c>
      <c r="D161" s="280" t="s">
        <v>124</v>
      </c>
      <c r="E161" s="283">
        <v>3500</v>
      </c>
      <c r="F161" s="245"/>
      <c r="G161" s="245">
        <v>0</v>
      </c>
      <c r="H161" s="357">
        <f>E161</f>
        <v>3500</v>
      </c>
    </row>
    <row r="162" spans="1:8" s="243" customFormat="1">
      <c r="A162" s="234">
        <v>78</v>
      </c>
      <c r="B162" s="290">
        <v>42010</v>
      </c>
      <c r="C162" s="291" t="s">
        <v>123</v>
      </c>
      <c r="D162" s="291" t="s">
        <v>171</v>
      </c>
      <c r="E162" s="292">
        <v>2500</v>
      </c>
      <c r="F162" s="245"/>
      <c r="G162" s="245">
        <v>0</v>
      </c>
      <c r="H162" s="357">
        <f>E162</f>
        <v>2500</v>
      </c>
    </row>
    <row r="163" spans="1:8" s="243" customFormat="1">
      <c r="A163" s="234"/>
      <c r="B163" s="244"/>
      <c r="E163" s="355"/>
      <c r="F163" s="248">
        <f>SUM(E161:E162)</f>
        <v>6000</v>
      </c>
      <c r="G163" s="245">
        <f>SUM(G161:G162)</f>
        <v>0</v>
      </c>
      <c r="H163" s="248">
        <f>SUM(H161:H162)</f>
        <v>6000</v>
      </c>
    </row>
    <row r="164" spans="1:8" s="243" customFormat="1">
      <c r="A164" s="234"/>
      <c r="B164" s="244"/>
      <c r="E164" s="355"/>
      <c r="F164" s="245"/>
      <c r="G164" s="245"/>
      <c r="H164" s="248"/>
    </row>
    <row r="165" spans="1:8" s="243" customFormat="1">
      <c r="A165" s="234">
        <v>79</v>
      </c>
      <c r="B165" s="277">
        <v>41934</v>
      </c>
      <c r="C165" s="276" t="s">
        <v>44</v>
      </c>
      <c r="D165" s="276" t="s">
        <v>45</v>
      </c>
      <c r="E165" s="289">
        <v>5000</v>
      </c>
      <c r="F165" s="245"/>
      <c r="G165" s="245">
        <v>0</v>
      </c>
      <c r="H165" s="245">
        <f>E165</f>
        <v>5000</v>
      </c>
    </row>
    <row r="166" spans="1:8" s="243" customFormat="1">
      <c r="A166" s="234">
        <v>79</v>
      </c>
      <c r="B166" s="287">
        <v>41976</v>
      </c>
      <c r="C166" s="288" t="s">
        <v>44</v>
      </c>
      <c r="D166" s="288" t="s">
        <v>46</v>
      </c>
      <c r="E166" s="289">
        <v>5000</v>
      </c>
      <c r="F166" s="245"/>
      <c r="G166" s="245">
        <v>0</v>
      </c>
      <c r="H166" s="245">
        <f>E166</f>
        <v>5000</v>
      </c>
    </row>
    <row r="167" spans="1:8" s="243" customFormat="1">
      <c r="A167" s="234">
        <v>79</v>
      </c>
      <c r="B167" s="281">
        <v>41984</v>
      </c>
      <c r="C167" s="282" t="s">
        <v>44</v>
      </c>
      <c r="D167" s="280" t="s">
        <v>47</v>
      </c>
      <c r="E167" s="283">
        <v>3250</v>
      </c>
      <c r="F167" s="245"/>
      <c r="G167" s="245">
        <v>0</v>
      </c>
      <c r="H167" s="245">
        <f>E167</f>
        <v>3250</v>
      </c>
    </row>
    <row r="168" spans="1:8" s="243" customFormat="1">
      <c r="A168" s="234"/>
      <c r="B168" s="244"/>
      <c r="E168" s="355"/>
      <c r="F168" s="248">
        <f>SUM(E165:E167)</f>
        <v>13250</v>
      </c>
      <c r="G168" s="245">
        <f>SUM(G165:G167)</f>
        <v>0</v>
      </c>
      <c r="H168" s="248">
        <f>SUM(H165:H167)</f>
        <v>13250</v>
      </c>
    </row>
    <row r="169" spans="1:8" s="243" customFormat="1">
      <c r="A169" s="234"/>
      <c r="B169" s="244"/>
      <c r="E169" s="355"/>
      <c r="F169" s="245"/>
      <c r="G169" s="245"/>
      <c r="H169" s="248"/>
    </row>
    <row r="170" spans="1:8" s="243" customFormat="1">
      <c r="A170" s="234">
        <v>84</v>
      </c>
      <c r="B170" s="281">
        <v>41974</v>
      </c>
      <c r="C170" s="282" t="s">
        <v>87</v>
      </c>
      <c r="D170" s="280" t="s">
        <v>188</v>
      </c>
      <c r="E170" s="283">
        <v>388.73</v>
      </c>
      <c r="F170" s="245"/>
      <c r="G170" s="245">
        <f>E170</f>
        <v>388.73</v>
      </c>
      <c r="H170" s="248">
        <v>0</v>
      </c>
    </row>
    <row r="171" spans="1:8" s="243" customFormat="1">
      <c r="A171" s="234"/>
      <c r="B171" s="244"/>
      <c r="E171" s="355"/>
      <c r="F171" s="248">
        <f>E170</f>
        <v>388.73</v>
      </c>
      <c r="G171" s="248">
        <f>SUM(G170)</f>
        <v>388.73</v>
      </c>
      <c r="H171" s="248">
        <f>SUM(H170)</f>
        <v>0</v>
      </c>
    </row>
    <row r="172" spans="1:8" s="243" customFormat="1">
      <c r="A172" s="234"/>
      <c r="B172" s="244"/>
      <c r="E172" s="355"/>
      <c r="F172" s="245"/>
      <c r="G172" s="245"/>
      <c r="H172" s="248"/>
    </row>
    <row r="173" spans="1:8" s="243" customFormat="1">
      <c r="A173" s="234">
        <v>87</v>
      </c>
      <c r="B173" s="244">
        <v>41651</v>
      </c>
      <c r="C173" s="243" t="s">
        <v>87</v>
      </c>
      <c r="D173" s="243" t="s">
        <v>91</v>
      </c>
      <c r="E173" s="355">
        <v>846.44</v>
      </c>
      <c r="F173" s="245"/>
      <c r="G173" s="245">
        <v>846.44</v>
      </c>
      <c r="H173" s="245">
        <v>0</v>
      </c>
    </row>
    <row r="174" spans="1:8" s="243" customFormat="1">
      <c r="A174" s="234">
        <v>87</v>
      </c>
      <c r="B174" s="287">
        <v>41974</v>
      </c>
      <c r="C174" s="288" t="s">
        <v>87</v>
      </c>
      <c r="D174" s="288" t="s">
        <v>189</v>
      </c>
      <c r="E174" s="289">
        <v>2946.18</v>
      </c>
      <c r="F174" s="245"/>
      <c r="G174" s="245">
        <f>E174</f>
        <v>2946.18</v>
      </c>
      <c r="H174" s="245">
        <v>0</v>
      </c>
    </row>
    <row r="175" spans="1:8" s="243" customFormat="1">
      <c r="A175" s="234">
        <v>87</v>
      </c>
      <c r="B175" s="353">
        <v>41999</v>
      </c>
      <c r="C175" s="351" t="s">
        <v>77</v>
      </c>
      <c r="D175" s="351" t="s">
        <v>162</v>
      </c>
      <c r="E175" s="354">
        <f>429*1.0825</f>
        <v>464.39249999999998</v>
      </c>
      <c r="F175" s="245"/>
      <c r="G175" s="245">
        <f>E175</f>
        <v>464.39249999999998</v>
      </c>
      <c r="H175" s="245">
        <v>0</v>
      </c>
    </row>
    <row r="176" spans="1:8" s="243" customFormat="1">
      <c r="A176" s="234">
        <v>87</v>
      </c>
      <c r="B176" s="290">
        <v>42010</v>
      </c>
      <c r="C176" s="291" t="s">
        <v>87</v>
      </c>
      <c r="D176" s="291" t="s">
        <v>168</v>
      </c>
      <c r="E176" s="292">
        <v>718.83</v>
      </c>
      <c r="F176" s="291"/>
      <c r="G176" s="245">
        <f>E176</f>
        <v>718.83</v>
      </c>
      <c r="H176" s="245">
        <v>0</v>
      </c>
    </row>
    <row r="177" spans="1:9" s="243" customFormat="1">
      <c r="A177" s="234"/>
      <c r="B177" s="244"/>
      <c r="E177" s="266"/>
      <c r="F177" s="248">
        <f>SUM(E173:E176)</f>
        <v>4975.8424999999997</v>
      </c>
      <c r="G177" s="248">
        <f>SUM(G173:G176)</f>
        <v>4975.8424999999997</v>
      </c>
      <c r="H177" s="248">
        <f>SUM(H173:H176)</f>
        <v>0</v>
      </c>
    </row>
    <row r="178" spans="1:9" s="243" customFormat="1">
      <c r="A178" s="234"/>
      <c r="B178" s="244"/>
      <c r="E178" s="355"/>
      <c r="F178" s="245"/>
      <c r="G178" s="245"/>
      <c r="H178" s="248"/>
    </row>
    <row r="179" spans="1:9" s="243" customFormat="1">
      <c r="A179" s="243">
        <v>89</v>
      </c>
      <c r="B179" s="244">
        <v>41627</v>
      </c>
      <c r="C179" s="243" t="s">
        <v>13</v>
      </c>
      <c r="D179" s="243" t="s">
        <v>21</v>
      </c>
      <c r="E179" s="355">
        <v>79.900000000000006</v>
      </c>
      <c r="F179" s="245"/>
      <c r="G179" s="245">
        <v>79.900000000000006</v>
      </c>
      <c r="H179" s="245">
        <v>0</v>
      </c>
    </row>
    <row r="180" spans="1:9" s="243" customFormat="1">
      <c r="A180" s="243">
        <v>89</v>
      </c>
      <c r="B180" s="244">
        <v>41628</v>
      </c>
      <c r="C180" s="243" t="s">
        <v>13</v>
      </c>
      <c r="D180" s="243" t="s">
        <v>21</v>
      </c>
      <c r="E180" s="355">
        <v>63.95</v>
      </c>
      <c r="F180" s="245"/>
      <c r="G180" s="245">
        <v>63.95</v>
      </c>
      <c r="H180" s="245">
        <f t="shared" ref="H180:H195" si="16">E179-G179</f>
        <v>0</v>
      </c>
    </row>
    <row r="181" spans="1:9" s="243" customFormat="1">
      <c r="A181" s="243">
        <v>89</v>
      </c>
      <c r="B181" s="244">
        <v>41635</v>
      </c>
      <c r="C181" s="243" t="s">
        <v>13</v>
      </c>
      <c r="D181" s="243" t="s">
        <v>22</v>
      </c>
      <c r="E181" s="355">
        <v>227.34</v>
      </c>
      <c r="F181" s="245"/>
      <c r="G181" s="245">
        <v>227.34</v>
      </c>
      <c r="H181" s="245">
        <f t="shared" si="16"/>
        <v>0</v>
      </c>
    </row>
    <row r="182" spans="1:9" s="243" customFormat="1">
      <c r="A182" s="243">
        <v>89</v>
      </c>
      <c r="B182" s="244">
        <v>41635</v>
      </c>
      <c r="C182" s="243" t="s">
        <v>13</v>
      </c>
      <c r="D182" s="243" t="s">
        <v>22</v>
      </c>
      <c r="E182" s="355">
        <v>105.32</v>
      </c>
      <c r="F182" s="245"/>
      <c r="G182" s="245">
        <v>105.32</v>
      </c>
      <c r="H182" s="245">
        <f t="shared" si="16"/>
        <v>0</v>
      </c>
    </row>
    <row r="183" spans="1:9" s="243" customFormat="1">
      <c r="A183" s="243">
        <v>89</v>
      </c>
      <c r="B183" s="244">
        <v>41648</v>
      </c>
      <c r="C183" s="243" t="s">
        <v>13</v>
      </c>
      <c r="D183" s="243" t="s">
        <v>23</v>
      </c>
      <c r="E183" s="355">
        <v>83.68</v>
      </c>
      <c r="F183" s="245"/>
      <c r="G183" s="245">
        <v>83.68</v>
      </c>
      <c r="H183" s="245">
        <f t="shared" si="16"/>
        <v>0</v>
      </c>
    </row>
    <row r="184" spans="1:9" s="243" customFormat="1">
      <c r="A184" s="243">
        <v>89</v>
      </c>
      <c r="B184" s="244">
        <v>41860</v>
      </c>
      <c r="C184" s="243" t="s">
        <v>13</v>
      </c>
      <c r="D184" s="243" t="s">
        <v>24</v>
      </c>
      <c r="E184" s="355">
        <v>66.03</v>
      </c>
      <c r="F184" s="245"/>
      <c r="G184" s="245">
        <v>66.03</v>
      </c>
      <c r="H184" s="245">
        <f t="shared" si="16"/>
        <v>0</v>
      </c>
      <c r="I184" s="234"/>
    </row>
    <row r="185" spans="1:9" s="243" customFormat="1">
      <c r="A185" s="243">
        <v>89</v>
      </c>
      <c r="B185" s="244">
        <v>41860</v>
      </c>
      <c r="C185" s="243" t="s">
        <v>13</v>
      </c>
      <c r="D185" s="243" t="s">
        <v>25</v>
      </c>
      <c r="E185" s="355">
        <v>57.89</v>
      </c>
      <c r="F185" s="245"/>
      <c r="G185" s="245">
        <v>57.89</v>
      </c>
      <c r="H185" s="245">
        <f t="shared" si="16"/>
        <v>0</v>
      </c>
    </row>
    <row r="186" spans="1:9" s="243" customFormat="1">
      <c r="A186" s="234">
        <v>89</v>
      </c>
      <c r="B186" s="241">
        <v>41870</v>
      </c>
      <c r="C186" s="234" t="s">
        <v>13</v>
      </c>
      <c r="D186" s="234" t="s">
        <v>30</v>
      </c>
      <c r="E186" s="356">
        <v>31.54</v>
      </c>
      <c r="F186" s="242"/>
      <c r="G186" s="242">
        <v>31.54</v>
      </c>
      <c r="H186" s="245">
        <f t="shared" si="16"/>
        <v>0</v>
      </c>
    </row>
    <row r="187" spans="1:9" s="243" customFormat="1">
      <c r="A187" s="234">
        <v>89</v>
      </c>
      <c r="B187" s="238">
        <v>41871</v>
      </c>
      <c r="C187" s="239" t="s">
        <v>13</v>
      </c>
      <c r="D187" s="239" t="s">
        <v>26</v>
      </c>
      <c r="E187" s="269">
        <v>247.6</v>
      </c>
      <c r="F187" s="240"/>
      <c r="G187" s="240">
        <v>247.6</v>
      </c>
      <c r="H187" s="245">
        <f t="shared" si="16"/>
        <v>0</v>
      </c>
    </row>
    <row r="188" spans="1:9" s="243" customFormat="1">
      <c r="A188" s="234">
        <v>89</v>
      </c>
      <c r="B188" s="244">
        <v>41892</v>
      </c>
      <c r="C188" s="243" t="s">
        <v>13</v>
      </c>
      <c r="D188" s="275" t="s">
        <v>190</v>
      </c>
      <c r="E188" s="355">
        <v>15.9</v>
      </c>
      <c r="F188" s="245"/>
      <c r="G188" s="245">
        <v>15.9</v>
      </c>
      <c r="H188" s="245">
        <f t="shared" si="16"/>
        <v>0</v>
      </c>
    </row>
    <row r="189" spans="1:9" s="243" customFormat="1">
      <c r="A189" s="234">
        <v>89</v>
      </c>
      <c r="B189" s="244">
        <v>41892</v>
      </c>
      <c r="C189" s="243" t="s">
        <v>13</v>
      </c>
      <c r="D189" s="275" t="s">
        <v>191</v>
      </c>
      <c r="E189" s="355">
        <v>69.48</v>
      </c>
      <c r="F189" s="245"/>
      <c r="G189" s="245">
        <v>69.48</v>
      </c>
      <c r="H189" s="245">
        <f t="shared" si="16"/>
        <v>0</v>
      </c>
    </row>
    <row r="190" spans="1:9" s="243" customFormat="1">
      <c r="A190" s="234">
        <v>89</v>
      </c>
      <c r="B190" s="244">
        <v>41628</v>
      </c>
      <c r="C190" s="243" t="s">
        <v>42</v>
      </c>
      <c r="D190" s="243" t="s">
        <v>21</v>
      </c>
      <c r="E190" s="355">
        <v>79.900000000000006</v>
      </c>
      <c r="F190" s="245"/>
      <c r="G190" s="245">
        <v>79.900000000000006</v>
      </c>
      <c r="H190" s="245">
        <f t="shared" si="16"/>
        <v>0</v>
      </c>
    </row>
    <row r="191" spans="1:9" s="243" customFormat="1">
      <c r="A191" s="234">
        <v>89</v>
      </c>
      <c r="B191" s="244">
        <v>41645</v>
      </c>
      <c r="C191" s="243" t="s">
        <v>42</v>
      </c>
      <c r="D191" s="243" t="s">
        <v>43</v>
      </c>
      <c r="E191" s="355">
        <v>94.6</v>
      </c>
      <c r="F191" s="245"/>
      <c r="G191" s="245">
        <v>94.6</v>
      </c>
      <c r="H191" s="245">
        <f t="shared" si="16"/>
        <v>0</v>
      </c>
    </row>
    <row r="192" spans="1:9">
      <c r="A192" s="234">
        <v>89</v>
      </c>
      <c r="B192" s="244">
        <v>41570</v>
      </c>
      <c r="C192" s="243" t="s">
        <v>87</v>
      </c>
      <c r="D192" s="243" t="s">
        <v>88</v>
      </c>
      <c r="E192" s="355">
        <f>(149+149+119.91)*1.08245</f>
        <v>452.36667949999992</v>
      </c>
      <c r="F192" s="245"/>
      <c r="G192" s="245">
        <f t="shared" ref="G192" si="17">(149+149+119.91)*1.08245</f>
        <v>452.36667949999992</v>
      </c>
      <c r="H192" s="245">
        <f t="shared" si="16"/>
        <v>0</v>
      </c>
      <c r="I192" s="243"/>
    </row>
    <row r="193" spans="1:9" s="243" customFormat="1">
      <c r="A193" s="234">
        <v>89</v>
      </c>
      <c r="B193" s="244">
        <v>41603</v>
      </c>
      <c r="C193" s="243" t="s">
        <v>87</v>
      </c>
      <c r="D193" s="243" t="s">
        <v>89</v>
      </c>
      <c r="E193" s="355">
        <v>96.52</v>
      </c>
      <c r="F193" s="245"/>
      <c r="G193" s="245">
        <v>96.52</v>
      </c>
      <c r="H193" s="245">
        <f t="shared" si="16"/>
        <v>0</v>
      </c>
      <c r="I193" s="234"/>
    </row>
    <row r="194" spans="1:9" s="243" customFormat="1">
      <c r="A194" s="234">
        <v>89</v>
      </c>
      <c r="B194" s="244">
        <v>41603</v>
      </c>
      <c r="C194" s="243" t="s">
        <v>87</v>
      </c>
      <c r="D194" s="243" t="s">
        <v>90</v>
      </c>
      <c r="E194" s="355">
        <v>543.41999999999996</v>
      </c>
      <c r="F194" s="245"/>
      <c r="G194" s="245">
        <v>543.41999999999996</v>
      </c>
      <c r="H194" s="245">
        <f t="shared" si="16"/>
        <v>0</v>
      </c>
      <c r="I194" s="234"/>
    </row>
    <row r="195" spans="1:9">
      <c r="A195" s="234">
        <v>89</v>
      </c>
      <c r="B195" s="241">
        <v>41924</v>
      </c>
      <c r="C195" s="276" t="s">
        <v>64</v>
      </c>
      <c r="D195" s="276" t="s">
        <v>65</v>
      </c>
      <c r="E195" s="242">
        <v>147.07</v>
      </c>
      <c r="F195" s="276"/>
      <c r="G195" s="242">
        <f>E195</f>
        <v>147.07</v>
      </c>
      <c r="H195" s="245">
        <f t="shared" si="16"/>
        <v>0</v>
      </c>
    </row>
    <row r="196" spans="1:9" s="243" customFormat="1">
      <c r="A196" s="234">
        <v>89</v>
      </c>
      <c r="B196" s="241">
        <v>41868</v>
      </c>
      <c r="C196" s="243" t="s">
        <v>157</v>
      </c>
      <c r="D196" s="234" t="s">
        <v>156</v>
      </c>
      <c r="E196" s="356">
        <f>75.99+70.8</f>
        <v>146.79</v>
      </c>
      <c r="F196" s="242"/>
      <c r="G196" s="242">
        <f t="shared" ref="G196" si="18">75.99+70.8</f>
        <v>146.79</v>
      </c>
      <c r="H196" s="245">
        <f>E194-G194</f>
        <v>0</v>
      </c>
      <c r="I196" s="234"/>
    </row>
    <row r="197" spans="1:9" s="243" customFormat="1">
      <c r="A197" s="234">
        <v>89</v>
      </c>
      <c r="B197" s="281">
        <v>41974</v>
      </c>
      <c r="C197" s="282" t="s">
        <v>87</v>
      </c>
      <c r="D197" s="280" t="s">
        <v>192</v>
      </c>
      <c r="E197" s="283">
        <v>321.99</v>
      </c>
      <c r="F197" s="242"/>
      <c r="G197" s="242">
        <f>E197</f>
        <v>321.99</v>
      </c>
      <c r="H197" s="245">
        <v>0</v>
      </c>
      <c r="I197" s="234"/>
    </row>
    <row r="198" spans="1:9" s="243" customFormat="1">
      <c r="A198" s="234"/>
      <c r="B198" s="241"/>
      <c r="D198" s="234"/>
      <c r="E198" s="268"/>
      <c r="F198" s="248">
        <f>SUM(E179:E197)</f>
        <v>2931.2866795</v>
      </c>
      <c r="G198" s="249">
        <f>SUM(G179:G197)</f>
        <v>2931.2866795</v>
      </c>
      <c r="H198" s="248">
        <f>SUM(H179:H197)</f>
        <v>0</v>
      </c>
    </row>
    <row r="199" spans="1:9" s="243" customFormat="1">
      <c r="A199" s="234"/>
      <c r="B199" s="241"/>
      <c r="D199" s="234"/>
      <c r="E199" s="356"/>
      <c r="F199" s="242"/>
      <c r="G199" s="242"/>
      <c r="H199" s="249"/>
    </row>
    <row r="200" spans="1:9" s="243" customFormat="1">
      <c r="A200" s="234">
        <v>90</v>
      </c>
      <c r="B200" s="353">
        <v>41999</v>
      </c>
      <c r="C200" s="351" t="s">
        <v>77</v>
      </c>
      <c r="D200" s="351" t="s">
        <v>161</v>
      </c>
      <c r="E200" s="354">
        <v>5443.72</v>
      </c>
      <c r="F200" s="245"/>
      <c r="G200" s="245">
        <v>0</v>
      </c>
      <c r="H200" s="245">
        <f>E200</f>
        <v>5443.72</v>
      </c>
    </row>
    <row r="201" spans="1:9" s="243" customFormat="1">
      <c r="A201" s="234">
        <v>90</v>
      </c>
      <c r="B201" s="353">
        <v>41999</v>
      </c>
      <c r="C201" s="351" t="s">
        <v>77</v>
      </c>
      <c r="D201" s="351" t="s">
        <v>164</v>
      </c>
      <c r="E201" s="354">
        <f>(470+273+435+30+14.95+70+60)*0.8*1.0825</f>
        <v>1171.6547</v>
      </c>
      <c r="F201" s="245"/>
      <c r="G201" s="245">
        <v>0</v>
      </c>
      <c r="H201" s="245">
        <f>E201</f>
        <v>1171.6547</v>
      </c>
    </row>
    <row r="202" spans="1:9" s="243" customFormat="1">
      <c r="A202" s="234"/>
      <c r="B202" s="241"/>
      <c r="D202" s="234"/>
      <c r="E202" s="356"/>
      <c r="F202" s="249">
        <f>SUM(E200:E201)</f>
        <v>6615.3747000000003</v>
      </c>
      <c r="G202" s="249">
        <f>SUM(G200:G201)</f>
        <v>0</v>
      </c>
      <c r="H202" s="249">
        <f>SUM(H200:H201)</f>
        <v>6615.3747000000003</v>
      </c>
    </row>
    <row r="203" spans="1:9" s="243" customFormat="1">
      <c r="A203" s="234"/>
      <c r="B203" s="241"/>
      <c r="D203" s="234"/>
      <c r="E203" s="356"/>
      <c r="F203" s="242"/>
      <c r="G203" s="242"/>
      <c r="H203" s="249"/>
    </row>
    <row r="204" spans="1:9" s="243" customFormat="1">
      <c r="A204" s="234">
        <v>96</v>
      </c>
      <c r="B204" s="244">
        <v>41650</v>
      </c>
      <c r="C204" s="243" t="s">
        <v>97</v>
      </c>
      <c r="D204" s="352" t="s">
        <v>193</v>
      </c>
      <c r="E204" s="355">
        <v>623.09</v>
      </c>
      <c r="F204" s="245"/>
      <c r="G204" s="245">
        <v>0</v>
      </c>
      <c r="H204" s="242">
        <f>E204</f>
        <v>623.09</v>
      </c>
    </row>
    <row r="205" spans="1:9" s="243" customFormat="1">
      <c r="A205" s="234"/>
      <c r="B205" s="244"/>
      <c r="D205" s="352"/>
      <c r="E205" s="266"/>
      <c r="F205" s="248">
        <f>SUM(E204)</f>
        <v>623.09</v>
      </c>
      <c r="G205" s="248">
        <f t="shared" ref="G205" si="19">SUM(G204)</f>
        <v>0</v>
      </c>
      <c r="H205" s="248">
        <f>SUM(H204)</f>
        <v>623.09</v>
      </c>
    </row>
    <row r="206" spans="1:9" s="243" customFormat="1">
      <c r="A206" s="234"/>
      <c r="B206" s="244"/>
      <c r="E206" s="355"/>
      <c r="F206" s="245"/>
      <c r="G206" s="245"/>
      <c r="H206" s="248"/>
    </row>
    <row r="207" spans="1:9" s="243" customFormat="1">
      <c r="A207" s="243">
        <v>101</v>
      </c>
      <c r="B207" s="244">
        <v>41626</v>
      </c>
      <c r="C207" s="243" t="s">
        <v>13</v>
      </c>
      <c r="D207" s="243" t="s">
        <v>16</v>
      </c>
      <c r="E207" s="355">
        <f>11.95*1.08245</f>
        <v>12.935277499999998</v>
      </c>
      <c r="F207" s="245"/>
      <c r="G207" s="245">
        <f t="shared" ref="G207" si="20">11.95*1.08245</f>
        <v>12.935277499999998</v>
      </c>
      <c r="H207" s="245">
        <v>0</v>
      </c>
    </row>
    <row r="208" spans="1:9" s="243" customFormat="1">
      <c r="A208" s="243">
        <v>101</v>
      </c>
      <c r="B208" s="244">
        <v>41626</v>
      </c>
      <c r="C208" s="243" t="s">
        <v>13</v>
      </c>
      <c r="D208" s="243" t="s">
        <v>17</v>
      </c>
      <c r="E208" s="355">
        <v>153.94999999999999</v>
      </c>
      <c r="F208" s="245"/>
      <c r="G208" s="245">
        <v>153.94999999999999</v>
      </c>
      <c r="H208" s="245">
        <f t="shared" ref="H208:H214" si="21">E207-G207</f>
        <v>0</v>
      </c>
    </row>
    <row r="209" spans="1:9" s="243" customFormat="1">
      <c r="A209" s="243">
        <v>101</v>
      </c>
      <c r="B209" s="244">
        <v>41626</v>
      </c>
      <c r="C209" s="243" t="s">
        <v>13</v>
      </c>
      <c r="D209" s="243" t="s">
        <v>17</v>
      </c>
      <c r="E209" s="355">
        <v>73.62</v>
      </c>
      <c r="F209" s="245"/>
      <c r="G209" s="245">
        <v>73.62</v>
      </c>
      <c r="H209" s="245">
        <f t="shared" si="21"/>
        <v>0</v>
      </c>
    </row>
    <row r="210" spans="1:9" s="243" customFormat="1">
      <c r="A210" s="243">
        <v>101</v>
      </c>
      <c r="B210" s="244">
        <v>41626</v>
      </c>
      <c r="C210" s="243" t="s">
        <v>13</v>
      </c>
      <c r="D210" s="243" t="s">
        <v>19</v>
      </c>
      <c r="E210" s="355">
        <v>121.99</v>
      </c>
      <c r="F210" s="245"/>
      <c r="G210" s="245">
        <v>121.99</v>
      </c>
      <c r="H210" s="245">
        <f t="shared" si="21"/>
        <v>0</v>
      </c>
    </row>
    <row r="211" spans="1:9" s="243" customFormat="1">
      <c r="A211" s="243">
        <v>101</v>
      </c>
      <c r="B211" s="244">
        <v>41626</v>
      </c>
      <c r="C211" s="243" t="s">
        <v>13</v>
      </c>
      <c r="D211" s="243" t="s">
        <v>20</v>
      </c>
      <c r="E211" s="355">
        <v>21.8</v>
      </c>
      <c r="F211" s="245"/>
      <c r="G211" s="245">
        <v>21.8</v>
      </c>
      <c r="H211" s="245">
        <f t="shared" si="21"/>
        <v>0</v>
      </c>
    </row>
    <row r="212" spans="1:9" s="243" customFormat="1">
      <c r="A212" s="243">
        <v>101</v>
      </c>
      <c r="B212" s="244">
        <v>41860</v>
      </c>
      <c r="C212" s="243" t="s">
        <v>13</v>
      </c>
      <c r="D212" s="243" t="s">
        <v>17</v>
      </c>
      <c r="E212" s="355">
        <v>60.44</v>
      </c>
      <c r="F212" s="245"/>
      <c r="G212" s="245">
        <v>60.44</v>
      </c>
      <c r="H212" s="245">
        <f t="shared" si="21"/>
        <v>0</v>
      </c>
    </row>
    <row r="213" spans="1:9" s="243" customFormat="1">
      <c r="A213" s="243">
        <v>101</v>
      </c>
      <c r="B213" s="244">
        <v>41860</v>
      </c>
      <c r="C213" s="243" t="s">
        <v>13</v>
      </c>
      <c r="D213" s="243" t="s">
        <v>17</v>
      </c>
      <c r="E213" s="355">
        <v>34.97</v>
      </c>
      <c r="F213" s="245"/>
      <c r="G213" s="245">
        <v>34.97</v>
      </c>
      <c r="H213" s="245">
        <f t="shared" si="21"/>
        <v>0</v>
      </c>
    </row>
    <row r="214" spans="1:9" s="243" customFormat="1">
      <c r="A214" s="234">
        <v>101</v>
      </c>
      <c r="B214" s="244">
        <v>41877</v>
      </c>
      <c r="C214" s="243" t="s">
        <v>13</v>
      </c>
      <c r="D214" s="243" t="s">
        <v>19</v>
      </c>
      <c r="E214" s="355">
        <v>175.79</v>
      </c>
      <c r="F214" s="245"/>
      <c r="G214" s="245">
        <v>175.79</v>
      </c>
      <c r="H214" s="245">
        <f t="shared" si="21"/>
        <v>0</v>
      </c>
    </row>
    <row r="215" spans="1:9" s="243" customFormat="1">
      <c r="A215" s="234">
        <v>101</v>
      </c>
      <c r="B215" s="244">
        <v>41741</v>
      </c>
      <c r="C215" s="243" t="s">
        <v>77</v>
      </c>
      <c r="D215" s="243" t="s">
        <v>78</v>
      </c>
      <c r="E215" s="355">
        <v>85.52</v>
      </c>
      <c r="F215" s="245"/>
      <c r="G215" s="245">
        <v>85.52</v>
      </c>
      <c r="H215" s="245">
        <v>0</v>
      </c>
    </row>
    <row r="216" spans="1:9" s="243" customFormat="1">
      <c r="A216" s="234">
        <v>101</v>
      </c>
      <c r="B216" s="244">
        <v>41741</v>
      </c>
      <c r="C216" s="243" t="s">
        <v>77</v>
      </c>
      <c r="D216" s="243" t="s">
        <v>79</v>
      </c>
      <c r="E216" s="355">
        <v>461.15</v>
      </c>
      <c r="F216" s="245"/>
      <c r="G216" s="245">
        <v>461.15</v>
      </c>
      <c r="H216" s="245">
        <f>E215-G215</f>
        <v>0</v>
      </c>
    </row>
    <row r="217" spans="1:9" s="243" customFormat="1">
      <c r="A217" s="234">
        <v>101</v>
      </c>
      <c r="B217" s="353">
        <v>41999</v>
      </c>
      <c r="C217" s="351" t="s">
        <v>77</v>
      </c>
      <c r="D217" s="351" t="s">
        <v>165</v>
      </c>
      <c r="E217" s="355">
        <v>1187.78</v>
      </c>
      <c r="F217" s="245"/>
      <c r="G217" s="245">
        <f>E217</f>
        <v>1187.78</v>
      </c>
      <c r="H217" s="245">
        <v>0</v>
      </c>
    </row>
    <row r="218" spans="1:9" s="243" customFormat="1">
      <c r="A218" s="234"/>
      <c r="B218" s="244"/>
      <c r="E218" s="266"/>
      <c r="F218" s="248">
        <f>SUM(E207:E217)</f>
        <v>2389.9452775</v>
      </c>
      <c r="G218" s="248">
        <f>SUM(G207:G217)</f>
        <v>2389.9452775</v>
      </c>
      <c r="H218" s="248">
        <f>SUM(H207:H217)</f>
        <v>0</v>
      </c>
    </row>
    <row r="219" spans="1:9" s="243" customFormat="1">
      <c r="A219" s="234"/>
      <c r="B219" s="244"/>
      <c r="E219" s="355"/>
      <c r="F219" s="245"/>
      <c r="G219" s="245"/>
      <c r="H219" s="248"/>
    </row>
    <row r="220" spans="1:9" s="243" customFormat="1">
      <c r="A220" s="234">
        <v>106</v>
      </c>
      <c r="B220" s="244">
        <v>41650</v>
      </c>
      <c r="C220" s="243" t="s">
        <v>97</v>
      </c>
      <c r="D220" s="352" t="s">
        <v>194</v>
      </c>
      <c r="E220" s="355">
        <v>776.91</v>
      </c>
      <c r="F220" s="245"/>
      <c r="G220" s="245">
        <v>0</v>
      </c>
      <c r="H220" s="245">
        <f>E220</f>
        <v>776.91</v>
      </c>
    </row>
    <row r="221" spans="1:9">
      <c r="B221" s="244"/>
      <c r="C221" s="243"/>
      <c r="D221" s="352"/>
      <c r="E221" s="266"/>
      <c r="F221" s="248">
        <f>SUM(E220)</f>
        <v>776.91</v>
      </c>
      <c r="G221" s="248">
        <f t="shared" ref="G221" si="22">SUM(G220)</f>
        <v>0</v>
      </c>
      <c r="H221" s="248">
        <f>SUM(H220)</f>
        <v>776.91</v>
      </c>
      <c r="I221" s="243"/>
    </row>
    <row r="222" spans="1:9">
      <c r="B222" s="244"/>
      <c r="C222" s="243"/>
      <c r="D222" s="352"/>
      <c r="E222" s="355"/>
      <c r="F222" s="245"/>
      <c r="G222" s="245"/>
      <c r="H222" s="248"/>
      <c r="I222" s="243"/>
    </row>
    <row r="223" spans="1:9">
      <c r="A223" s="243">
        <v>108</v>
      </c>
      <c r="B223" s="244">
        <v>41626</v>
      </c>
      <c r="C223" s="243" t="s">
        <v>13</v>
      </c>
      <c r="D223" s="243" t="s">
        <v>14</v>
      </c>
      <c r="E223" s="355">
        <v>63.9</v>
      </c>
      <c r="F223" s="245"/>
      <c r="G223" s="245">
        <v>63.9</v>
      </c>
      <c r="H223" s="245">
        <v>0</v>
      </c>
      <c r="I223" s="243"/>
    </row>
    <row r="224" spans="1:9">
      <c r="A224" s="243">
        <v>108</v>
      </c>
      <c r="B224" s="244">
        <v>41626</v>
      </c>
      <c r="C224" s="243" t="s">
        <v>13</v>
      </c>
      <c r="D224" s="243" t="s">
        <v>15</v>
      </c>
      <c r="E224" s="355">
        <f>64.95*1.08245+7</f>
        <v>77.305127499999998</v>
      </c>
      <c r="F224" s="245"/>
      <c r="G224" s="245">
        <f t="shared" ref="G224" si="23">64.95*1.08245+7</f>
        <v>77.305127499999998</v>
      </c>
      <c r="H224" s="245">
        <f t="shared" ref="H224:H229" si="24">E223-G223</f>
        <v>0</v>
      </c>
      <c r="I224" s="243"/>
    </row>
    <row r="225" spans="1:9">
      <c r="A225" s="243">
        <v>108</v>
      </c>
      <c r="B225" s="244">
        <v>41626</v>
      </c>
      <c r="C225" s="243" t="s">
        <v>13</v>
      </c>
      <c r="D225" s="243" t="s">
        <v>18</v>
      </c>
      <c r="E225" s="355">
        <v>37.799999999999997</v>
      </c>
      <c r="F225" s="245"/>
      <c r="G225" s="245">
        <v>37.799999999999997</v>
      </c>
      <c r="H225" s="245">
        <f t="shared" si="24"/>
        <v>0</v>
      </c>
      <c r="I225" s="243"/>
    </row>
    <row r="226" spans="1:9" s="243" customFormat="1">
      <c r="A226" s="247">
        <v>108</v>
      </c>
      <c r="B226" s="238">
        <v>41865</v>
      </c>
      <c r="C226" s="239" t="s">
        <v>13</v>
      </c>
      <c r="D226" s="239" t="s">
        <v>26</v>
      </c>
      <c r="E226" s="269">
        <v>231.49</v>
      </c>
      <c r="F226" s="240"/>
      <c r="G226" s="240">
        <v>231.49</v>
      </c>
      <c r="H226" s="245">
        <f t="shared" si="24"/>
        <v>0</v>
      </c>
    </row>
    <row r="227" spans="1:9" s="243" customFormat="1">
      <c r="A227" s="247">
        <v>108</v>
      </c>
      <c r="B227" s="244">
        <v>41865</v>
      </c>
      <c r="C227" s="243" t="s">
        <v>13</v>
      </c>
      <c r="D227" s="243" t="s">
        <v>27</v>
      </c>
      <c r="E227" s="355">
        <v>11.7</v>
      </c>
      <c r="F227" s="245"/>
      <c r="G227" s="245">
        <v>11.7</v>
      </c>
      <c r="H227" s="245">
        <f t="shared" si="24"/>
        <v>0</v>
      </c>
      <c r="I227" s="234"/>
    </row>
    <row r="228" spans="1:9" s="243" customFormat="1">
      <c r="A228" s="247">
        <v>108</v>
      </c>
      <c r="B228" s="244">
        <v>41865</v>
      </c>
      <c r="C228" s="243" t="s">
        <v>13</v>
      </c>
      <c r="D228" s="243" t="s">
        <v>28</v>
      </c>
      <c r="E228" s="355">
        <v>536.22</v>
      </c>
      <c r="F228" s="245"/>
      <c r="G228" s="245">
        <v>536.22</v>
      </c>
      <c r="H228" s="245">
        <f t="shared" si="24"/>
        <v>0</v>
      </c>
      <c r="I228" s="234"/>
    </row>
    <row r="229" spans="1:9" s="243" customFormat="1">
      <c r="A229" s="247">
        <v>108</v>
      </c>
      <c r="B229" s="241">
        <v>41865</v>
      </c>
      <c r="C229" s="234" t="s">
        <v>13</v>
      </c>
      <c r="D229" s="234" t="s">
        <v>29</v>
      </c>
      <c r="E229" s="356">
        <v>129.51</v>
      </c>
      <c r="F229" s="242"/>
      <c r="G229" s="242">
        <v>129.51</v>
      </c>
      <c r="H229" s="245">
        <f t="shared" si="24"/>
        <v>0</v>
      </c>
      <c r="I229" s="234"/>
    </row>
    <row r="230" spans="1:9" s="243" customFormat="1">
      <c r="A230" s="247">
        <v>108</v>
      </c>
      <c r="B230" s="287">
        <v>41964</v>
      </c>
      <c r="C230" s="288" t="s">
        <v>100</v>
      </c>
      <c r="D230" s="288" t="s">
        <v>101</v>
      </c>
      <c r="E230" s="289">
        <v>2425.21</v>
      </c>
      <c r="F230" s="242"/>
      <c r="G230" s="242">
        <v>0</v>
      </c>
      <c r="H230" s="245">
        <f>E230</f>
        <v>2425.21</v>
      </c>
      <c r="I230" s="234"/>
    </row>
    <row r="231" spans="1:9" s="243" customFormat="1">
      <c r="A231" s="247">
        <v>108</v>
      </c>
      <c r="B231" s="287">
        <v>41979</v>
      </c>
      <c r="C231" s="288" t="s">
        <v>13</v>
      </c>
      <c r="D231" s="288" t="s">
        <v>34</v>
      </c>
      <c r="E231" s="289">
        <v>27</v>
      </c>
      <c r="F231" s="242"/>
      <c r="G231" s="242">
        <f>E231</f>
        <v>27</v>
      </c>
      <c r="H231" s="245">
        <v>0</v>
      </c>
      <c r="I231" s="234"/>
    </row>
    <row r="232" spans="1:9" s="243" customFormat="1">
      <c r="A232" s="247">
        <v>108</v>
      </c>
      <c r="B232" s="281">
        <v>41974</v>
      </c>
      <c r="C232" s="282" t="s">
        <v>87</v>
      </c>
      <c r="D232" s="280" t="s">
        <v>195</v>
      </c>
      <c r="E232" s="283">
        <v>2314.84</v>
      </c>
      <c r="G232" s="245">
        <f>E232</f>
        <v>2314.84</v>
      </c>
      <c r="H232" s="245">
        <v>0</v>
      </c>
    </row>
    <row r="233" spans="1:9" s="243" customFormat="1">
      <c r="A233" s="247"/>
      <c r="B233" s="256"/>
      <c r="C233" s="278"/>
      <c r="D233" s="255"/>
      <c r="E233" s="279"/>
      <c r="F233" s="248">
        <f>SUM(E223:E232)</f>
        <v>5854.9751274999999</v>
      </c>
      <c r="G233" s="249">
        <f>SUM(G223:G232)</f>
        <v>3429.7651275000003</v>
      </c>
      <c r="H233" s="248">
        <f>SUM(H223:H232)</f>
        <v>2425.21</v>
      </c>
    </row>
    <row r="234" spans="1:9" s="243" customFormat="1">
      <c r="A234" s="247"/>
      <c r="B234" s="241"/>
      <c r="C234" s="234"/>
      <c r="D234" s="234"/>
      <c r="E234" s="356"/>
      <c r="F234" s="242"/>
      <c r="G234" s="242"/>
      <c r="H234" s="249"/>
    </row>
    <row r="235" spans="1:9" s="243" customFormat="1">
      <c r="A235" s="247">
        <v>111</v>
      </c>
      <c r="B235" s="353">
        <v>41999</v>
      </c>
      <c r="C235" s="351" t="s">
        <v>77</v>
      </c>
      <c r="D235" s="351" t="s">
        <v>163</v>
      </c>
      <c r="E235" s="336">
        <v>242.18</v>
      </c>
      <c r="F235" s="242"/>
      <c r="G235" s="242">
        <f>E235</f>
        <v>242.18</v>
      </c>
      <c r="H235" s="354">
        <v>0</v>
      </c>
    </row>
    <row r="236" spans="1:9" s="243" customFormat="1">
      <c r="A236" s="247"/>
      <c r="B236" s="241"/>
      <c r="C236" s="234"/>
      <c r="D236" s="234"/>
      <c r="E236" s="356"/>
      <c r="F236" s="249">
        <f>E235</f>
        <v>242.18</v>
      </c>
      <c r="G236" s="249">
        <f>SUM(G235)</f>
        <v>242.18</v>
      </c>
      <c r="H236" s="249">
        <f>SUM(H235)</f>
        <v>0</v>
      </c>
    </row>
    <row r="237" spans="1:9" s="243" customFormat="1">
      <c r="A237" s="247"/>
      <c r="B237" s="241"/>
      <c r="C237" s="234"/>
      <c r="D237" s="234"/>
      <c r="E237" s="356"/>
      <c r="F237" s="242"/>
      <c r="G237" s="242"/>
      <c r="H237" s="249"/>
    </row>
    <row r="238" spans="1:9" s="243" customFormat="1">
      <c r="A238" s="234">
        <v>121</v>
      </c>
      <c r="B238" s="244">
        <v>41857</v>
      </c>
      <c r="C238" s="243" t="s">
        <v>109</v>
      </c>
      <c r="D238" s="243" t="s">
        <v>110</v>
      </c>
      <c r="E238" s="355">
        <v>4424.8599999999997</v>
      </c>
      <c r="F238" s="245"/>
      <c r="G238" s="245">
        <v>4424.8599999999997</v>
      </c>
      <c r="H238" s="242"/>
    </row>
    <row r="239" spans="1:9" s="252" customFormat="1">
      <c r="A239" s="234"/>
      <c r="B239" s="244"/>
      <c r="C239" s="243"/>
      <c r="D239" s="243"/>
      <c r="E239" s="266"/>
      <c r="F239" s="248">
        <f>SUM(E238)</f>
        <v>4424.8599999999997</v>
      </c>
      <c r="G239" s="248">
        <f t="shared" ref="G239:H240" si="25">SUM(G238)</f>
        <v>4424.8599999999997</v>
      </c>
      <c r="H239" s="245">
        <f>E238-G238</f>
        <v>0</v>
      </c>
    </row>
    <row r="240" spans="1:9" s="255" customFormat="1">
      <c r="A240" s="234"/>
      <c r="B240" s="244"/>
      <c r="C240" s="243"/>
      <c r="D240" s="243"/>
      <c r="E240" s="355"/>
      <c r="F240" s="245"/>
      <c r="G240" s="245"/>
      <c r="H240" s="248">
        <f t="shared" si="25"/>
        <v>0</v>
      </c>
    </row>
    <row r="241" spans="1:10" s="258" customFormat="1">
      <c r="A241" s="252"/>
      <c r="B241" s="253"/>
      <c r="C241" s="252"/>
      <c r="D241" s="252" t="s">
        <v>196</v>
      </c>
      <c r="E241" s="270"/>
      <c r="F241" s="254">
        <f>SUM(F1:F239)-F8</f>
        <v>269518.4142845</v>
      </c>
      <c r="G241" s="254">
        <f>G13+G17+G21+G27+G31+G35+G38+G43+G48+G52+G56+G61+G66+G69+G75+G78+G163+G81+G84+G88+G92+G97+G103+G108+G112+G115+G120+G124+G132+G145++G148+G151+G156+G168+G171+G177+G198+G205+G218+G221+G233+G239+G236+G202+G159</f>
        <v>52095.369584500004</v>
      </c>
      <c r="H241" s="254">
        <f>H13+H17+H21+H27+H31+H35+H38+H43+H48+H52+H56+H61+H66+H69+H75+H78+H163+H81+H84+H88+H92+H97+H103+H108+H112+H115+H120+H124+H132+H145++H148+H151+H156+H168+H171+H177+H198+H205+H218+H221+H233+H239+H236+H202+H159</f>
        <v>217423.04470000003</v>
      </c>
      <c r="I241" s="264"/>
      <c r="J241" s="335"/>
    </row>
    <row r="242" spans="1:10">
      <c r="A242" s="255"/>
      <c r="B242" s="256"/>
      <c r="C242" s="255"/>
      <c r="D242" s="255" t="s">
        <v>197</v>
      </c>
      <c r="E242" s="356"/>
      <c r="F242" s="271">
        <v>360544</v>
      </c>
      <c r="G242" s="257">
        <f>F242-H242</f>
        <v>26544</v>
      </c>
      <c r="H242" s="257">
        <v>334000</v>
      </c>
    </row>
    <row r="243" spans="1:10" s="261" customFormat="1">
      <c r="A243" s="258"/>
      <c r="B243" s="259"/>
      <c r="C243" s="258"/>
      <c r="D243" s="258" t="s">
        <v>198</v>
      </c>
      <c r="F243" s="272">
        <f>F241/F242</f>
        <v>0.74753265699748161</v>
      </c>
      <c r="G243" s="260">
        <f t="shared" ref="G243:H243" si="26">G241/G242</f>
        <v>1.9626043393798978</v>
      </c>
      <c r="H243" s="260">
        <f t="shared" si="26"/>
        <v>0.65096719970059891</v>
      </c>
    </row>
    <row r="244" spans="1:10">
      <c r="D244" s="351"/>
      <c r="E244" s="273"/>
      <c r="F244" s="250"/>
      <c r="G244" s="250"/>
      <c r="H244" s="260"/>
    </row>
    <row r="245" spans="1:10">
      <c r="A245" s="261"/>
      <c r="B245" s="262"/>
      <c r="C245" s="261"/>
      <c r="D245" s="261" t="s">
        <v>199</v>
      </c>
      <c r="E245" s="274"/>
      <c r="F245" s="263">
        <f>F241+F8</f>
        <v>275029.54428450001</v>
      </c>
      <c r="G245" s="263">
        <f>G241+G8</f>
        <v>57606.499584500001</v>
      </c>
      <c r="H245" s="263">
        <f>H241+H8</f>
        <v>217423.04470000003</v>
      </c>
      <c r="I245" s="242"/>
    </row>
    <row r="247" spans="1:10">
      <c r="C247" s="351" t="s">
        <v>7</v>
      </c>
      <c r="D247" s="355">
        <f>H241</f>
        <v>217423.04470000003</v>
      </c>
      <c r="E247" s="356">
        <f>D247-'Invoices indexed by date'!E129</f>
        <v>211231.04470000003</v>
      </c>
    </row>
    <row r="248" spans="1:10">
      <c r="C248" s="351" t="s">
        <v>200</v>
      </c>
      <c r="D248" s="355">
        <f>'UBI Cost Review'!J141</f>
        <v>104631.3347225</v>
      </c>
      <c r="E248" s="356"/>
    </row>
    <row r="249" spans="1:10">
      <c r="D249" s="242">
        <f>SUM(D247:D248)</f>
        <v>322054.37942250003</v>
      </c>
      <c r="E249" s="356"/>
    </row>
    <row r="251" spans="1:10">
      <c r="B251" s="353"/>
      <c r="C251" s="351"/>
      <c r="D251" s="242"/>
      <c r="E251" s="356"/>
    </row>
    <row r="252" spans="1:10">
      <c r="D252" s="333"/>
      <c r="E252" s="356"/>
    </row>
    <row r="253" spans="1:10">
      <c r="E253" s="356"/>
    </row>
  </sheetData>
  <sortState ref="A2:F74">
    <sortCondition ref="A2"/>
  </sortState>
  <phoneticPr fontId="23" type="noConversion"/>
  <printOptions horizontalCentered="1" verticalCentered="1"/>
  <pageMargins left="0.5" right="0.5" top="0.5" bottom="0.5" header="0.5" footer="0.5"/>
  <pageSetup scale="60" fitToHeight="4" orientation="landscape" horizontalDpi="4294967292" verticalDpi="4294967292"/>
  <extLst>
    <ext xmlns:mx="http://schemas.microsoft.com/office/mac/excel/2008/main" uri="{64002731-A6B0-56B0-2670-7721B7C09600}">
      <mx:PLV Mode="0" OnePage="0" WScale="65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P150"/>
  <sheetViews>
    <sheetView showGridLines="0" showZeros="0" zoomScaleSheetLayoutView="50" workbookViewId="0">
      <pane xSplit="10155" ySplit="3015" topLeftCell="A88" activePane="bottomLeft"/>
      <selection activeCell="G14" sqref="G14"/>
      <selection pane="topRight" activeCell="E1" sqref="E1"/>
      <selection pane="bottomLeft" activeCell="B114" sqref="A114:XFD114"/>
      <selection pane="bottomRight" activeCell="J102" sqref="J102"/>
    </sheetView>
  </sheetViews>
  <sheetFormatPr defaultColWidth="0" defaultRowHeight="0" customHeight="1" zeroHeight="1"/>
  <cols>
    <col min="1" max="1" width="5.42578125" style="7" customWidth="1"/>
    <col min="2" max="2" width="5.42578125" style="51" customWidth="1"/>
    <col min="3" max="3" width="44.7109375" style="35" customWidth="1"/>
    <col min="4" max="4" width="50.28515625" style="35" customWidth="1"/>
    <col min="5" max="5" width="15" style="52" customWidth="1"/>
    <col min="6" max="6" width="15" style="53" customWidth="1"/>
    <col min="7" max="7" width="12.140625" style="54" customWidth="1"/>
    <col min="8" max="9" width="15.42578125" style="54" customWidth="1"/>
    <col min="10" max="10" width="15.42578125" style="326" customWidth="1"/>
    <col min="11" max="11" width="16.140625" style="52" customWidth="1"/>
    <col min="12" max="12" width="38.28515625" style="35" customWidth="1"/>
    <col min="13" max="31" width="11.42578125" style="7" customWidth="1"/>
    <col min="32" max="16384" width="0" style="7" hidden="1"/>
  </cols>
  <sheetData>
    <row r="1" spans="1:13" s="1" customFormat="1" ht="15.75" customHeight="1">
      <c r="A1" s="163"/>
      <c r="B1" s="163"/>
      <c r="C1" s="170"/>
      <c r="D1" s="170"/>
      <c r="E1" s="170"/>
      <c r="F1" s="170"/>
      <c r="G1" s="170"/>
      <c r="H1" s="170"/>
      <c r="I1" s="170"/>
      <c r="J1" s="316"/>
      <c r="K1" s="170"/>
      <c r="L1" s="171"/>
    </row>
    <row r="2" spans="1:13" ht="21" customHeight="1">
      <c r="A2" s="168"/>
      <c r="B2" s="169"/>
      <c r="C2" s="2" t="s">
        <v>201</v>
      </c>
      <c r="D2" s="3">
        <f>E144</f>
        <v>360544</v>
      </c>
      <c r="E2" s="4"/>
      <c r="F2" s="5"/>
      <c r="G2" s="5"/>
      <c r="H2" s="5"/>
      <c r="I2" s="5"/>
      <c r="J2" s="317"/>
      <c r="K2" s="5"/>
      <c r="L2" s="6"/>
    </row>
    <row r="3" spans="1:13" ht="36" customHeight="1">
      <c r="A3" s="166"/>
      <c r="B3" s="145"/>
      <c r="C3" s="359" t="s">
        <v>202</v>
      </c>
      <c r="D3" s="360"/>
      <c r="E3" s="360"/>
      <c r="F3" s="360"/>
      <c r="G3" s="360"/>
      <c r="H3" s="360"/>
      <c r="I3" s="360"/>
      <c r="J3" s="360"/>
      <c r="K3" s="360"/>
      <c r="L3" s="361"/>
    </row>
    <row r="4" spans="1:13" ht="23.25" customHeight="1">
      <c r="A4" s="163"/>
      <c r="B4" s="161"/>
      <c r="C4" s="362" t="s">
        <v>203</v>
      </c>
      <c r="D4" s="363"/>
      <c r="E4" s="8"/>
      <c r="F4" s="9"/>
      <c r="G4" s="10"/>
      <c r="H4" s="10"/>
      <c r="I4" s="10"/>
      <c r="J4" s="318"/>
      <c r="K4" s="11" t="s">
        <v>204</v>
      </c>
      <c r="L4" s="12">
        <f ca="1">TODAY()</f>
        <v>42282</v>
      </c>
    </row>
    <row r="5" spans="1:13" ht="43.5" customHeight="1" thickBot="1">
      <c r="A5" s="167"/>
      <c r="B5" s="162" t="s">
        <v>205</v>
      </c>
      <c r="C5" s="146" t="s">
        <v>206</v>
      </c>
      <c r="D5" s="147" t="s">
        <v>4</v>
      </c>
      <c r="E5" s="148" t="s">
        <v>207</v>
      </c>
      <c r="F5" s="149" t="s">
        <v>208</v>
      </c>
      <c r="G5" s="150" t="s">
        <v>209</v>
      </c>
      <c r="H5" s="151" t="s">
        <v>210</v>
      </c>
      <c r="I5" s="151" t="s">
        <v>211</v>
      </c>
      <c r="J5" s="319" t="s">
        <v>212</v>
      </c>
      <c r="K5" s="148" t="s">
        <v>213</v>
      </c>
      <c r="L5" s="152" t="s">
        <v>214</v>
      </c>
    </row>
    <row r="6" spans="1:13" s="13" customFormat="1" ht="21.75" customHeight="1">
      <c r="A6" s="164"/>
      <c r="B6" s="153"/>
      <c r="C6" s="154" t="s">
        <v>215</v>
      </c>
      <c r="D6" s="155"/>
      <c r="E6" s="156"/>
      <c r="F6" s="157"/>
      <c r="G6" s="158"/>
      <c r="H6" s="158"/>
      <c r="I6" s="158"/>
      <c r="J6" s="320"/>
      <c r="K6" s="159"/>
      <c r="L6" s="160"/>
    </row>
    <row r="7" spans="1:13" ht="20.25" customHeight="1">
      <c r="A7" s="16">
        <v>103</v>
      </c>
      <c r="B7" s="14">
        <v>1</v>
      </c>
      <c r="C7" s="20" t="s">
        <v>216</v>
      </c>
      <c r="D7" s="21"/>
      <c r="E7" s="32">
        <v>0</v>
      </c>
      <c r="F7" s="32">
        <f>'Invoices indexed by Category'!F13</f>
        <v>1825</v>
      </c>
      <c r="G7" s="32"/>
      <c r="H7" s="141">
        <v>1841</v>
      </c>
      <c r="I7" s="321">
        <f>'Invoices indexed by Category'!H13</f>
        <v>0</v>
      </c>
      <c r="J7" s="321">
        <v>0</v>
      </c>
      <c r="K7" s="141">
        <f>F7+G7</f>
        <v>1825</v>
      </c>
      <c r="L7" s="21"/>
      <c r="M7" s="7">
        <f t="shared" ref="M7:M38" si="0">IF(A7&gt;0,1,"")</f>
        <v>1</v>
      </c>
    </row>
    <row r="8" spans="1:13" ht="20.25" customHeight="1">
      <c r="A8" s="17">
        <v>101</v>
      </c>
      <c r="B8" s="14">
        <v>2</v>
      </c>
      <c r="C8" s="20" t="s">
        <v>217</v>
      </c>
      <c r="D8" s="21" t="s">
        <v>218</v>
      </c>
      <c r="E8" s="32"/>
      <c r="F8" s="32">
        <f>'Invoices indexed by Category'!F17</f>
        <v>580.66</v>
      </c>
      <c r="G8" s="32"/>
      <c r="H8" s="141">
        <f t="shared" ref="H8:H16" si="1">(F8+G8)-E8</f>
        <v>580.66</v>
      </c>
      <c r="I8" s="321">
        <f>'Invoices indexed by Category'!H17</f>
        <v>0</v>
      </c>
      <c r="J8" s="321">
        <v>0</v>
      </c>
      <c r="K8" s="141">
        <f>F8+G8</f>
        <v>580.66</v>
      </c>
      <c r="L8" s="21"/>
      <c r="M8" s="7">
        <f t="shared" si="0"/>
        <v>1</v>
      </c>
    </row>
    <row r="9" spans="1:13" ht="20.25" customHeight="1">
      <c r="A9" s="18">
        <v>101</v>
      </c>
      <c r="B9" s="14">
        <v>2</v>
      </c>
      <c r="C9" s="20" t="s">
        <v>219</v>
      </c>
      <c r="D9" s="21"/>
      <c r="E9" s="32">
        <v>0</v>
      </c>
      <c r="F9" s="32"/>
      <c r="G9" s="32"/>
      <c r="H9" s="141">
        <f t="shared" si="1"/>
        <v>0</v>
      </c>
      <c r="I9" s="321"/>
      <c r="J9" s="321"/>
      <c r="K9" s="141">
        <f>F10+G9</f>
        <v>800.15</v>
      </c>
      <c r="L9" s="21"/>
      <c r="M9" s="7">
        <f t="shared" si="0"/>
        <v>1</v>
      </c>
    </row>
    <row r="10" spans="1:13" ht="20.25" customHeight="1">
      <c r="A10" s="19">
        <v>101</v>
      </c>
      <c r="B10" s="14">
        <f t="shared" ref="B10:B15" si="2">B9+1</f>
        <v>3</v>
      </c>
      <c r="C10" s="20" t="s">
        <v>220</v>
      </c>
      <c r="D10" s="21" t="s">
        <v>221</v>
      </c>
      <c r="E10" s="32">
        <v>400</v>
      </c>
      <c r="F10" s="32">
        <f>'Invoices indexed by Category'!F21</f>
        <v>800.15</v>
      </c>
      <c r="G10" s="32"/>
      <c r="H10" s="141">
        <f t="shared" si="1"/>
        <v>400.15</v>
      </c>
      <c r="I10" s="321">
        <f>'Invoices indexed by Category'!H21</f>
        <v>0</v>
      </c>
      <c r="J10" s="321">
        <v>0</v>
      </c>
      <c r="K10" s="141">
        <f>F11+G10</f>
        <v>2287.86</v>
      </c>
      <c r="L10" s="21" t="s">
        <v>222</v>
      </c>
      <c r="M10" s="7">
        <f t="shared" si="0"/>
        <v>1</v>
      </c>
    </row>
    <row r="11" spans="1:13" ht="20.25" customHeight="1">
      <c r="A11" s="17">
        <v>101</v>
      </c>
      <c r="B11" s="14">
        <f t="shared" si="2"/>
        <v>4</v>
      </c>
      <c r="C11" s="20" t="s">
        <v>223</v>
      </c>
      <c r="D11" s="21"/>
      <c r="E11" s="32"/>
      <c r="F11" s="32">
        <f>'Invoices indexed by Category'!F27</f>
        <v>2287.86</v>
      </c>
      <c r="G11" s="32"/>
      <c r="H11" s="141">
        <f t="shared" si="1"/>
        <v>2287.86</v>
      </c>
      <c r="I11" s="321">
        <f>'Invoices indexed by Category'!H27</f>
        <v>0</v>
      </c>
      <c r="J11" s="321">
        <v>0</v>
      </c>
      <c r="K11" s="141">
        <f>F11+G11</f>
        <v>2287.86</v>
      </c>
      <c r="L11" s="21"/>
      <c r="M11" s="7">
        <f t="shared" si="0"/>
        <v>1</v>
      </c>
    </row>
    <row r="12" spans="1:13" ht="20.25" customHeight="1">
      <c r="A12" s="18">
        <v>101</v>
      </c>
      <c r="B12" s="14">
        <f t="shared" si="2"/>
        <v>5</v>
      </c>
      <c r="C12" s="20" t="s">
        <v>224</v>
      </c>
      <c r="D12" s="21"/>
      <c r="E12" s="32">
        <v>0</v>
      </c>
      <c r="F12" s="32">
        <f>'Invoices indexed by Category'!F31</f>
        <v>565</v>
      </c>
      <c r="G12" s="32"/>
      <c r="H12" s="141">
        <f t="shared" si="1"/>
        <v>565</v>
      </c>
      <c r="I12" s="321">
        <f>'Invoices indexed by Category'!H31</f>
        <v>0</v>
      </c>
      <c r="J12" s="321">
        <v>0</v>
      </c>
      <c r="K12" s="141"/>
      <c r="L12" s="21"/>
      <c r="M12" s="7">
        <f t="shared" si="0"/>
        <v>1</v>
      </c>
    </row>
    <row r="13" spans="1:13" ht="20.25" customHeight="1">
      <c r="A13" s="18">
        <v>101</v>
      </c>
      <c r="B13" s="14">
        <v>6</v>
      </c>
      <c r="C13" s="20" t="s">
        <v>225</v>
      </c>
      <c r="D13" s="21" t="s">
        <v>226</v>
      </c>
      <c r="E13" s="32">
        <v>955</v>
      </c>
      <c r="F13" s="32">
        <f>'Invoices indexed by Category'!F35</f>
        <v>589.5</v>
      </c>
      <c r="G13" s="32"/>
      <c r="H13" s="141">
        <f t="shared" si="1"/>
        <v>-365.5</v>
      </c>
      <c r="I13" s="321">
        <f>'Invoices indexed by Category'!H35</f>
        <v>304.75</v>
      </c>
      <c r="J13" s="321">
        <v>0</v>
      </c>
      <c r="K13" s="141">
        <f>F13+G13</f>
        <v>589.5</v>
      </c>
      <c r="L13" s="21"/>
      <c r="M13" s="7">
        <f t="shared" si="0"/>
        <v>1</v>
      </c>
    </row>
    <row r="14" spans="1:13" ht="20.25" customHeight="1">
      <c r="A14" s="16">
        <v>106</v>
      </c>
      <c r="B14" s="14">
        <f t="shared" si="2"/>
        <v>7</v>
      </c>
      <c r="C14" s="20" t="s">
        <v>227</v>
      </c>
      <c r="D14" s="21" t="s">
        <v>228</v>
      </c>
      <c r="E14" s="32">
        <v>1937</v>
      </c>
      <c r="F14" s="32">
        <f>'Invoices indexed by Category'!F38</f>
        <v>1937</v>
      </c>
      <c r="G14" s="32"/>
      <c r="H14" s="141">
        <f t="shared" si="1"/>
        <v>0</v>
      </c>
      <c r="I14" s="321"/>
      <c r="J14" s="321">
        <v>0</v>
      </c>
      <c r="K14" s="141">
        <f>F14+G14</f>
        <v>1937</v>
      </c>
      <c r="L14" s="21"/>
      <c r="M14" s="7">
        <f t="shared" si="0"/>
        <v>1</v>
      </c>
    </row>
    <row r="15" spans="1:13" ht="20.25" customHeight="1">
      <c r="A15" s="16">
        <v>206</v>
      </c>
      <c r="B15" s="14">
        <f t="shared" si="2"/>
        <v>8</v>
      </c>
      <c r="C15" s="20" t="s">
        <v>229</v>
      </c>
      <c r="D15" s="23" t="s">
        <v>230</v>
      </c>
      <c r="E15" s="32"/>
      <c r="F15" s="32">
        <f>'Invoices indexed by Category'!F43</f>
        <v>3950</v>
      </c>
      <c r="G15" s="32"/>
      <c r="H15" s="141">
        <f t="shared" si="1"/>
        <v>3950</v>
      </c>
      <c r="I15" s="321">
        <f>'Invoices indexed by Category'!H43</f>
        <v>0</v>
      </c>
      <c r="J15" s="321">
        <v>0</v>
      </c>
      <c r="K15" s="141">
        <f>F15+G15</f>
        <v>3950</v>
      </c>
      <c r="L15" s="23"/>
      <c r="M15" s="7">
        <f t="shared" si="0"/>
        <v>1</v>
      </c>
    </row>
    <row r="16" spans="1:13" ht="19.5" customHeight="1" thickBot="1">
      <c r="A16" s="165"/>
      <c r="B16" s="24" t="s">
        <v>231</v>
      </c>
      <c r="C16" s="364" t="s">
        <v>232</v>
      </c>
      <c r="D16" s="365"/>
      <c r="E16" s="141">
        <f>SUM(E7:E15)</f>
        <v>3292</v>
      </c>
      <c r="F16" s="141">
        <f>SUM(F7:F15)</f>
        <v>12535.17</v>
      </c>
      <c r="G16" s="141">
        <f>SUM(G7:G15)</f>
        <v>0</v>
      </c>
      <c r="H16" s="182">
        <f t="shared" si="1"/>
        <v>9243.17</v>
      </c>
      <c r="I16" s="182">
        <f>SUM(I7:I15)</f>
        <v>304.75</v>
      </c>
      <c r="J16" s="327">
        <f>SUM(J7:J15)</f>
        <v>0</v>
      </c>
      <c r="K16" s="182">
        <f>F16+G16</f>
        <v>12535.17</v>
      </c>
      <c r="L16" s="189"/>
      <c r="M16" s="7" t="str">
        <f t="shared" si="0"/>
        <v/>
      </c>
    </row>
    <row r="17" spans="1:13" s="28" customFormat="1" ht="20.25" customHeight="1">
      <c r="A17" s="165"/>
      <c r="B17" s="25"/>
      <c r="C17" s="30" t="s">
        <v>233</v>
      </c>
      <c r="D17" s="190"/>
      <c r="E17" s="191"/>
      <c r="F17" s="192"/>
      <c r="G17" s="193"/>
      <c r="H17" s="193"/>
      <c r="I17" s="193"/>
      <c r="J17" s="322"/>
      <c r="K17" s="191"/>
      <c r="L17" s="190"/>
      <c r="M17" s="7" t="str">
        <f t="shared" si="0"/>
        <v/>
      </c>
    </row>
    <row r="18" spans="1:13" ht="20.25" customHeight="1">
      <c r="A18" s="16">
        <v>206</v>
      </c>
      <c r="B18" s="14">
        <f>B15+1</f>
        <v>9</v>
      </c>
      <c r="C18" s="20" t="s">
        <v>234</v>
      </c>
      <c r="D18" s="23" t="s">
        <v>235</v>
      </c>
      <c r="E18" s="32">
        <v>19572</v>
      </c>
      <c r="F18" s="32">
        <f>'Invoices indexed by Category'!F48</f>
        <v>16636</v>
      </c>
      <c r="G18" s="32"/>
      <c r="H18" s="141">
        <f t="shared" ref="H18:H34" si="3">(F18+G18)-E18</f>
        <v>-2936</v>
      </c>
      <c r="I18" s="321">
        <f>'Invoices indexed by Category'!H48</f>
        <v>8807</v>
      </c>
      <c r="J18" s="321">
        <f>-H18</f>
        <v>2936</v>
      </c>
      <c r="K18" s="141">
        <f t="shared" ref="K18:K34" si="4">F18+G18</f>
        <v>16636</v>
      </c>
      <c r="L18" s="194"/>
      <c r="M18" s="7">
        <f t="shared" si="0"/>
        <v>1</v>
      </c>
    </row>
    <row r="19" spans="1:13" ht="20.25" customHeight="1">
      <c r="A19" s="16">
        <v>104</v>
      </c>
      <c r="B19" s="14">
        <f t="shared" ref="B19:B32" si="5">B18+1</f>
        <v>10</v>
      </c>
      <c r="C19" s="20" t="s">
        <v>236</v>
      </c>
      <c r="D19" s="21"/>
      <c r="E19" s="32"/>
      <c r="F19" s="32"/>
      <c r="G19" s="32"/>
      <c r="H19" s="141">
        <f t="shared" si="3"/>
        <v>0</v>
      </c>
      <c r="I19" s="321"/>
      <c r="J19" s="321"/>
      <c r="K19" s="141">
        <f t="shared" si="4"/>
        <v>0</v>
      </c>
      <c r="L19" s="29"/>
      <c r="M19" s="7">
        <f t="shared" si="0"/>
        <v>1</v>
      </c>
    </row>
    <row r="20" spans="1:13" ht="20.25" customHeight="1">
      <c r="A20" s="16">
        <v>201</v>
      </c>
      <c r="B20" s="14">
        <v>18</v>
      </c>
      <c r="C20" s="20" t="s">
        <v>237</v>
      </c>
      <c r="D20" s="21" t="s">
        <v>238</v>
      </c>
      <c r="E20" s="32"/>
      <c r="F20" s="32"/>
      <c r="G20" s="32"/>
      <c r="H20" s="141">
        <f t="shared" si="3"/>
        <v>0</v>
      </c>
      <c r="I20" s="321"/>
      <c r="J20" s="321"/>
      <c r="K20" s="141">
        <f t="shared" si="4"/>
        <v>0</v>
      </c>
      <c r="L20" s="22"/>
      <c r="M20" s="7">
        <f t="shared" si="0"/>
        <v>1</v>
      </c>
    </row>
    <row r="21" spans="1:13" ht="20.25" customHeight="1">
      <c r="A21" s="16">
        <v>404</v>
      </c>
      <c r="B21" s="14">
        <f t="shared" si="5"/>
        <v>19</v>
      </c>
      <c r="C21" s="20" t="s">
        <v>239</v>
      </c>
      <c r="D21" s="21" t="s">
        <v>240</v>
      </c>
      <c r="E21" s="32">
        <v>3000</v>
      </c>
      <c r="F21" s="32">
        <f>'Invoices indexed by Category'!F52</f>
        <v>2350.1799999999998</v>
      </c>
      <c r="G21" s="32"/>
      <c r="H21" s="141">
        <f t="shared" si="3"/>
        <v>-649.82000000000016</v>
      </c>
      <c r="I21" s="321">
        <f>'Invoices indexed by Category'!H52</f>
        <v>2350.1799999999998</v>
      </c>
      <c r="J21" s="321">
        <f>-H21</f>
        <v>649.82000000000016</v>
      </c>
      <c r="K21" s="141">
        <f t="shared" si="4"/>
        <v>2350.1799999999998</v>
      </c>
      <c r="L21" s="29"/>
      <c r="M21" s="7">
        <f t="shared" si="0"/>
        <v>1</v>
      </c>
    </row>
    <row r="22" spans="1:13" ht="20.25" customHeight="1">
      <c r="A22" s="16">
        <v>201</v>
      </c>
      <c r="B22" s="14">
        <v>20</v>
      </c>
      <c r="C22" s="20" t="s">
        <v>241</v>
      </c>
      <c r="D22" s="21" t="s">
        <v>242</v>
      </c>
      <c r="E22" s="32">
        <v>0</v>
      </c>
      <c r="F22" s="32"/>
      <c r="G22" s="32"/>
      <c r="H22" s="141">
        <f t="shared" si="3"/>
        <v>0</v>
      </c>
      <c r="I22" s="321"/>
      <c r="J22" s="321"/>
      <c r="K22" s="141">
        <f t="shared" si="4"/>
        <v>0</v>
      </c>
      <c r="L22" s="29"/>
      <c r="M22" s="7">
        <f t="shared" si="0"/>
        <v>1</v>
      </c>
    </row>
    <row r="23" spans="1:13" ht="20.25" customHeight="1">
      <c r="A23" s="16">
        <v>201</v>
      </c>
      <c r="B23" s="14">
        <f t="shared" si="5"/>
        <v>21</v>
      </c>
      <c r="C23" s="20" t="s">
        <v>243</v>
      </c>
      <c r="D23" s="21" t="s">
        <v>240</v>
      </c>
      <c r="E23" s="32">
        <v>2500</v>
      </c>
      <c r="F23" s="32">
        <f>'Invoices indexed by Category'!F56</f>
        <v>994.44</v>
      </c>
      <c r="G23" s="32"/>
      <c r="H23" s="141">
        <f t="shared" si="3"/>
        <v>-1505.56</v>
      </c>
      <c r="I23" s="321">
        <f>'Invoices indexed by Category'!H56</f>
        <v>994.44</v>
      </c>
      <c r="J23" s="321">
        <f>-H23</f>
        <v>1505.56</v>
      </c>
      <c r="K23" s="141">
        <f t="shared" si="4"/>
        <v>994.44</v>
      </c>
      <c r="L23" s="29"/>
      <c r="M23" s="7">
        <f t="shared" si="0"/>
        <v>1</v>
      </c>
    </row>
    <row r="24" spans="1:13" ht="20.25" customHeight="1">
      <c r="A24" s="16">
        <v>307</v>
      </c>
      <c r="B24" s="14">
        <v>22</v>
      </c>
      <c r="C24" s="20" t="s">
        <v>244</v>
      </c>
      <c r="D24" s="21" t="s">
        <v>240</v>
      </c>
      <c r="E24" s="32"/>
      <c r="F24" s="32"/>
      <c r="G24" s="32"/>
      <c r="H24" s="141">
        <f t="shared" si="3"/>
        <v>0</v>
      </c>
      <c r="I24" s="321"/>
      <c r="J24" s="321"/>
      <c r="K24" s="141">
        <f t="shared" si="4"/>
        <v>0</v>
      </c>
      <c r="L24" s="29"/>
      <c r="M24" s="7">
        <f t="shared" si="0"/>
        <v>1</v>
      </c>
    </row>
    <row r="25" spans="1:13" ht="20.25" customHeight="1">
      <c r="A25" s="16">
        <v>204</v>
      </c>
      <c r="B25" s="14">
        <v>23</v>
      </c>
      <c r="C25" s="20" t="s">
        <v>245</v>
      </c>
      <c r="D25" s="21" t="s">
        <v>246</v>
      </c>
      <c r="E25" s="32">
        <v>570</v>
      </c>
      <c r="F25" s="32">
        <f>'Invoices indexed by Category'!F61</f>
        <v>399.75</v>
      </c>
      <c r="G25" s="32"/>
      <c r="H25" s="141">
        <f t="shared" si="3"/>
        <v>-170.25</v>
      </c>
      <c r="I25" s="321">
        <f>'Invoices indexed by Category'!H61</f>
        <v>156.19</v>
      </c>
      <c r="J25" s="321">
        <f>-H25</f>
        <v>170.25</v>
      </c>
      <c r="K25" s="141">
        <f t="shared" si="4"/>
        <v>399.75</v>
      </c>
      <c r="L25" s="29"/>
      <c r="M25" s="7">
        <f t="shared" si="0"/>
        <v>1</v>
      </c>
    </row>
    <row r="26" spans="1:13" ht="20.25" customHeight="1">
      <c r="A26" s="16">
        <v>305</v>
      </c>
      <c r="B26" s="14">
        <f t="shared" si="5"/>
        <v>24</v>
      </c>
      <c r="C26" s="20" t="s">
        <v>247</v>
      </c>
      <c r="D26" s="21" t="s">
        <v>248</v>
      </c>
      <c r="E26" s="32"/>
      <c r="F26" s="32"/>
      <c r="G26" s="32"/>
      <c r="H26" s="141">
        <f t="shared" si="3"/>
        <v>0</v>
      </c>
      <c r="I26" s="321"/>
      <c r="J26" s="321"/>
      <c r="K26" s="141">
        <f t="shared" si="4"/>
        <v>0</v>
      </c>
      <c r="L26" s="195"/>
      <c r="M26" s="7">
        <f t="shared" si="0"/>
        <v>1</v>
      </c>
    </row>
    <row r="27" spans="1:13" ht="20.25" customHeight="1">
      <c r="A27" s="16">
        <v>306</v>
      </c>
      <c r="B27" s="14">
        <f t="shared" si="5"/>
        <v>25</v>
      </c>
      <c r="C27" s="20" t="s">
        <v>247</v>
      </c>
      <c r="D27" s="21" t="s">
        <v>249</v>
      </c>
      <c r="E27" s="32"/>
      <c r="F27" s="32"/>
      <c r="G27" s="32"/>
      <c r="H27" s="141">
        <f t="shared" si="3"/>
        <v>0</v>
      </c>
      <c r="I27" s="321"/>
      <c r="J27" s="321"/>
      <c r="K27" s="141">
        <f t="shared" si="4"/>
        <v>0</v>
      </c>
      <c r="L27" s="195"/>
      <c r="M27" s="7">
        <f t="shared" si="0"/>
        <v>1</v>
      </c>
    </row>
    <row r="28" spans="1:13" ht="20.25" customHeight="1">
      <c r="A28" s="16">
        <v>306</v>
      </c>
      <c r="B28" s="14">
        <f t="shared" si="5"/>
        <v>26</v>
      </c>
      <c r="C28" s="20" t="s">
        <v>247</v>
      </c>
      <c r="D28" s="21" t="s">
        <v>250</v>
      </c>
      <c r="E28" s="32">
        <v>9000</v>
      </c>
      <c r="F28" s="300">
        <f>'Invoices indexed by Category'!F66</f>
        <v>10056</v>
      </c>
      <c r="G28" s="32"/>
      <c r="H28" s="141">
        <f t="shared" si="3"/>
        <v>1056</v>
      </c>
      <c r="I28" s="321">
        <f>'Invoices indexed by Category'!H66</f>
        <v>9260</v>
      </c>
      <c r="J28" s="321">
        <v>0</v>
      </c>
      <c r="K28" s="141">
        <f t="shared" si="4"/>
        <v>10056</v>
      </c>
      <c r="L28" s="195" t="s">
        <v>251</v>
      </c>
      <c r="M28" s="7">
        <f t="shared" si="0"/>
        <v>1</v>
      </c>
    </row>
    <row r="29" spans="1:13" ht="20.25" customHeight="1">
      <c r="A29" s="16">
        <v>807</v>
      </c>
      <c r="B29" s="14">
        <v>33</v>
      </c>
      <c r="C29" s="20" t="s">
        <v>252</v>
      </c>
      <c r="D29" s="21" t="s">
        <v>253</v>
      </c>
      <c r="E29" s="32">
        <v>2500</v>
      </c>
      <c r="F29" s="32">
        <f>'Invoices indexed by Category'!F69</f>
        <v>1790.04</v>
      </c>
      <c r="G29" s="32"/>
      <c r="H29" s="141">
        <f t="shared" si="3"/>
        <v>-709.96</v>
      </c>
      <c r="I29" s="321">
        <f>'Invoices indexed by Category'!H69</f>
        <v>1790.04</v>
      </c>
      <c r="J29" s="321">
        <v>0</v>
      </c>
      <c r="K29" s="141">
        <f t="shared" si="4"/>
        <v>1790.04</v>
      </c>
      <c r="L29" s="29"/>
      <c r="M29" s="7">
        <f t="shared" si="0"/>
        <v>1</v>
      </c>
    </row>
    <row r="30" spans="1:13" ht="20.25" customHeight="1">
      <c r="A30" s="16">
        <v>405</v>
      </c>
      <c r="B30" s="14">
        <f t="shared" si="5"/>
        <v>34</v>
      </c>
      <c r="C30" s="20" t="s">
        <v>254</v>
      </c>
      <c r="D30" s="21" t="s">
        <v>255</v>
      </c>
      <c r="E30" s="32">
        <v>400</v>
      </c>
      <c r="F30" s="32"/>
      <c r="G30" s="32"/>
      <c r="H30" s="141">
        <f t="shared" si="3"/>
        <v>-400</v>
      </c>
      <c r="I30" s="321"/>
      <c r="J30" s="321">
        <v>500</v>
      </c>
      <c r="K30" s="141">
        <f t="shared" si="4"/>
        <v>0</v>
      </c>
      <c r="L30" s="29"/>
      <c r="M30" s="7">
        <f t="shared" si="0"/>
        <v>1</v>
      </c>
    </row>
    <row r="31" spans="1:13" ht="20.25" customHeight="1">
      <c r="A31" s="16">
        <v>304</v>
      </c>
      <c r="B31" s="14">
        <v>35</v>
      </c>
      <c r="C31" s="34" t="s">
        <v>256</v>
      </c>
      <c r="D31" s="21"/>
      <c r="E31" s="32">
        <v>0</v>
      </c>
      <c r="F31" s="32"/>
      <c r="G31" s="32"/>
      <c r="H31" s="141">
        <f t="shared" si="3"/>
        <v>0</v>
      </c>
      <c r="I31" s="321"/>
      <c r="J31" s="321"/>
      <c r="K31" s="141">
        <f t="shared" si="4"/>
        <v>0</v>
      </c>
      <c r="L31" s="29"/>
      <c r="M31" s="7">
        <f t="shared" si="0"/>
        <v>1</v>
      </c>
    </row>
    <row r="32" spans="1:13" ht="20.25" customHeight="1">
      <c r="A32" s="16">
        <v>309</v>
      </c>
      <c r="B32" s="14">
        <f t="shared" si="5"/>
        <v>36</v>
      </c>
      <c r="C32" s="20" t="s">
        <v>257</v>
      </c>
      <c r="D32" s="21" t="s">
        <v>240</v>
      </c>
      <c r="E32" s="32">
        <v>2800</v>
      </c>
      <c r="F32" s="300">
        <f>'Invoices indexed by Category'!F75</f>
        <v>3471.7799999999997</v>
      </c>
      <c r="G32" s="32"/>
      <c r="H32" s="141">
        <f t="shared" si="3"/>
        <v>671.77999999999975</v>
      </c>
      <c r="I32" s="321">
        <f>'Invoices indexed by Category'!H75</f>
        <v>2327.5</v>
      </c>
      <c r="J32" s="321">
        <v>500</v>
      </c>
      <c r="K32" s="141">
        <f t="shared" si="4"/>
        <v>3471.7799999999997</v>
      </c>
      <c r="L32" s="29" t="s">
        <v>258</v>
      </c>
      <c r="M32" s="7">
        <f t="shared" si="0"/>
        <v>1</v>
      </c>
    </row>
    <row r="33" spans="1:13" ht="20.25" customHeight="1">
      <c r="A33" s="16">
        <v>301</v>
      </c>
      <c r="B33" s="14">
        <v>36</v>
      </c>
      <c r="C33" s="20" t="s">
        <v>259</v>
      </c>
      <c r="D33" s="21" t="s">
        <v>240</v>
      </c>
      <c r="E33" s="32"/>
      <c r="F33" s="32"/>
      <c r="G33" s="32"/>
      <c r="H33" s="141">
        <f t="shared" si="3"/>
        <v>0</v>
      </c>
      <c r="I33" s="321"/>
      <c r="J33" s="321"/>
      <c r="K33" s="141">
        <f t="shared" si="4"/>
        <v>0</v>
      </c>
      <c r="L33" s="29"/>
      <c r="M33" s="7">
        <f t="shared" si="0"/>
        <v>1</v>
      </c>
    </row>
    <row r="34" spans="1:13" ht="20.25" customHeight="1" thickBot="1">
      <c r="A34" s="172"/>
      <c r="B34" s="24" t="s">
        <v>260</v>
      </c>
      <c r="C34" s="364" t="s">
        <v>261</v>
      </c>
      <c r="D34" s="365"/>
      <c r="E34" s="182">
        <f>SUM(E18:E33)</f>
        <v>40342</v>
      </c>
      <c r="F34" s="182">
        <f>SUM(F18:F33)</f>
        <v>35698.19</v>
      </c>
      <c r="G34" s="182">
        <f>SUM(G18:G33)</f>
        <v>0</v>
      </c>
      <c r="H34" s="182">
        <f t="shared" si="3"/>
        <v>-4643.8099999999977</v>
      </c>
      <c r="I34" s="182">
        <f>SUM(I18:I33)</f>
        <v>25685.350000000002</v>
      </c>
      <c r="J34" s="182">
        <f>SUM(J18:J33)</f>
        <v>6261.63</v>
      </c>
      <c r="K34" s="182">
        <f t="shared" si="4"/>
        <v>35698.19</v>
      </c>
      <c r="L34" s="189"/>
      <c r="M34" s="7" t="str">
        <f t="shared" si="0"/>
        <v/>
      </c>
    </row>
    <row r="35" spans="1:13" ht="20.25" customHeight="1">
      <c r="A35" s="172"/>
      <c r="B35" s="25"/>
      <c r="C35" s="30" t="s">
        <v>262</v>
      </c>
      <c r="D35" s="190"/>
      <c r="E35" s="191"/>
      <c r="F35" s="192"/>
      <c r="G35" s="193"/>
      <c r="H35" s="193"/>
      <c r="I35" s="193"/>
      <c r="J35" s="322"/>
      <c r="K35" s="191"/>
      <c r="L35" s="190"/>
      <c r="M35" s="7" t="str">
        <f t="shared" si="0"/>
        <v/>
      </c>
    </row>
    <row r="36" spans="1:13" ht="20.25" customHeight="1">
      <c r="A36" s="16">
        <v>302</v>
      </c>
      <c r="B36" s="14">
        <v>37</v>
      </c>
      <c r="C36" s="20" t="s">
        <v>263</v>
      </c>
      <c r="D36" s="21" t="s">
        <v>264</v>
      </c>
      <c r="E36" s="32"/>
      <c r="F36" s="32">
        <f>'Invoices indexed by Category'!F78</f>
        <v>4100</v>
      </c>
      <c r="G36" s="32"/>
      <c r="H36" s="141">
        <f t="shared" ref="H36:H44" si="6">(F36+G36)-E36</f>
        <v>4100</v>
      </c>
      <c r="I36" s="321">
        <f>'Invoices indexed by Category'!H78</f>
        <v>0</v>
      </c>
      <c r="J36" s="321">
        <v>0</v>
      </c>
      <c r="K36" s="141">
        <f t="shared" ref="K36:K44" si="7">F36+G36</f>
        <v>4100</v>
      </c>
      <c r="L36" s="29"/>
      <c r="M36" s="7">
        <f t="shared" si="0"/>
        <v>1</v>
      </c>
    </row>
    <row r="37" spans="1:13" ht="20.25" customHeight="1">
      <c r="A37" s="16">
        <v>303</v>
      </c>
      <c r="B37" s="14">
        <v>38</v>
      </c>
      <c r="C37" s="20" t="s">
        <v>265</v>
      </c>
      <c r="D37" s="21" t="s">
        <v>240</v>
      </c>
      <c r="E37" s="32">
        <v>15000</v>
      </c>
      <c r="F37" s="32">
        <f>'Invoices indexed by Category'!F81</f>
        <v>9528</v>
      </c>
      <c r="G37" s="32"/>
      <c r="H37" s="141">
        <f t="shared" si="6"/>
        <v>-5472</v>
      </c>
      <c r="I37" s="321">
        <f>'Invoices indexed by Category'!H81</f>
        <v>9528</v>
      </c>
      <c r="J37" s="321">
        <v>0</v>
      </c>
      <c r="K37" s="141">
        <f t="shared" si="7"/>
        <v>9528</v>
      </c>
      <c r="L37" s="29"/>
      <c r="M37" s="7">
        <f t="shared" si="0"/>
        <v>1</v>
      </c>
    </row>
    <row r="38" spans="1:13" ht="20.25" customHeight="1">
      <c r="A38" s="16">
        <v>819</v>
      </c>
      <c r="B38" s="14">
        <v>39</v>
      </c>
      <c r="C38" s="20" t="s">
        <v>266</v>
      </c>
      <c r="D38" s="21"/>
      <c r="E38" s="32">
        <v>0</v>
      </c>
      <c r="F38" s="32"/>
      <c r="G38" s="32"/>
      <c r="H38" s="141">
        <f t="shared" si="6"/>
        <v>0</v>
      </c>
      <c r="I38" s="321"/>
      <c r="J38" s="321"/>
      <c r="K38" s="141">
        <f t="shared" si="7"/>
        <v>0</v>
      </c>
      <c r="L38" s="29"/>
      <c r="M38" s="7">
        <f t="shared" si="0"/>
        <v>1</v>
      </c>
    </row>
    <row r="39" spans="1:13" ht="20.25" customHeight="1">
      <c r="A39" s="16">
        <v>303</v>
      </c>
      <c r="B39" s="14">
        <v>40</v>
      </c>
      <c r="C39" s="20" t="s">
        <v>267</v>
      </c>
      <c r="D39" s="21" t="s">
        <v>268</v>
      </c>
      <c r="E39" s="32">
        <v>0</v>
      </c>
      <c r="F39" s="32">
        <f>'Invoices indexed by Category'!F84</f>
        <v>1950</v>
      </c>
      <c r="G39" s="32"/>
      <c r="H39" s="141">
        <f t="shared" si="6"/>
        <v>1950</v>
      </c>
      <c r="I39" s="321">
        <f>'Invoices indexed by Category'!H84</f>
        <v>1950</v>
      </c>
      <c r="J39" s="321">
        <v>0</v>
      </c>
      <c r="K39" s="141">
        <f t="shared" si="7"/>
        <v>1950</v>
      </c>
      <c r="L39" s="29"/>
      <c r="M39" s="7">
        <f t="shared" ref="M39:M70" si="8">IF(A39&gt;0,1,"")</f>
        <v>1</v>
      </c>
    </row>
    <row r="40" spans="1:13" ht="20.25" customHeight="1">
      <c r="A40" s="16">
        <v>303</v>
      </c>
      <c r="B40" s="14">
        <v>41</v>
      </c>
      <c r="C40" s="20" t="s">
        <v>269</v>
      </c>
      <c r="D40" s="21"/>
      <c r="E40" s="32">
        <v>0</v>
      </c>
      <c r="F40" s="32"/>
      <c r="G40" s="32"/>
      <c r="H40" s="141">
        <f t="shared" si="6"/>
        <v>0</v>
      </c>
      <c r="I40" s="321"/>
      <c r="J40" s="321"/>
      <c r="K40" s="141">
        <f t="shared" si="7"/>
        <v>0</v>
      </c>
      <c r="L40" s="29"/>
      <c r="M40" s="7">
        <f t="shared" si="8"/>
        <v>1</v>
      </c>
    </row>
    <row r="41" spans="1:13" ht="20.25" customHeight="1">
      <c r="A41" s="16">
        <v>821</v>
      </c>
      <c r="B41" s="14">
        <f>B40+1</f>
        <v>42</v>
      </c>
      <c r="C41" s="20" t="s">
        <v>270</v>
      </c>
      <c r="D41" s="21" t="s">
        <v>271</v>
      </c>
      <c r="E41" s="32">
        <v>0</v>
      </c>
      <c r="F41" s="32"/>
      <c r="G41" s="32"/>
      <c r="H41" s="141">
        <f t="shared" si="6"/>
        <v>0</v>
      </c>
      <c r="I41" s="321"/>
      <c r="J41" s="321"/>
      <c r="K41" s="141">
        <f t="shared" si="7"/>
        <v>0</v>
      </c>
      <c r="L41" s="29"/>
      <c r="M41" s="7">
        <f t="shared" si="8"/>
        <v>1</v>
      </c>
    </row>
    <row r="42" spans="1:13" ht="20.25" customHeight="1">
      <c r="A42" s="16">
        <v>821</v>
      </c>
      <c r="B42" s="14">
        <f>B41+1</f>
        <v>43</v>
      </c>
      <c r="C42" s="20" t="s">
        <v>270</v>
      </c>
      <c r="D42" s="21" t="s">
        <v>272</v>
      </c>
      <c r="E42" s="32">
        <v>16005</v>
      </c>
      <c r="F42" s="32"/>
      <c r="G42" s="32"/>
      <c r="H42" s="141">
        <f t="shared" si="6"/>
        <v>-16005</v>
      </c>
      <c r="I42" s="321"/>
      <c r="J42" s="321">
        <f>-H42</f>
        <v>16005</v>
      </c>
      <c r="K42" s="141">
        <f t="shared" si="7"/>
        <v>0</v>
      </c>
      <c r="L42" s="29" t="s">
        <v>273</v>
      </c>
      <c r="M42" s="7">
        <f t="shared" si="8"/>
        <v>1</v>
      </c>
    </row>
    <row r="43" spans="1:13" ht="20.25" customHeight="1">
      <c r="A43" s="16">
        <v>309</v>
      </c>
      <c r="B43" s="14">
        <v>44</v>
      </c>
      <c r="C43" s="20" t="s">
        <v>274</v>
      </c>
      <c r="D43" s="21" t="s">
        <v>275</v>
      </c>
      <c r="E43" s="32"/>
      <c r="F43" s="32"/>
      <c r="G43" s="32"/>
      <c r="H43" s="141">
        <f t="shared" si="6"/>
        <v>0</v>
      </c>
      <c r="I43" s="321"/>
      <c r="J43" s="321"/>
      <c r="K43" s="141">
        <f t="shared" si="7"/>
        <v>0</v>
      </c>
      <c r="L43" s="29"/>
      <c r="M43" s="7">
        <f t="shared" si="8"/>
        <v>1</v>
      </c>
    </row>
    <row r="44" spans="1:13" ht="20.25" customHeight="1" thickBot="1">
      <c r="A44" s="172"/>
      <c r="B44" s="24" t="s">
        <v>276</v>
      </c>
      <c r="C44" s="364" t="s">
        <v>277</v>
      </c>
      <c r="D44" s="365"/>
      <c r="E44" s="182">
        <f>SUM(E36:E43)</f>
        <v>31005</v>
      </c>
      <c r="F44" s="182">
        <f>SUM(F36:F43)</f>
        <v>15578</v>
      </c>
      <c r="G44" s="182">
        <f>SUM(G36:G43)</f>
        <v>0</v>
      </c>
      <c r="H44" s="182">
        <f t="shared" si="6"/>
        <v>-15427</v>
      </c>
      <c r="I44" s="182">
        <f>SUM(I36:I43)</f>
        <v>11478</v>
      </c>
      <c r="J44" s="182">
        <f>SUM(J36:J43)</f>
        <v>16005</v>
      </c>
      <c r="K44" s="182">
        <f t="shared" si="7"/>
        <v>15578</v>
      </c>
      <c r="L44" s="189"/>
      <c r="M44" s="7" t="str">
        <f t="shared" si="8"/>
        <v/>
      </c>
    </row>
    <row r="45" spans="1:13" ht="20.25" customHeight="1">
      <c r="A45" s="172"/>
      <c r="B45" s="25"/>
      <c r="C45" s="30" t="s">
        <v>122</v>
      </c>
      <c r="D45" s="190"/>
      <c r="E45" s="191"/>
      <c r="F45" s="192"/>
      <c r="G45" s="193"/>
      <c r="H45" s="193"/>
      <c r="I45" s="193"/>
      <c r="J45" s="322"/>
      <c r="K45" s="191"/>
      <c r="L45" s="190"/>
      <c r="M45" s="7" t="str">
        <f t="shared" si="8"/>
        <v/>
      </c>
    </row>
    <row r="46" spans="1:13" ht="20.25" customHeight="1">
      <c r="A46" s="16">
        <v>304</v>
      </c>
      <c r="B46" s="14">
        <v>45</v>
      </c>
      <c r="C46" s="20" t="s">
        <v>278</v>
      </c>
      <c r="D46" s="21"/>
      <c r="E46" s="32">
        <v>0</v>
      </c>
      <c r="F46" s="32"/>
      <c r="G46" s="32"/>
      <c r="H46" s="141">
        <f>(F46+G46)-E46</f>
        <v>0</v>
      </c>
      <c r="I46" s="321"/>
      <c r="J46" s="321"/>
      <c r="K46" s="141">
        <f>F46+G46</f>
        <v>0</v>
      </c>
      <c r="L46" s="29"/>
      <c r="M46" s="7">
        <f t="shared" si="8"/>
        <v>1</v>
      </c>
    </row>
    <row r="47" spans="1:13" ht="20.25" customHeight="1">
      <c r="A47" s="16">
        <v>305</v>
      </c>
      <c r="B47" s="14">
        <v>46</v>
      </c>
      <c r="C47" s="20" t="s">
        <v>279</v>
      </c>
      <c r="D47" s="21" t="s">
        <v>280</v>
      </c>
      <c r="E47" s="32">
        <v>0</v>
      </c>
      <c r="F47" s="32"/>
      <c r="G47" s="32"/>
      <c r="H47" s="141">
        <f>(F47+G47)-E47</f>
        <v>0</v>
      </c>
      <c r="I47" s="321"/>
      <c r="J47" s="321"/>
      <c r="K47" s="141">
        <f>F47+G47</f>
        <v>0</v>
      </c>
      <c r="L47" s="29"/>
      <c r="M47" s="7">
        <f t="shared" si="8"/>
        <v>1</v>
      </c>
    </row>
    <row r="48" spans="1:13" ht="20.25" customHeight="1" thickBot="1">
      <c r="A48" s="172"/>
      <c r="B48" s="24" t="s">
        <v>281</v>
      </c>
      <c r="C48" s="364" t="s">
        <v>282</v>
      </c>
      <c r="D48" s="365"/>
      <c r="E48" s="141">
        <f>SUM(E46:E47)</f>
        <v>0</v>
      </c>
      <c r="F48" s="141">
        <f>SUM(F46:F47)</f>
        <v>0</v>
      </c>
      <c r="G48" s="141">
        <f>SUM(G46:G47)</f>
        <v>0</v>
      </c>
      <c r="H48" s="141">
        <f>(F48+G48)-E48</f>
        <v>0</v>
      </c>
      <c r="I48" s="321"/>
      <c r="J48" s="321"/>
      <c r="K48" s="141">
        <f>F48+G48</f>
        <v>0</v>
      </c>
      <c r="L48" s="189"/>
      <c r="M48" s="7" t="str">
        <f t="shared" si="8"/>
        <v/>
      </c>
    </row>
    <row r="49" spans="1:13" ht="20.25" customHeight="1">
      <c r="A49" s="172"/>
      <c r="B49" s="25"/>
      <c r="C49" s="30" t="s">
        <v>283</v>
      </c>
      <c r="D49" s="190"/>
      <c r="E49" s="191"/>
      <c r="F49" s="192"/>
      <c r="G49" s="193"/>
      <c r="H49" s="193"/>
      <c r="I49" s="193"/>
      <c r="J49" s="322"/>
      <c r="K49" s="191"/>
      <c r="L49" s="190"/>
      <c r="M49" s="7" t="str">
        <f t="shared" si="8"/>
        <v/>
      </c>
    </row>
    <row r="50" spans="1:13" ht="20.25" customHeight="1">
      <c r="A50" s="16">
        <v>401</v>
      </c>
      <c r="B50" s="14">
        <v>47</v>
      </c>
      <c r="C50" s="20" t="s">
        <v>284</v>
      </c>
      <c r="D50" s="21" t="s">
        <v>285</v>
      </c>
      <c r="E50" s="32">
        <v>1100</v>
      </c>
      <c r="F50" s="32">
        <f>'Invoices indexed by Category'!F88</f>
        <v>780.94</v>
      </c>
      <c r="G50" s="32"/>
      <c r="H50" s="141">
        <f>(F50+G50)-E50</f>
        <v>-319.05999999999995</v>
      </c>
      <c r="I50" s="321">
        <f>'Invoices indexed by Category'!H88</f>
        <v>780.94</v>
      </c>
      <c r="J50" s="321">
        <v>0</v>
      </c>
      <c r="K50" s="141">
        <f>F50+G50</f>
        <v>780.94</v>
      </c>
      <c r="L50" s="29"/>
      <c r="M50" s="7">
        <f t="shared" si="8"/>
        <v>1</v>
      </c>
    </row>
    <row r="51" spans="1:13" ht="20.25" customHeight="1">
      <c r="A51" s="16">
        <v>401</v>
      </c>
      <c r="B51" s="14">
        <v>48</v>
      </c>
      <c r="C51" s="20" t="s">
        <v>286</v>
      </c>
      <c r="D51" s="21" t="s">
        <v>287</v>
      </c>
      <c r="E51" s="32">
        <v>44000</v>
      </c>
      <c r="F51" s="32">
        <f>'Invoices indexed by Category'!F92</f>
        <v>44819.7</v>
      </c>
      <c r="G51" s="32"/>
      <c r="H51" s="141">
        <f>(F51+G51)-E51</f>
        <v>819.69999999999709</v>
      </c>
      <c r="I51" s="321">
        <f>'Invoices indexed by Category'!H92</f>
        <v>43994.7</v>
      </c>
      <c r="J51" s="321">
        <v>0</v>
      </c>
      <c r="K51" s="141">
        <f>F51+G51</f>
        <v>44819.7</v>
      </c>
      <c r="L51" s="29"/>
      <c r="M51" s="7">
        <f t="shared" si="8"/>
        <v>1</v>
      </c>
    </row>
    <row r="52" spans="1:13" ht="21.75" customHeight="1">
      <c r="A52" s="16">
        <v>407</v>
      </c>
      <c r="B52" s="14">
        <v>49</v>
      </c>
      <c r="C52" s="20" t="s">
        <v>288</v>
      </c>
      <c r="D52" s="21" t="s">
        <v>289</v>
      </c>
      <c r="E52" s="32"/>
      <c r="F52" s="32"/>
      <c r="G52" s="32"/>
      <c r="H52" s="141">
        <f>(F52+G52)-E52</f>
        <v>0</v>
      </c>
      <c r="I52" s="321"/>
      <c r="J52" s="321"/>
      <c r="K52" s="141">
        <f>F52+G52</f>
        <v>0</v>
      </c>
      <c r="L52" s="29"/>
      <c r="M52" s="7">
        <f t="shared" si="8"/>
        <v>1</v>
      </c>
    </row>
    <row r="53" spans="1:13" ht="20.25" customHeight="1" thickBot="1">
      <c r="A53" s="172"/>
      <c r="B53" s="24" t="s">
        <v>290</v>
      </c>
      <c r="C53" s="364" t="s">
        <v>291</v>
      </c>
      <c r="D53" s="365"/>
      <c r="E53" s="182">
        <f>SUM(E50:E52)</f>
        <v>45100</v>
      </c>
      <c r="F53" s="182">
        <f>SUM(F50:F52)</f>
        <v>45600.639999999999</v>
      </c>
      <c r="G53" s="182">
        <f>SUM(G50:G52)</f>
        <v>0</v>
      </c>
      <c r="H53" s="182">
        <f>(F53+G53)-E53</f>
        <v>500.63999999999942</v>
      </c>
      <c r="I53" s="182">
        <f>SUM(I50:I52)</f>
        <v>44775.64</v>
      </c>
      <c r="J53" s="327">
        <f>SUM(J50:J52)</f>
        <v>0</v>
      </c>
      <c r="K53" s="182">
        <f>F53+G53</f>
        <v>45600.639999999999</v>
      </c>
      <c r="L53" s="189"/>
      <c r="M53" s="7" t="str">
        <f t="shared" si="8"/>
        <v/>
      </c>
    </row>
    <row r="54" spans="1:13" ht="20.25" customHeight="1">
      <c r="A54" s="172"/>
      <c r="B54" s="25"/>
      <c r="C54" s="30" t="s">
        <v>292</v>
      </c>
      <c r="D54" s="190"/>
      <c r="E54" s="191"/>
      <c r="F54" s="192"/>
      <c r="G54" s="193"/>
      <c r="H54" s="193"/>
      <c r="I54" s="193"/>
      <c r="J54" s="322"/>
      <c r="K54" s="191"/>
      <c r="L54" s="190"/>
      <c r="M54" s="7" t="str">
        <f t="shared" si="8"/>
        <v/>
      </c>
    </row>
    <row r="55" spans="1:13" ht="20.25" customHeight="1">
      <c r="A55" s="16">
        <v>502</v>
      </c>
      <c r="B55" s="14">
        <v>50</v>
      </c>
      <c r="C55" s="20" t="s">
        <v>293</v>
      </c>
      <c r="D55" s="21" t="s">
        <v>294</v>
      </c>
      <c r="E55" s="32">
        <v>26320</v>
      </c>
      <c r="F55" s="32">
        <f>'Invoices indexed by Category'!F97</f>
        <v>24806.69</v>
      </c>
      <c r="G55" s="32"/>
      <c r="H55" s="141">
        <f t="shared" ref="H55:H61" si="9">(F55+G55)-E55</f>
        <v>-1513.3100000000013</v>
      </c>
      <c r="I55" s="321">
        <f>'Invoices indexed by Category'!H97</f>
        <v>24806.69</v>
      </c>
      <c r="J55" s="337">
        <v>0</v>
      </c>
      <c r="K55" s="141">
        <f t="shared" ref="K55:K61" si="10">F55+G55</f>
        <v>24806.69</v>
      </c>
      <c r="L55" s="29"/>
      <c r="M55" s="7">
        <f t="shared" si="8"/>
        <v>1</v>
      </c>
    </row>
    <row r="56" spans="1:13" ht="20.25" customHeight="1">
      <c r="A56" s="16">
        <v>507</v>
      </c>
      <c r="B56" s="14">
        <v>51</v>
      </c>
      <c r="C56" s="20" t="s">
        <v>295</v>
      </c>
      <c r="D56" s="21" t="s">
        <v>296</v>
      </c>
      <c r="E56" s="32">
        <v>16410</v>
      </c>
      <c r="F56" s="32">
        <f>'Invoices indexed by Category'!F103</f>
        <v>16609</v>
      </c>
      <c r="G56" s="32"/>
      <c r="H56" s="141">
        <f t="shared" si="9"/>
        <v>199</v>
      </c>
      <c r="I56" s="321">
        <f>'Invoices indexed by Category'!H103</f>
        <v>16609</v>
      </c>
      <c r="J56" s="321">
        <v>0</v>
      </c>
      <c r="K56" s="141">
        <f t="shared" si="10"/>
        <v>16609</v>
      </c>
      <c r="L56" s="29"/>
      <c r="M56" s="7">
        <f t="shared" si="8"/>
        <v>1</v>
      </c>
    </row>
    <row r="57" spans="1:13" ht="20.25" customHeight="1">
      <c r="A57" s="16">
        <v>501</v>
      </c>
      <c r="B57" s="14">
        <v>52</v>
      </c>
      <c r="C57" s="20" t="s">
        <v>297</v>
      </c>
      <c r="D57" s="21" t="s">
        <v>298</v>
      </c>
      <c r="E57" s="32"/>
      <c r="F57" s="32"/>
      <c r="G57" s="32"/>
      <c r="H57" s="141">
        <f t="shared" si="9"/>
        <v>0</v>
      </c>
      <c r="I57" s="321"/>
      <c r="J57" s="321"/>
      <c r="K57" s="141">
        <f t="shared" si="10"/>
        <v>0</v>
      </c>
      <c r="L57" s="29"/>
      <c r="M57" s="7">
        <f t="shared" si="8"/>
        <v>1</v>
      </c>
    </row>
    <row r="58" spans="1:13" ht="20.25" customHeight="1">
      <c r="A58" s="16">
        <v>506</v>
      </c>
      <c r="B58" s="14">
        <v>53</v>
      </c>
      <c r="C58" s="20" t="s">
        <v>299</v>
      </c>
      <c r="D58" s="21" t="s">
        <v>300</v>
      </c>
      <c r="E58" s="32"/>
      <c r="F58" s="32"/>
      <c r="G58" s="32"/>
      <c r="H58" s="141">
        <f t="shared" si="9"/>
        <v>0</v>
      </c>
      <c r="I58" s="321"/>
      <c r="J58" s="321"/>
      <c r="K58" s="141">
        <f t="shared" si="10"/>
        <v>0</v>
      </c>
      <c r="L58" s="29"/>
      <c r="M58" s="7">
        <f t="shared" si="8"/>
        <v>1</v>
      </c>
    </row>
    <row r="59" spans="1:13" ht="20.25" customHeight="1">
      <c r="A59" s="16">
        <v>503</v>
      </c>
      <c r="B59" s="14">
        <v>54</v>
      </c>
      <c r="C59" s="20" t="s">
        <v>301</v>
      </c>
      <c r="D59" s="21"/>
      <c r="E59" s="32">
        <v>0</v>
      </c>
      <c r="F59" s="32"/>
      <c r="G59" s="32"/>
      <c r="H59" s="141">
        <f t="shared" si="9"/>
        <v>0</v>
      </c>
      <c r="I59" s="321"/>
      <c r="J59" s="321"/>
      <c r="K59" s="141">
        <f t="shared" si="10"/>
        <v>0</v>
      </c>
      <c r="L59" s="29"/>
      <c r="M59" s="7">
        <f t="shared" si="8"/>
        <v>1</v>
      </c>
    </row>
    <row r="60" spans="1:13" ht="20.25" customHeight="1">
      <c r="A60" s="16">
        <v>507</v>
      </c>
      <c r="B60" s="14">
        <v>55</v>
      </c>
      <c r="C60" s="20" t="s">
        <v>302</v>
      </c>
      <c r="D60" s="21" t="s">
        <v>303</v>
      </c>
      <c r="E60" s="32"/>
      <c r="F60" s="32"/>
      <c r="G60" s="32"/>
      <c r="H60" s="141">
        <f t="shared" si="9"/>
        <v>0</v>
      </c>
      <c r="I60" s="321"/>
      <c r="J60" s="321"/>
      <c r="K60" s="141">
        <f t="shared" si="10"/>
        <v>0</v>
      </c>
      <c r="L60" s="29"/>
      <c r="M60" s="7">
        <f t="shared" si="8"/>
        <v>1</v>
      </c>
    </row>
    <row r="61" spans="1:13" ht="20.25" customHeight="1" thickBot="1">
      <c r="A61" s="172"/>
      <c r="B61" s="24" t="s">
        <v>304</v>
      </c>
      <c r="C61" s="364" t="s">
        <v>305</v>
      </c>
      <c r="D61" s="365"/>
      <c r="E61" s="182">
        <f>SUM(E55:E60)</f>
        <v>42730</v>
      </c>
      <c r="F61" s="182">
        <f>SUM(F55:F60)</f>
        <v>41415.69</v>
      </c>
      <c r="G61" s="182">
        <f>SUM(G55:G60)</f>
        <v>0</v>
      </c>
      <c r="H61" s="182">
        <f t="shared" si="9"/>
        <v>-1314.3099999999977</v>
      </c>
      <c r="I61" s="182">
        <f>SUM(I55:I60)</f>
        <v>41415.69</v>
      </c>
      <c r="J61" s="182">
        <f>SUM(J55:J60)</f>
        <v>0</v>
      </c>
      <c r="K61" s="182">
        <f t="shared" si="10"/>
        <v>41415.69</v>
      </c>
      <c r="L61" s="189"/>
      <c r="M61" s="7" t="str">
        <f t="shared" si="8"/>
        <v/>
      </c>
    </row>
    <row r="62" spans="1:13" ht="20.25" customHeight="1">
      <c r="A62" s="172"/>
      <c r="B62" s="25"/>
      <c r="C62" s="30" t="s">
        <v>306</v>
      </c>
      <c r="D62" s="190"/>
      <c r="E62" s="191"/>
      <c r="F62" s="192"/>
      <c r="G62" s="193"/>
      <c r="H62" s="193"/>
      <c r="I62" s="193"/>
      <c r="J62" s="322"/>
      <c r="K62" s="191"/>
      <c r="L62" s="190"/>
      <c r="M62" s="7" t="str">
        <f t="shared" si="8"/>
        <v/>
      </c>
    </row>
    <row r="63" spans="1:13" ht="20.25" customHeight="1">
      <c r="A63" s="16">
        <v>603</v>
      </c>
      <c r="B63" s="14">
        <v>56</v>
      </c>
      <c r="C63" s="20" t="s">
        <v>307</v>
      </c>
      <c r="D63" s="21" t="s">
        <v>308</v>
      </c>
      <c r="E63" s="32">
        <v>17156</v>
      </c>
      <c r="F63" s="32">
        <f>'Invoices indexed by Category'!F108</f>
        <v>19826.22</v>
      </c>
      <c r="G63" s="32"/>
      <c r="H63" s="141">
        <f t="shared" ref="H63:H74" si="11">(F63+G63)-E63</f>
        <v>2670.2200000000012</v>
      </c>
      <c r="I63" s="321">
        <f>'Invoices indexed by Category'!H108</f>
        <v>19826.22</v>
      </c>
      <c r="J63" s="321">
        <v>0</v>
      </c>
      <c r="K63" s="141">
        <f t="shared" ref="K63:K74" si="12">F63+G63</f>
        <v>19826.22</v>
      </c>
      <c r="L63" s="29" t="s">
        <v>309</v>
      </c>
      <c r="M63" s="7">
        <f t="shared" si="8"/>
        <v>1</v>
      </c>
    </row>
    <row r="64" spans="1:13" ht="20.25" customHeight="1">
      <c r="A64" s="16">
        <v>603</v>
      </c>
      <c r="B64" s="14">
        <v>57</v>
      </c>
      <c r="C64" s="20" t="s">
        <v>307</v>
      </c>
      <c r="D64" s="21" t="s">
        <v>300</v>
      </c>
      <c r="E64" s="32"/>
      <c r="F64" s="32"/>
      <c r="G64" s="32"/>
      <c r="H64" s="141">
        <f t="shared" si="11"/>
        <v>0</v>
      </c>
      <c r="I64" s="321"/>
      <c r="J64" s="321"/>
      <c r="K64" s="141">
        <f t="shared" si="12"/>
        <v>0</v>
      </c>
      <c r="L64" s="29"/>
      <c r="M64" s="7">
        <f t="shared" si="8"/>
        <v>1</v>
      </c>
    </row>
    <row r="65" spans="1:13" ht="20.25" customHeight="1">
      <c r="A65" s="16">
        <v>611</v>
      </c>
      <c r="B65" s="14">
        <v>58</v>
      </c>
      <c r="C65" s="20" t="s">
        <v>310</v>
      </c>
      <c r="D65" s="21" t="s">
        <v>311</v>
      </c>
      <c r="E65" s="32">
        <v>5038</v>
      </c>
      <c r="F65" s="32">
        <f>'Invoices indexed by Category'!F112</f>
        <v>5973.37</v>
      </c>
      <c r="G65" s="32"/>
      <c r="H65" s="141">
        <f t="shared" si="11"/>
        <v>935.36999999999989</v>
      </c>
      <c r="I65" s="321">
        <f>'Invoices indexed by Category'!H112</f>
        <v>5973.37</v>
      </c>
      <c r="J65" s="321">
        <v>6750</v>
      </c>
      <c r="K65" s="141">
        <f t="shared" si="12"/>
        <v>5973.37</v>
      </c>
      <c r="L65" s="29"/>
      <c r="M65" s="7">
        <f t="shared" si="8"/>
        <v>1</v>
      </c>
    </row>
    <row r="66" spans="1:13" ht="20.25" customHeight="1">
      <c r="A66" s="16">
        <v>611</v>
      </c>
      <c r="B66" s="14">
        <f>B65+1</f>
        <v>59</v>
      </c>
      <c r="C66" s="20" t="s">
        <v>310</v>
      </c>
      <c r="D66" s="21" t="s">
        <v>312</v>
      </c>
      <c r="E66" s="32"/>
      <c r="F66" s="32"/>
      <c r="G66" s="32"/>
      <c r="H66" s="141">
        <f t="shared" si="11"/>
        <v>0</v>
      </c>
      <c r="I66" s="321"/>
      <c r="J66" s="321"/>
      <c r="K66" s="141">
        <f t="shared" si="12"/>
        <v>0</v>
      </c>
      <c r="L66" s="29"/>
      <c r="M66" s="7">
        <f t="shared" si="8"/>
        <v>1</v>
      </c>
    </row>
    <row r="67" spans="1:13" ht="20.25" customHeight="1">
      <c r="A67" s="16">
        <v>513</v>
      </c>
      <c r="B67" s="14">
        <f>B66+1</f>
        <v>60</v>
      </c>
      <c r="C67" s="20" t="s">
        <v>313</v>
      </c>
      <c r="D67" s="21" t="s">
        <v>314</v>
      </c>
      <c r="E67" s="32">
        <v>1500</v>
      </c>
      <c r="F67" s="32">
        <f>'Invoices indexed by Category'!F115</f>
        <v>556.79</v>
      </c>
      <c r="G67" s="32"/>
      <c r="H67" s="141">
        <f t="shared" si="11"/>
        <v>-943.21</v>
      </c>
      <c r="I67" s="321">
        <f>'Invoices indexed by Category'!H115</f>
        <v>556.79</v>
      </c>
      <c r="J67" s="321">
        <v>1121</v>
      </c>
      <c r="K67" s="141">
        <f t="shared" si="12"/>
        <v>556.79</v>
      </c>
      <c r="L67" s="29"/>
      <c r="M67" s="7">
        <f t="shared" si="8"/>
        <v>1</v>
      </c>
    </row>
    <row r="68" spans="1:13" ht="20.25" customHeight="1">
      <c r="A68" s="16">
        <v>513</v>
      </c>
      <c r="B68" s="14">
        <v>61</v>
      </c>
      <c r="C68" s="20" t="s">
        <v>313</v>
      </c>
      <c r="D68" s="21" t="s">
        <v>315</v>
      </c>
      <c r="E68" s="32"/>
      <c r="F68" s="32"/>
      <c r="G68" s="32"/>
      <c r="H68" s="141">
        <f t="shared" si="11"/>
        <v>0</v>
      </c>
      <c r="I68" s="321"/>
      <c r="J68" s="321"/>
      <c r="K68" s="141">
        <f t="shared" si="12"/>
        <v>0</v>
      </c>
      <c r="L68" s="29"/>
      <c r="M68" s="7">
        <f t="shared" si="8"/>
        <v>1</v>
      </c>
    </row>
    <row r="69" spans="1:13" ht="20.25" customHeight="1">
      <c r="A69" s="16">
        <v>509</v>
      </c>
      <c r="B69" s="14">
        <v>62</v>
      </c>
      <c r="C69" s="20" t="s">
        <v>41</v>
      </c>
      <c r="D69" s="21" t="s">
        <v>316</v>
      </c>
      <c r="E69" s="32">
        <v>10800</v>
      </c>
      <c r="F69" s="32">
        <f>'Invoices indexed by Category'!F120</f>
        <v>9034.4500000000007</v>
      </c>
      <c r="G69" s="32"/>
      <c r="H69" s="141">
        <f t="shared" si="11"/>
        <v>-1765.5499999999993</v>
      </c>
      <c r="I69" s="321">
        <f>'Invoices indexed by Category'!H120</f>
        <v>8950</v>
      </c>
      <c r="J69" s="321">
        <f>-H69</f>
        <v>1765.5499999999993</v>
      </c>
      <c r="K69" s="141">
        <f t="shared" si="12"/>
        <v>9034.4500000000007</v>
      </c>
      <c r="L69" s="29"/>
      <c r="M69" s="7">
        <f t="shared" si="8"/>
        <v>1</v>
      </c>
    </row>
    <row r="70" spans="1:13" ht="20.25" customHeight="1">
      <c r="A70" s="16">
        <v>510</v>
      </c>
      <c r="B70" s="14">
        <v>63</v>
      </c>
      <c r="C70" s="20" t="s">
        <v>317</v>
      </c>
      <c r="D70" s="21" t="s">
        <v>287</v>
      </c>
      <c r="E70" s="32">
        <v>8200</v>
      </c>
      <c r="F70" s="32">
        <f>'Invoices indexed by Category'!F124</f>
        <v>5125.75</v>
      </c>
      <c r="G70" s="32"/>
      <c r="H70" s="141">
        <f t="shared" si="11"/>
        <v>-3074.25</v>
      </c>
      <c r="I70" s="321">
        <f>'Invoices indexed by Category'!H124</f>
        <v>4920</v>
      </c>
      <c r="J70" s="321">
        <f>-H70</f>
        <v>3074.25</v>
      </c>
      <c r="K70" s="141">
        <f t="shared" si="12"/>
        <v>5125.75</v>
      </c>
      <c r="L70" s="29" t="s">
        <v>318</v>
      </c>
      <c r="M70" s="7">
        <f t="shared" si="8"/>
        <v>1</v>
      </c>
    </row>
    <row r="71" spans="1:13" ht="20.25" customHeight="1">
      <c r="A71" s="16">
        <v>511</v>
      </c>
      <c r="B71" s="14">
        <v>64</v>
      </c>
      <c r="C71" s="20" t="s">
        <v>319</v>
      </c>
      <c r="D71" s="21" t="s">
        <v>316</v>
      </c>
      <c r="E71" s="32">
        <v>9526</v>
      </c>
      <c r="F71" s="32">
        <f>'Invoices indexed by Category'!F132</f>
        <v>7601.42</v>
      </c>
      <c r="G71" s="32"/>
      <c r="H71" s="141">
        <f t="shared" si="11"/>
        <v>-1924.58</v>
      </c>
      <c r="I71" s="321">
        <f>'Invoices indexed by Category'!H132</f>
        <v>6342</v>
      </c>
      <c r="J71" s="321">
        <f>-H71</f>
        <v>1924.58</v>
      </c>
      <c r="K71" s="141">
        <f t="shared" si="12"/>
        <v>7601.42</v>
      </c>
      <c r="L71" s="29" t="s">
        <v>320</v>
      </c>
      <c r="M71" s="7">
        <f t="shared" ref="M71:M102" si="13">IF(A71&gt;0,1,"")</f>
        <v>1</v>
      </c>
    </row>
    <row r="72" spans="1:13" ht="20.25" customHeight="1">
      <c r="A72" s="16">
        <v>511</v>
      </c>
      <c r="B72" s="14">
        <v>65</v>
      </c>
      <c r="C72" s="20" t="s">
        <v>321</v>
      </c>
      <c r="D72" s="21" t="s">
        <v>322</v>
      </c>
      <c r="E72" s="32">
        <v>1500</v>
      </c>
      <c r="F72" s="300">
        <f>'Invoices indexed by Category'!F145</f>
        <v>2218.0099999999998</v>
      </c>
      <c r="G72" s="32"/>
      <c r="H72" s="141">
        <f t="shared" si="11"/>
        <v>718.00999999999976</v>
      </c>
      <c r="I72" s="321">
        <f>'Invoices indexed by Category'!H145</f>
        <v>307.89</v>
      </c>
      <c r="J72" s="321">
        <v>0</v>
      </c>
      <c r="K72" s="141">
        <f t="shared" si="12"/>
        <v>2218.0099999999998</v>
      </c>
      <c r="L72" s="29"/>
      <c r="M72" s="7">
        <f t="shared" si="13"/>
        <v>1</v>
      </c>
    </row>
    <row r="73" spans="1:13" ht="20.25" customHeight="1">
      <c r="A73" s="16">
        <v>604</v>
      </c>
      <c r="B73" s="14">
        <v>66</v>
      </c>
      <c r="C73" s="20" t="s">
        <v>186</v>
      </c>
      <c r="D73" s="21" t="s">
        <v>323</v>
      </c>
      <c r="E73" s="32">
        <v>3778</v>
      </c>
      <c r="F73" s="32">
        <f>'Invoices indexed by Category'!F148</f>
        <v>4283.4525000000003</v>
      </c>
      <c r="G73" s="32"/>
      <c r="H73" s="141">
        <f t="shared" si="11"/>
        <v>505.45250000000033</v>
      </c>
      <c r="I73" s="321">
        <f>'Invoices indexed by Category'!H148</f>
        <v>4283.4525000000003</v>
      </c>
      <c r="J73" s="321">
        <v>0</v>
      </c>
      <c r="K73" s="141">
        <f t="shared" si="12"/>
        <v>4283.4525000000003</v>
      </c>
      <c r="L73" s="29"/>
      <c r="M73" s="7">
        <f t="shared" si="13"/>
        <v>1</v>
      </c>
    </row>
    <row r="74" spans="1:13" ht="20.25" customHeight="1">
      <c r="A74" s="16">
        <v>606</v>
      </c>
      <c r="B74" s="14">
        <f>B73+1</f>
        <v>67</v>
      </c>
      <c r="C74" s="20" t="s">
        <v>324</v>
      </c>
      <c r="D74" s="21"/>
      <c r="E74" s="32">
        <v>0</v>
      </c>
      <c r="F74" s="32"/>
      <c r="G74" s="32"/>
      <c r="H74" s="141">
        <f t="shared" si="11"/>
        <v>0</v>
      </c>
      <c r="I74" s="321"/>
      <c r="J74" s="321"/>
      <c r="K74" s="141">
        <f t="shared" si="12"/>
        <v>0</v>
      </c>
      <c r="L74" s="29"/>
      <c r="M74" s="7">
        <f t="shared" si="13"/>
        <v>1</v>
      </c>
    </row>
    <row r="75" spans="1:13" ht="20.25" customHeight="1">
      <c r="A75" s="16">
        <v>605</v>
      </c>
      <c r="B75" s="14">
        <v>68</v>
      </c>
      <c r="C75" s="20" t="s">
        <v>325</v>
      </c>
      <c r="D75" s="21" t="s">
        <v>326</v>
      </c>
      <c r="E75" s="32">
        <v>2076</v>
      </c>
      <c r="F75" s="300">
        <f>'Invoices indexed by Category'!F151</f>
        <v>2108.5474999999997</v>
      </c>
      <c r="G75" s="32"/>
      <c r="H75" s="141">
        <f t="shared" ref="H75:H94" si="14">(F75+G75)-E75</f>
        <v>32.547499999999673</v>
      </c>
      <c r="I75" s="321">
        <f>'Invoices indexed by Category'!H151</f>
        <v>2108.5474999999997</v>
      </c>
      <c r="J75" s="321">
        <v>0</v>
      </c>
      <c r="K75" s="141">
        <f>F76+G75</f>
        <v>5369.52</v>
      </c>
      <c r="L75" s="29"/>
      <c r="M75" s="7">
        <f t="shared" si="13"/>
        <v>1</v>
      </c>
    </row>
    <row r="76" spans="1:13" ht="20.25" customHeight="1">
      <c r="A76" s="16">
        <v>605</v>
      </c>
      <c r="B76" s="14">
        <f>B75+1</f>
        <v>69</v>
      </c>
      <c r="C76" s="20" t="s">
        <v>325</v>
      </c>
      <c r="D76" s="21" t="s">
        <v>327</v>
      </c>
      <c r="E76" s="32">
        <v>5500</v>
      </c>
      <c r="F76" s="32">
        <f>'Invoices indexed by Category'!F156</f>
        <v>5369.52</v>
      </c>
      <c r="G76" s="32"/>
      <c r="H76" s="141">
        <f t="shared" si="14"/>
        <v>-130.47999999999956</v>
      </c>
      <c r="I76" s="321">
        <f>'Invoices indexed by Category'!H156</f>
        <v>2684.76</v>
      </c>
      <c r="J76" s="321">
        <v>0</v>
      </c>
      <c r="K76" s="141">
        <f>F77+G76</f>
        <v>0</v>
      </c>
      <c r="L76" s="29"/>
      <c r="M76" s="7">
        <f t="shared" si="13"/>
        <v>1</v>
      </c>
    </row>
    <row r="77" spans="1:13" ht="20.25" customHeight="1">
      <c r="A77" s="16">
        <v>613</v>
      </c>
      <c r="B77" s="14">
        <f>B76+1</f>
        <v>70</v>
      </c>
      <c r="C77" s="20" t="s">
        <v>328</v>
      </c>
      <c r="D77" s="21" t="s">
        <v>329</v>
      </c>
      <c r="E77" s="32">
        <v>1300</v>
      </c>
      <c r="F77" s="32"/>
      <c r="G77" s="32"/>
      <c r="H77" s="141">
        <f t="shared" si="14"/>
        <v>-1300</v>
      </c>
      <c r="I77" s="321"/>
      <c r="J77" s="321">
        <v>1450</v>
      </c>
      <c r="K77" s="141">
        <f t="shared" ref="K77:K94" si="15">F77+G77</f>
        <v>0</v>
      </c>
      <c r="L77" s="29" t="s">
        <v>330</v>
      </c>
      <c r="M77" s="7">
        <f t="shared" si="13"/>
        <v>1</v>
      </c>
    </row>
    <row r="78" spans="1:13" ht="20.25" customHeight="1">
      <c r="A78" s="16">
        <v>613</v>
      </c>
      <c r="B78" s="14">
        <f>B77+1</f>
        <v>71</v>
      </c>
      <c r="C78" s="20" t="s">
        <v>331</v>
      </c>
      <c r="D78" s="21" t="s">
        <v>332</v>
      </c>
      <c r="E78" s="32">
        <v>750</v>
      </c>
      <c r="F78" s="32"/>
      <c r="G78" s="32"/>
      <c r="H78" s="141">
        <f t="shared" si="14"/>
        <v>-750</v>
      </c>
      <c r="I78" s="321"/>
      <c r="J78" s="321">
        <f>-H78</f>
        <v>750</v>
      </c>
      <c r="K78" s="141">
        <f t="shared" si="15"/>
        <v>0</v>
      </c>
      <c r="L78" s="29"/>
      <c r="M78" s="7">
        <f t="shared" si="13"/>
        <v>1</v>
      </c>
    </row>
    <row r="79" spans="1:13" ht="20.25" customHeight="1">
      <c r="A79" s="16">
        <v>810</v>
      </c>
      <c r="B79" s="14">
        <v>72</v>
      </c>
      <c r="C79" s="20" t="s">
        <v>333</v>
      </c>
      <c r="D79" s="21" t="s">
        <v>334</v>
      </c>
      <c r="E79" s="32"/>
      <c r="F79" s="32"/>
      <c r="G79" s="32"/>
      <c r="H79" s="141">
        <f t="shared" si="14"/>
        <v>0</v>
      </c>
      <c r="I79" s="321"/>
      <c r="J79" s="321"/>
      <c r="K79" s="141">
        <f t="shared" si="15"/>
        <v>0</v>
      </c>
      <c r="L79" s="29"/>
      <c r="M79" s="7">
        <f t="shared" si="13"/>
        <v>1</v>
      </c>
    </row>
    <row r="80" spans="1:13" ht="20.25" customHeight="1">
      <c r="A80" s="16">
        <v>810</v>
      </c>
      <c r="B80" s="14">
        <f>B79+1</f>
        <v>73</v>
      </c>
      <c r="C80" s="20" t="s">
        <v>333</v>
      </c>
      <c r="D80" s="21" t="s">
        <v>335</v>
      </c>
      <c r="E80" s="32"/>
      <c r="F80" s="32"/>
      <c r="G80" s="32"/>
      <c r="H80" s="141">
        <f t="shared" si="14"/>
        <v>0</v>
      </c>
      <c r="I80" s="321"/>
      <c r="J80" s="321"/>
      <c r="K80" s="141">
        <f t="shared" si="15"/>
        <v>0</v>
      </c>
      <c r="L80" s="29"/>
      <c r="M80" s="7">
        <f t="shared" si="13"/>
        <v>1</v>
      </c>
    </row>
    <row r="81" spans="1:16" ht="20.25" customHeight="1">
      <c r="A81" s="16">
        <v>825</v>
      </c>
      <c r="B81" s="14">
        <v>74</v>
      </c>
      <c r="C81" s="20" t="s">
        <v>336</v>
      </c>
      <c r="D81" s="21"/>
      <c r="E81" s="32">
        <v>0</v>
      </c>
      <c r="F81" s="32"/>
      <c r="G81" s="32"/>
      <c r="H81" s="141">
        <f t="shared" si="14"/>
        <v>0</v>
      </c>
      <c r="I81" s="321"/>
      <c r="J81" s="321"/>
      <c r="K81" s="141">
        <f t="shared" si="15"/>
        <v>0</v>
      </c>
      <c r="L81" s="29"/>
      <c r="M81" s="7">
        <f t="shared" si="13"/>
        <v>1</v>
      </c>
    </row>
    <row r="82" spans="1:16" ht="20.25" customHeight="1">
      <c r="A82" s="16">
        <v>512</v>
      </c>
      <c r="B82" s="14">
        <v>75</v>
      </c>
      <c r="C82" s="20" t="s">
        <v>337</v>
      </c>
      <c r="D82" s="21"/>
      <c r="E82" s="32">
        <v>0</v>
      </c>
      <c r="F82" s="32"/>
      <c r="G82" s="32"/>
      <c r="H82" s="141">
        <f t="shared" si="14"/>
        <v>0</v>
      </c>
      <c r="I82" s="321"/>
      <c r="J82" s="321"/>
      <c r="K82" s="141">
        <f t="shared" si="15"/>
        <v>0</v>
      </c>
      <c r="L82" s="29"/>
      <c r="M82" s="7">
        <f t="shared" si="13"/>
        <v>1</v>
      </c>
    </row>
    <row r="83" spans="1:16" ht="20.25" customHeight="1">
      <c r="A83" s="16">
        <v>815</v>
      </c>
      <c r="B83" s="14">
        <v>76</v>
      </c>
      <c r="C83" s="20" t="s">
        <v>338</v>
      </c>
      <c r="D83" s="21" t="s">
        <v>339</v>
      </c>
      <c r="E83" s="32"/>
      <c r="F83" s="32"/>
      <c r="G83" s="32"/>
      <c r="H83" s="141">
        <f t="shared" si="14"/>
        <v>0</v>
      </c>
      <c r="I83" s="321"/>
      <c r="J83" s="321"/>
      <c r="K83" s="141">
        <f t="shared" si="15"/>
        <v>0</v>
      </c>
      <c r="L83" s="29" t="s">
        <v>340</v>
      </c>
      <c r="M83" s="7">
        <f t="shared" si="13"/>
        <v>1</v>
      </c>
    </row>
    <row r="84" spans="1:16" ht="20.25" customHeight="1">
      <c r="A84" s="16">
        <v>701</v>
      </c>
      <c r="B84" s="14">
        <v>77</v>
      </c>
      <c r="C84" s="20" t="s">
        <v>341</v>
      </c>
      <c r="D84" s="21" t="s">
        <v>342</v>
      </c>
      <c r="E84" s="32">
        <v>6835</v>
      </c>
      <c r="F84" s="32">
        <f>'Invoices indexed by Category'!F159</f>
        <v>8120</v>
      </c>
      <c r="G84" s="32"/>
      <c r="H84" s="141">
        <f t="shared" si="14"/>
        <v>1285</v>
      </c>
      <c r="I84" s="321">
        <f>'Invoices indexed by Category'!H159</f>
        <v>8120</v>
      </c>
      <c r="J84" s="321">
        <v>0</v>
      </c>
      <c r="K84" s="141">
        <f t="shared" si="15"/>
        <v>8120</v>
      </c>
      <c r="L84" s="29"/>
      <c r="M84" s="7">
        <f t="shared" si="13"/>
        <v>1</v>
      </c>
    </row>
    <row r="85" spans="1:16" ht="20.25" customHeight="1">
      <c r="A85" s="16">
        <v>702</v>
      </c>
      <c r="B85" s="14">
        <v>78</v>
      </c>
      <c r="C85" s="20" t="s">
        <v>124</v>
      </c>
      <c r="D85" s="21" t="s">
        <v>343</v>
      </c>
      <c r="E85" s="32">
        <v>10470</v>
      </c>
      <c r="F85" s="32">
        <f>'Invoices indexed by Category'!F163</f>
        <v>6000</v>
      </c>
      <c r="G85" s="32"/>
      <c r="H85" s="141">
        <f t="shared" si="14"/>
        <v>-4470</v>
      </c>
      <c r="I85" s="321">
        <f>'Invoices indexed by Category'!H163</f>
        <v>6000</v>
      </c>
      <c r="J85" s="321">
        <f>10750-F85</f>
        <v>4750</v>
      </c>
      <c r="K85" s="141">
        <f t="shared" si="15"/>
        <v>6000</v>
      </c>
      <c r="L85" s="29" t="s">
        <v>344</v>
      </c>
      <c r="M85" s="7">
        <f t="shared" si="13"/>
        <v>1</v>
      </c>
    </row>
    <row r="86" spans="1:16" ht="20.25" customHeight="1">
      <c r="A86" s="16">
        <v>610</v>
      </c>
      <c r="B86" s="14">
        <v>79</v>
      </c>
      <c r="C86" s="20" t="s">
        <v>47</v>
      </c>
      <c r="D86" s="21" t="s">
        <v>345</v>
      </c>
      <c r="E86" s="32">
        <v>13205</v>
      </c>
      <c r="F86" s="32">
        <f>'Invoices indexed by Category'!F168</f>
        <v>13250</v>
      </c>
      <c r="G86" s="32"/>
      <c r="H86" s="141">
        <f t="shared" si="14"/>
        <v>45</v>
      </c>
      <c r="I86" s="321">
        <f>'Invoices indexed by Category'!H168</f>
        <v>13250</v>
      </c>
      <c r="J86" s="321">
        <v>0</v>
      </c>
      <c r="K86" s="141">
        <f t="shared" si="15"/>
        <v>13250</v>
      </c>
      <c r="L86" s="29"/>
      <c r="M86" s="7">
        <f t="shared" si="13"/>
        <v>1</v>
      </c>
    </row>
    <row r="87" spans="1:16" s="31" customFormat="1" ht="20.25" customHeight="1">
      <c r="A87" s="16">
        <v>705</v>
      </c>
      <c r="B87" s="14">
        <v>80</v>
      </c>
      <c r="C87" s="20" t="s">
        <v>346</v>
      </c>
      <c r="D87" s="21" t="s">
        <v>347</v>
      </c>
      <c r="E87" s="32">
        <v>13560</v>
      </c>
      <c r="F87" s="32"/>
      <c r="G87" s="32"/>
      <c r="H87" s="141">
        <f t="shared" si="14"/>
        <v>-13560</v>
      </c>
      <c r="I87" s="321"/>
      <c r="J87" s="321">
        <v>11000</v>
      </c>
      <c r="K87" s="141">
        <f t="shared" si="15"/>
        <v>0</v>
      </c>
      <c r="L87" s="29"/>
      <c r="M87" s="7">
        <f t="shared" si="13"/>
        <v>1</v>
      </c>
      <c r="N87" s="7"/>
    </row>
    <row r="88" spans="1:16" ht="20.25" customHeight="1">
      <c r="A88" s="16">
        <v>602</v>
      </c>
      <c r="B88" s="14">
        <v>81</v>
      </c>
      <c r="C88" s="20" t="s">
        <v>348</v>
      </c>
      <c r="D88" s="21" t="s">
        <v>240</v>
      </c>
      <c r="E88" s="32">
        <v>1000</v>
      </c>
      <c r="F88" s="32"/>
      <c r="G88" s="32"/>
      <c r="H88" s="141">
        <f t="shared" si="14"/>
        <v>-1000</v>
      </c>
      <c r="I88" s="321"/>
      <c r="J88" s="321">
        <v>0</v>
      </c>
      <c r="K88" s="141">
        <f t="shared" si="15"/>
        <v>0</v>
      </c>
      <c r="L88" s="29"/>
      <c r="M88" s="7">
        <f t="shared" si="13"/>
        <v>1</v>
      </c>
    </row>
    <row r="89" spans="1:16" ht="20.25" customHeight="1">
      <c r="A89" s="16">
        <v>807</v>
      </c>
      <c r="B89" s="14">
        <f>B88+1</f>
        <v>82</v>
      </c>
      <c r="C89" s="20" t="s">
        <v>349</v>
      </c>
      <c r="D89" s="21" t="s">
        <v>350</v>
      </c>
      <c r="E89" s="32">
        <v>10000</v>
      </c>
      <c r="F89" s="32"/>
      <c r="G89" s="32"/>
      <c r="H89" s="141">
        <f t="shared" si="14"/>
        <v>-10000</v>
      </c>
      <c r="I89" s="321"/>
      <c r="J89" s="321">
        <f>3550+4800+1650</f>
        <v>10000</v>
      </c>
      <c r="K89" s="141">
        <f t="shared" si="15"/>
        <v>0</v>
      </c>
      <c r="L89" s="29"/>
      <c r="M89" s="7">
        <f t="shared" si="13"/>
        <v>1</v>
      </c>
    </row>
    <row r="90" spans="1:16" ht="20.25" customHeight="1">
      <c r="A90" s="16">
        <v>612</v>
      </c>
      <c r="B90" s="14">
        <v>83</v>
      </c>
      <c r="C90" s="20" t="s">
        <v>351</v>
      </c>
      <c r="D90" s="21" t="s">
        <v>240</v>
      </c>
      <c r="E90" s="32">
        <v>2500</v>
      </c>
      <c r="F90" s="32"/>
      <c r="G90" s="32"/>
      <c r="H90" s="141">
        <f t="shared" si="14"/>
        <v>-2500</v>
      </c>
      <c r="I90" s="321"/>
      <c r="J90" s="321">
        <v>0</v>
      </c>
      <c r="K90" s="141">
        <f t="shared" si="15"/>
        <v>0</v>
      </c>
      <c r="L90" s="29" t="s">
        <v>352</v>
      </c>
      <c r="M90" s="7">
        <f t="shared" si="13"/>
        <v>1</v>
      </c>
    </row>
    <row r="91" spans="1:16" ht="20.25" customHeight="1">
      <c r="A91" s="16">
        <v>822</v>
      </c>
      <c r="B91" s="14">
        <v>84</v>
      </c>
      <c r="C91" s="20" t="s">
        <v>353</v>
      </c>
      <c r="D91" s="21" t="s">
        <v>240</v>
      </c>
      <c r="E91" s="32">
        <v>3000</v>
      </c>
      <c r="F91" s="32">
        <f>'Invoices indexed by Category'!F171</f>
        <v>388.73</v>
      </c>
      <c r="G91" s="32"/>
      <c r="H91" s="141">
        <f t="shared" si="14"/>
        <v>-2611.27</v>
      </c>
      <c r="I91" s="321">
        <f>'Invoices indexed by Category'!H171</f>
        <v>0</v>
      </c>
      <c r="J91" s="321">
        <f>-H91</f>
        <v>2611.27</v>
      </c>
      <c r="K91" s="141">
        <f t="shared" si="15"/>
        <v>388.73</v>
      </c>
      <c r="L91" s="22"/>
      <c r="M91" s="7">
        <f t="shared" si="13"/>
        <v>1</v>
      </c>
    </row>
    <row r="92" spans="1:16" ht="20.25" customHeight="1">
      <c r="A92" s="16">
        <v>823</v>
      </c>
      <c r="B92" s="14">
        <f>B91+1</f>
        <v>85</v>
      </c>
      <c r="C92" s="20" t="s">
        <v>354</v>
      </c>
      <c r="D92" s="21" t="s">
        <v>240</v>
      </c>
      <c r="E92" s="32">
        <v>0</v>
      </c>
      <c r="F92" s="32"/>
      <c r="G92" s="32"/>
      <c r="H92" s="141">
        <f t="shared" si="14"/>
        <v>0</v>
      </c>
      <c r="I92" s="321"/>
      <c r="J92" s="321"/>
      <c r="K92" s="141">
        <f t="shared" si="15"/>
        <v>0</v>
      </c>
      <c r="L92" s="22"/>
      <c r="M92" s="7">
        <f t="shared" si="13"/>
        <v>1</v>
      </c>
    </row>
    <row r="93" spans="1:16" ht="21.75" customHeight="1">
      <c r="A93" s="16">
        <v>824</v>
      </c>
      <c r="B93" s="14">
        <f>B92+1</f>
        <v>86</v>
      </c>
      <c r="C93" s="20" t="s">
        <v>355</v>
      </c>
      <c r="D93" s="21" t="s">
        <v>240</v>
      </c>
      <c r="E93" s="32">
        <v>0</v>
      </c>
      <c r="F93" s="32"/>
      <c r="G93" s="32"/>
      <c r="H93" s="141">
        <f t="shared" si="14"/>
        <v>0</v>
      </c>
      <c r="I93" s="321"/>
      <c r="J93" s="321"/>
      <c r="K93" s="141">
        <f t="shared" si="15"/>
        <v>0</v>
      </c>
      <c r="L93" s="22"/>
      <c r="M93" s="7">
        <f t="shared" si="13"/>
        <v>1</v>
      </c>
    </row>
    <row r="94" spans="1:16" ht="20.25" customHeight="1" thickBot="1">
      <c r="A94" s="172"/>
      <c r="B94" s="24" t="s">
        <v>356</v>
      </c>
      <c r="C94" s="364" t="s">
        <v>357</v>
      </c>
      <c r="D94" s="365"/>
      <c r="E94" s="182">
        <f>SUM(E63:E93)</f>
        <v>127694</v>
      </c>
      <c r="F94" s="182">
        <f>SUM(F63:F93)</f>
        <v>89856.26</v>
      </c>
      <c r="G94" s="182">
        <f>SUM(G63:G93)</f>
        <v>0</v>
      </c>
      <c r="H94" s="182">
        <f t="shared" si="14"/>
        <v>-37837.740000000005</v>
      </c>
      <c r="I94" s="182">
        <f>SUM(I63:I93)</f>
        <v>83323.03</v>
      </c>
      <c r="J94" s="182">
        <f>SUM(J63:J93)</f>
        <v>45196.649999999994</v>
      </c>
      <c r="K94" s="182">
        <f t="shared" si="15"/>
        <v>89856.26</v>
      </c>
      <c r="L94" s="189"/>
      <c r="M94" s="7" t="str">
        <f t="shared" si="13"/>
        <v/>
      </c>
    </row>
    <row r="95" spans="1:16" ht="20.25" customHeight="1">
      <c r="A95" s="172"/>
      <c r="B95" s="25"/>
      <c r="C95" s="30" t="s">
        <v>358</v>
      </c>
      <c r="D95" s="190"/>
      <c r="E95" s="191"/>
      <c r="F95" s="192"/>
      <c r="G95" s="193"/>
      <c r="H95" s="193"/>
      <c r="I95" s="193"/>
      <c r="J95" s="322"/>
      <c r="K95" s="191"/>
      <c r="L95" s="190"/>
      <c r="M95" s="7" t="str">
        <f t="shared" si="13"/>
        <v/>
      </c>
    </row>
    <row r="96" spans="1:16" s="33" customFormat="1" ht="20.25" customHeight="1">
      <c r="A96" s="16">
        <v>806</v>
      </c>
      <c r="B96" s="14">
        <v>87</v>
      </c>
      <c r="C96" s="20" t="s">
        <v>359</v>
      </c>
      <c r="E96" s="32">
        <v>6500</v>
      </c>
      <c r="F96" s="32">
        <f>'Invoices indexed by Category'!F177</f>
        <v>4975.8424999999997</v>
      </c>
      <c r="G96" s="32"/>
      <c r="H96" s="141">
        <f t="shared" ref="H96:H129" si="16">(F96+G96)-E96</f>
        <v>-1524.1575000000003</v>
      </c>
      <c r="I96" s="321">
        <f>'Invoices indexed by Category'!H177</f>
        <v>0</v>
      </c>
      <c r="J96" s="321">
        <v>0</v>
      </c>
      <c r="K96" s="141">
        <f t="shared" ref="K96:K129" si="17">F96+G96</f>
        <v>4975.8424999999997</v>
      </c>
      <c r="L96" s="195"/>
      <c r="M96" s="7">
        <f t="shared" si="13"/>
        <v>1</v>
      </c>
      <c r="P96" s="21" t="s">
        <v>240</v>
      </c>
    </row>
    <row r="97" spans="1:13" s="33" customFormat="1" ht="20.25" customHeight="1">
      <c r="A97" s="16">
        <v>806</v>
      </c>
      <c r="B97" s="14">
        <f t="shared" ref="B97:B129" si="18">B96+1</f>
        <v>88</v>
      </c>
      <c r="C97" s="20" t="s">
        <v>359</v>
      </c>
      <c r="D97" s="21" t="s">
        <v>360</v>
      </c>
      <c r="E97" s="32">
        <v>600</v>
      </c>
      <c r="F97" s="32"/>
      <c r="G97" s="32"/>
      <c r="H97" s="141">
        <f t="shared" si="16"/>
        <v>-600</v>
      </c>
      <c r="I97" s="321"/>
      <c r="J97" s="321">
        <f>-H97</f>
        <v>600</v>
      </c>
      <c r="K97" s="141">
        <f t="shared" si="17"/>
        <v>0</v>
      </c>
      <c r="L97" s="22"/>
      <c r="M97" s="7">
        <f t="shared" si="13"/>
        <v>1</v>
      </c>
    </row>
    <row r="98" spans="1:13" s="33" customFormat="1" ht="20.25" customHeight="1">
      <c r="A98" s="16">
        <v>814</v>
      </c>
      <c r="B98" s="14">
        <v>89</v>
      </c>
      <c r="C98" s="20" t="s">
        <v>361</v>
      </c>
      <c r="D98" s="21" t="s">
        <v>240</v>
      </c>
      <c r="E98" s="32">
        <v>3100</v>
      </c>
      <c r="F98" s="32">
        <f>'Invoices indexed by Category'!F198</f>
        <v>2931.2866795</v>
      </c>
      <c r="G98" s="32"/>
      <c r="H98" s="141">
        <f t="shared" si="16"/>
        <v>-168.71332050000001</v>
      </c>
      <c r="I98" s="321">
        <f>'Invoices indexed by Category'!H198</f>
        <v>0</v>
      </c>
      <c r="J98" s="321">
        <v>0</v>
      </c>
      <c r="K98" s="141">
        <f t="shared" si="17"/>
        <v>2931.2866795</v>
      </c>
      <c r="L98" s="22"/>
      <c r="M98" s="7">
        <f t="shared" si="13"/>
        <v>1</v>
      </c>
    </row>
    <row r="99" spans="1:13" s="33" customFormat="1" ht="20.25" customHeight="1">
      <c r="A99" s="16">
        <v>704</v>
      </c>
      <c r="B99" s="14">
        <v>90</v>
      </c>
      <c r="C99" s="20" t="s">
        <v>362</v>
      </c>
      <c r="D99" s="21" t="s">
        <v>363</v>
      </c>
      <c r="E99" s="32">
        <v>11884</v>
      </c>
      <c r="F99" s="32">
        <f>'Invoices indexed by Category'!F202</f>
        <v>6615.3747000000003</v>
      </c>
      <c r="G99" s="32"/>
      <c r="H99" s="141">
        <f t="shared" si="16"/>
        <v>-5268.6252999999997</v>
      </c>
      <c r="I99" s="321">
        <f>'Invoices indexed by Category'!H202</f>
        <v>6615.3747000000003</v>
      </c>
      <c r="J99" s="321">
        <v>1950</v>
      </c>
      <c r="K99" s="141">
        <f t="shared" si="17"/>
        <v>6615.3747000000003</v>
      </c>
      <c r="L99" s="22" t="s">
        <v>364</v>
      </c>
      <c r="M99" s="7">
        <f t="shared" si="13"/>
        <v>1</v>
      </c>
    </row>
    <row r="100" spans="1:13" s="33" customFormat="1" ht="20.25" customHeight="1">
      <c r="A100" s="16">
        <v>801</v>
      </c>
      <c r="B100" s="14">
        <v>91</v>
      </c>
      <c r="C100" s="20" t="s">
        <v>365</v>
      </c>
      <c r="D100" s="21" t="s">
        <v>366</v>
      </c>
      <c r="E100" s="32">
        <v>5950</v>
      </c>
      <c r="F100" s="32"/>
      <c r="G100" s="32"/>
      <c r="H100" s="141">
        <f t="shared" si="16"/>
        <v>-5950</v>
      </c>
      <c r="I100" s="321"/>
      <c r="J100" s="321">
        <f>-H100</f>
        <v>5950</v>
      </c>
      <c r="K100" s="141">
        <f t="shared" si="17"/>
        <v>0</v>
      </c>
      <c r="L100" s="22"/>
      <c r="M100" s="7">
        <f t="shared" si="13"/>
        <v>1</v>
      </c>
    </row>
    <row r="101" spans="1:13" s="33" customFormat="1" ht="20.25" customHeight="1">
      <c r="A101" s="16">
        <v>801</v>
      </c>
      <c r="B101" s="14">
        <v>92</v>
      </c>
      <c r="C101" s="20" t="s">
        <v>365</v>
      </c>
      <c r="D101" s="21" t="s">
        <v>367</v>
      </c>
      <c r="E101" s="32"/>
      <c r="F101" s="32"/>
      <c r="G101" s="32"/>
      <c r="H101" s="141">
        <f t="shared" si="16"/>
        <v>0</v>
      </c>
      <c r="I101" s="321"/>
      <c r="J101" s="321"/>
      <c r="K101" s="141">
        <f t="shared" si="17"/>
        <v>0</v>
      </c>
      <c r="L101" s="22"/>
      <c r="M101" s="7">
        <f t="shared" si="13"/>
        <v>1</v>
      </c>
    </row>
    <row r="102" spans="1:13" s="33" customFormat="1" ht="20.25" customHeight="1">
      <c r="A102" s="16">
        <v>801</v>
      </c>
      <c r="B102" s="14">
        <f t="shared" si="18"/>
        <v>93</v>
      </c>
      <c r="C102" s="20" t="s">
        <v>365</v>
      </c>
      <c r="D102" s="21" t="s">
        <v>368</v>
      </c>
      <c r="E102" s="32">
        <v>477</v>
      </c>
      <c r="F102" s="32"/>
      <c r="G102" s="32"/>
      <c r="H102" s="141">
        <f t="shared" si="16"/>
        <v>-477</v>
      </c>
      <c r="I102" s="321"/>
      <c r="J102" s="321">
        <f>30*7+350</f>
        <v>560</v>
      </c>
      <c r="K102" s="141">
        <f t="shared" si="17"/>
        <v>0</v>
      </c>
      <c r="L102" s="22" t="s">
        <v>369</v>
      </c>
      <c r="M102" s="7">
        <f t="shared" si="13"/>
        <v>1</v>
      </c>
    </row>
    <row r="103" spans="1:13" ht="20.25" customHeight="1">
      <c r="A103" s="16">
        <v>801</v>
      </c>
      <c r="B103" s="14">
        <v>94</v>
      </c>
      <c r="C103" s="20" t="s">
        <v>370</v>
      </c>
      <c r="D103" s="21"/>
      <c r="E103" s="32">
        <v>300</v>
      </c>
      <c r="F103" s="32"/>
      <c r="G103" s="32"/>
      <c r="H103" s="141">
        <f t="shared" si="16"/>
        <v>-300</v>
      </c>
      <c r="I103" s="321"/>
      <c r="J103" s="321">
        <v>300</v>
      </c>
      <c r="K103" s="141">
        <f t="shared" si="17"/>
        <v>0</v>
      </c>
      <c r="L103" s="22"/>
      <c r="M103" s="7">
        <f t="shared" ref="M103:M129" si="19">IF(A103&gt;0,1,"")</f>
        <v>1</v>
      </c>
    </row>
    <row r="104" spans="1:13" ht="20.25" customHeight="1">
      <c r="A104" s="16">
        <v>802</v>
      </c>
      <c r="B104" s="14">
        <v>95</v>
      </c>
      <c r="C104" s="20" t="s">
        <v>371</v>
      </c>
      <c r="D104" s="21" t="s">
        <v>372</v>
      </c>
      <c r="E104" s="32">
        <v>1446</v>
      </c>
      <c r="F104" s="32"/>
      <c r="G104" s="32"/>
      <c r="H104" s="141">
        <f t="shared" si="16"/>
        <v>-1446</v>
      </c>
      <c r="I104" s="321"/>
      <c r="J104" s="321">
        <v>1100</v>
      </c>
      <c r="K104" s="141">
        <f t="shared" si="17"/>
        <v>0</v>
      </c>
      <c r="L104" s="22" t="s">
        <v>369</v>
      </c>
      <c r="M104" s="7">
        <f t="shared" si="19"/>
        <v>1</v>
      </c>
    </row>
    <row r="105" spans="1:13" ht="20.25" customHeight="1">
      <c r="A105" s="16">
        <v>802</v>
      </c>
      <c r="B105" s="14">
        <v>96</v>
      </c>
      <c r="C105" s="20" t="s">
        <v>371</v>
      </c>
      <c r="D105" s="21" t="s">
        <v>373</v>
      </c>
      <c r="E105" s="32">
        <v>2401</v>
      </c>
      <c r="F105" s="32">
        <f>'Invoices indexed by Category'!F205</f>
        <v>623.09</v>
      </c>
      <c r="G105" s="32"/>
      <c r="H105" s="141">
        <f t="shared" si="16"/>
        <v>-1777.9099999999999</v>
      </c>
      <c r="I105" s="321">
        <f>'Invoices indexed by Category'!H205</f>
        <v>623.09</v>
      </c>
      <c r="J105" s="321">
        <v>1400</v>
      </c>
      <c r="K105" s="141">
        <f t="shared" si="17"/>
        <v>623.09</v>
      </c>
      <c r="L105" s="22" t="s">
        <v>369</v>
      </c>
      <c r="M105" s="7">
        <f t="shared" si="19"/>
        <v>1</v>
      </c>
    </row>
    <row r="106" spans="1:13" ht="20.25" customHeight="1">
      <c r="A106" s="16">
        <v>706</v>
      </c>
      <c r="B106" s="14">
        <v>97</v>
      </c>
      <c r="C106" s="20" t="s">
        <v>374</v>
      </c>
      <c r="D106" s="21" t="s">
        <v>375</v>
      </c>
      <c r="E106" s="32">
        <v>1413</v>
      </c>
      <c r="F106" s="32"/>
      <c r="G106" s="32"/>
      <c r="H106" s="141">
        <f t="shared" si="16"/>
        <v>-1413</v>
      </c>
      <c r="I106" s="321">
        <v>0</v>
      </c>
      <c r="J106" s="321">
        <v>3500</v>
      </c>
      <c r="K106" s="141">
        <f t="shared" si="17"/>
        <v>0</v>
      </c>
      <c r="L106" s="22"/>
      <c r="M106" s="7">
        <f t="shared" si="19"/>
        <v>1</v>
      </c>
    </row>
    <row r="107" spans="1:13" ht="20.25" customHeight="1">
      <c r="A107" s="16">
        <v>705</v>
      </c>
      <c r="B107" s="14">
        <f t="shared" si="18"/>
        <v>98</v>
      </c>
      <c r="C107" s="20" t="s">
        <v>374</v>
      </c>
      <c r="D107" s="21" t="s">
        <v>376</v>
      </c>
      <c r="E107" s="32">
        <v>1870</v>
      </c>
      <c r="F107" s="32"/>
      <c r="G107" s="32"/>
      <c r="H107" s="141">
        <f t="shared" si="16"/>
        <v>-1870</v>
      </c>
      <c r="I107" s="321"/>
      <c r="J107" s="321">
        <f t="shared" ref="J107" si="20">-H107</f>
        <v>1870</v>
      </c>
      <c r="K107" s="141">
        <f t="shared" si="17"/>
        <v>0</v>
      </c>
      <c r="L107" s="22" t="s">
        <v>377</v>
      </c>
      <c r="M107" s="7">
        <f t="shared" si="19"/>
        <v>1</v>
      </c>
    </row>
    <row r="108" spans="1:13" ht="20.25" customHeight="1">
      <c r="A108" s="16">
        <v>703</v>
      </c>
      <c r="B108" s="14">
        <v>99</v>
      </c>
      <c r="C108" s="20" t="s">
        <v>378</v>
      </c>
      <c r="D108" s="21" t="s">
        <v>379</v>
      </c>
      <c r="E108" s="32">
        <v>0</v>
      </c>
      <c r="F108" s="32"/>
      <c r="G108" s="32"/>
      <c r="H108" s="141">
        <f t="shared" si="16"/>
        <v>0</v>
      </c>
      <c r="I108" s="321"/>
      <c r="J108" s="321"/>
      <c r="K108" s="141">
        <f t="shared" si="17"/>
        <v>0</v>
      </c>
      <c r="L108" s="22"/>
      <c r="M108" s="7">
        <f t="shared" si="19"/>
        <v>1</v>
      </c>
    </row>
    <row r="109" spans="1:13" ht="20.25" customHeight="1">
      <c r="A109" s="16">
        <v>703</v>
      </c>
      <c r="B109" s="14">
        <f t="shared" si="18"/>
        <v>100</v>
      </c>
      <c r="C109" s="20" t="s">
        <v>378</v>
      </c>
      <c r="D109" s="21" t="s">
        <v>380</v>
      </c>
      <c r="E109" s="32">
        <v>0</v>
      </c>
      <c r="F109" s="32"/>
      <c r="G109" s="32"/>
      <c r="H109" s="141">
        <f t="shared" si="16"/>
        <v>0</v>
      </c>
      <c r="I109" s="321"/>
      <c r="J109" s="321"/>
      <c r="K109" s="141">
        <f t="shared" si="17"/>
        <v>0</v>
      </c>
      <c r="L109" s="22"/>
      <c r="M109" s="7">
        <f t="shared" si="19"/>
        <v>1</v>
      </c>
    </row>
    <row r="110" spans="1:13" ht="20.25" customHeight="1">
      <c r="A110" s="16">
        <v>708</v>
      </c>
      <c r="B110" s="14">
        <v>101</v>
      </c>
      <c r="C110" s="20" t="s">
        <v>381</v>
      </c>
      <c r="D110" s="21" t="s">
        <v>382</v>
      </c>
      <c r="E110" s="32">
        <v>5431</v>
      </c>
      <c r="F110" s="32">
        <f>'Invoices indexed by Category'!F218</f>
        <v>2389.9452775</v>
      </c>
      <c r="G110" s="32"/>
      <c r="H110" s="141">
        <f t="shared" si="16"/>
        <v>-3041.0547225</v>
      </c>
      <c r="I110" s="321">
        <f>'Invoices indexed by Category'!H218</f>
        <v>0</v>
      </c>
      <c r="J110" s="321">
        <f>E110-F110</f>
        <v>3041.0547225</v>
      </c>
      <c r="K110" s="141">
        <f t="shared" si="17"/>
        <v>2389.9452775</v>
      </c>
      <c r="L110" s="22"/>
      <c r="M110" s="7">
        <f t="shared" si="19"/>
        <v>1</v>
      </c>
    </row>
    <row r="111" spans="1:13" ht="20.25" customHeight="1">
      <c r="A111" s="16">
        <v>825</v>
      </c>
      <c r="B111" s="14">
        <v>102</v>
      </c>
      <c r="C111" s="20" t="s">
        <v>336</v>
      </c>
      <c r="D111" s="21"/>
      <c r="E111" s="32"/>
      <c r="F111" s="32"/>
      <c r="G111" s="32"/>
      <c r="H111" s="141">
        <f t="shared" si="16"/>
        <v>0</v>
      </c>
      <c r="I111" s="321"/>
      <c r="J111" s="321"/>
      <c r="K111" s="141">
        <f t="shared" si="17"/>
        <v>0</v>
      </c>
      <c r="L111" s="22"/>
      <c r="M111" s="7">
        <f t="shared" si="19"/>
        <v>1</v>
      </c>
    </row>
    <row r="112" spans="1:13" ht="20.25" customHeight="1">
      <c r="A112" s="16">
        <v>825</v>
      </c>
      <c r="B112" s="14">
        <f t="shared" si="18"/>
        <v>103</v>
      </c>
      <c r="C112" s="20" t="s">
        <v>383</v>
      </c>
      <c r="D112" s="21" t="s">
        <v>384</v>
      </c>
      <c r="E112" s="32"/>
      <c r="F112" s="32"/>
      <c r="G112" s="32"/>
      <c r="H112" s="141">
        <f t="shared" si="16"/>
        <v>0</v>
      </c>
      <c r="I112" s="321"/>
      <c r="J112" s="321"/>
      <c r="K112" s="141">
        <f t="shared" si="17"/>
        <v>0</v>
      </c>
      <c r="L112" s="22"/>
      <c r="M112" s="7">
        <f t="shared" si="19"/>
        <v>1</v>
      </c>
    </row>
    <row r="113" spans="1:13" ht="20.25" customHeight="1">
      <c r="A113" s="16">
        <v>804</v>
      </c>
      <c r="B113" s="14">
        <f t="shared" si="18"/>
        <v>104</v>
      </c>
      <c r="C113" s="20" t="s">
        <v>383</v>
      </c>
      <c r="D113" s="21" t="s">
        <v>385</v>
      </c>
      <c r="E113" s="32">
        <v>12135</v>
      </c>
      <c r="F113" s="32"/>
      <c r="G113" s="32"/>
      <c r="H113" s="141">
        <f t="shared" si="16"/>
        <v>-12135</v>
      </c>
      <c r="I113" s="321"/>
      <c r="J113" s="321">
        <f>6984+2899</f>
        <v>9883</v>
      </c>
      <c r="K113" s="141">
        <f t="shared" si="17"/>
        <v>0</v>
      </c>
      <c r="L113" s="22" t="s">
        <v>386</v>
      </c>
      <c r="M113" s="7">
        <f t="shared" si="19"/>
        <v>1</v>
      </c>
    </row>
    <row r="114" spans="1:13" ht="20.25" customHeight="1">
      <c r="A114" s="16">
        <v>804</v>
      </c>
      <c r="B114" s="14">
        <f t="shared" si="18"/>
        <v>105</v>
      </c>
      <c r="C114" s="20" t="s">
        <v>383</v>
      </c>
      <c r="D114" s="21" t="s">
        <v>387</v>
      </c>
      <c r="E114" s="32">
        <v>593</v>
      </c>
      <c r="F114" s="32"/>
      <c r="G114" s="32"/>
      <c r="H114" s="141">
        <f t="shared" si="16"/>
        <v>-593</v>
      </c>
      <c r="I114" s="321"/>
      <c r="J114" s="321">
        <v>750</v>
      </c>
      <c r="K114" s="141">
        <f t="shared" si="17"/>
        <v>0</v>
      </c>
      <c r="L114" s="22"/>
      <c r="M114" s="7">
        <f t="shared" si="19"/>
        <v>1</v>
      </c>
    </row>
    <row r="115" spans="1:13" ht="20.25" customHeight="1">
      <c r="A115" s="16">
        <v>804</v>
      </c>
      <c r="B115" s="14">
        <f t="shared" si="18"/>
        <v>106</v>
      </c>
      <c r="C115" s="20" t="s">
        <v>383</v>
      </c>
      <c r="D115" s="21" t="s">
        <v>388</v>
      </c>
      <c r="E115" s="32">
        <v>620</v>
      </c>
      <c r="F115" s="300">
        <f>'Invoices indexed by Category'!F221</f>
        <v>776.91</v>
      </c>
      <c r="G115" s="32"/>
      <c r="H115" s="141">
        <f t="shared" si="16"/>
        <v>156.90999999999997</v>
      </c>
      <c r="I115" s="321">
        <f>'Invoices indexed by Category'!H221</f>
        <v>776.91</v>
      </c>
      <c r="J115" s="321">
        <v>0</v>
      </c>
      <c r="K115" s="141">
        <f t="shared" si="17"/>
        <v>776.91</v>
      </c>
      <c r="L115" s="22" t="s">
        <v>369</v>
      </c>
      <c r="M115" s="7">
        <f t="shared" si="19"/>
        <v>1</v>
      </c>
    </row>
    <row r="116" spans="1:13" ht="20.25" customHeight="1">
      <c r="A116" s="16">
        <v>805</v>
      </c>
      <c r="B116" s="14">
        <f t="shared" si="18"/>
        <v>107</v>
      </c>
      <c r="C116" s="20" t="s">
        <v>383</v>
      </c>
      <c r="D116" s="21" t="s">
        <v>389</v>
      </c>
      <c r="E116" s="32">
        <v>2961</v>
      </c>
      <c r="F116" s="32"/>
      <c r="G116" s="32"/>
      <c r="H116" s="141">
        <f t="shared" si="16"/>
        <v>-2961</v>
      </c>
      <c r="I116" s="321">
        <f>'Invoices indexed by Category'!H233</f>
        <v>2425.21</v>
      </c>
      <c r="J116" s="321">
        <f>2942+612</f>
        <v>3554</v>
      </c>
      <c r="K116" s="141">
        <f t="shared" si="17"/>
        <v>0</v>
      </c>
      <c r="L116" s="22" t="s">
        <v>390</v>
      </c>
      <c r="M116" s="7">
        <f t="shared" si="19"/>
        <v>1</v>
      </c>
    </row>
    <row r="117" spans="1:13" ht="20.25" customHeight="1">
      <c r="A117" s="16">
        <v>812</v>
      </c>
      <c r="B117" s="14">
        <f t="shared" si="18"/>
        <v>108</v>
      </c>
      <c r="C117" s="20" t="s">
        <v>391</v>
      </c>
      <c r="D117" s="21" t="s">
        <v>392</v>
      </c>
      <c r="E117" s="32">
        <v>8920</v>
      </c>
      <c r="F117" s="32">
        <f>'Invoices indexed by Category'!F233</f>
        <v>5854.9751274999999</v>
      </c>
      <c r="G117" s="32"/>
      <c r="H117" s="141">
        <f t="shared" si="16"/>
        <v>-3065.0248725000001</v>
      </c>
      <c r="I117" s="321"/>
      <c r="J117" s="321">
        <v>0</v>
      </c>
      <c r="K117" s="141">
        <f t="shared" si="17"/>
        <v>5854.9751274999999</v>
      </c>
      <c r="L117" s="22"/>
      <c r="M117" s="7">
        <f t="shared" si="19"/>
        <v>1</v>
      </c>
    </row>
    <row r="118" spans="1:13" ht="20.25" customHeight="1">
      <c r="A118" s="16">
        <v>818</v>
      </c>
      <c r="B118" s="14">
        <v>109</v>
      </c>
      <c r="C118" s="20" t="s">
        <v>393</v>
      </c>
      <c r="D118" s="21" t="s">
        <v>394</v>
      </c>
      <c r="E118" s="32">
        <v>930</v>
      </c>
      <c r="F118" s="32"/>
      <c r="G118" s="32"/>
      <c r="H118" s="141">
        <f t="shared" si="16"/>
        <v>-930</v>
      </c>
      <c r="I118" s="321"/>
      <c r="J118" s="321">
        <f>-H118</f>
        <v>930</v>
      </c>
      <c r="K118" s="141">
        <f t="shared" si="17"/>
        <v>0</v>
      </c>
      <c r="L118" s="22"/>
      <c r="M118" s="7">
        <f t="shared" si="19"/>
        <v>1</v>
      </c>
    </row>
    <row r="119" spans="1:13" ht="20.25" customHeight="1">
      <c r="A119" s="16">
        <v>818</v>
      </c>
      <c r="B119" s="14">
        <f t="shared" si="18"/>
        <v>110</v>
      </c>
      <c r="C119" s="20" t="s">
        <v>395</v>
      </c>
      <c r="D119" s="21" t="s">
        <v>396</v>
      </c>
      <c r="E119" s="32">
        <v>250</v>
      </c>
      <c r="F119" s="32"/>
      <c r="G119" s="32"/>
      <c r="H119" s="141">
        <f t="shared" si="16"/>
        <v>-250</v>
      </c>
      <c r="I119" s="321"/>
      <c r="J119" s="321">
        <v>0</v>
      </c>
      <c r="K119" s="141">
        <f t="shared" si="17"/>
        <v>0</v>
      </c>
      <c r="L119" s="22"/>
      <c r="M119" s="7">
        <f t="shared" si="19"/>
        <v>1</v>
      </c>
    </row>
    <row r="120" spans="1:13" ht="20.25" customHeight="1">
      <c r="A120" s="16">
        <v>707</v>
      </c>
      <c r="B120" s="14">
        <f t="shared" si="18"/>
        <v>111</v>
      </c>
      <c r="C120" s="20" t="s">
        <v>397</v>
      </c>
      <c r="D120" s="21" t="s">
        <v>240</v>
      </c>
      <c r="E120" s="32">
        <v>1250</v>
      </c>
      <c r="F120" s="32">
        <f>'Invoices indexed by Category'!F236</f>
        <v>242.18</v>
      </c>
      <c r="G120" s="32"/>
      <c r="H120" s="141">
        <f t="shared" si="16"/>
        <v>-1007.8199999999999</v>
      </c>
      <c r="I120" s="321">
        <f>'Invoices indexed by Category'!H235</f>
        <v>0</v>
      </c>
      <c r="J120" s="321">
        <v>650</v>
      </c>
      <c r="K120" s="141">
        <f t="shared" si="17"/>
        <v>242.18</v>
      </c>
      <c r="L120" s="22" t="s">
        <v>556</v>
      </c>
      <c r="M120" s="7">
        <f t="shared" si="19"/>
        <v>1</v>
      </c>
    </row>
    <row r="121" spans="1:13" ht="20.25" customHeight="1">
      <c r="A121" s="16">
        <v>803</v>
      </c>
      <c r="B121" s="14">
        <v>112</v>
      </c>
      <c r="C121" s="20" t="s">
        <v>398</v>
      </c>
      <c r="D121" s="21" t="s">
        <v>399</v>
      </c>
      <c r="E121" s="32">
        <v>0</v>
      </c>
      <c r="F121" s="32"/>
      <c r="G121" s="32"/>
      <c r="H121" s="141">
        <f t="shared" si="16"/>
        <v>0</v>
      </c>
      <c r="I121" s="321"/>
      <c r="J121" s="321"/>
      <c r="K121" s="141">
        <f t="shared" si="17"/>
        <v>0</v>
      </c>
      <c r="L121" s="22"/>
      <c r="M121" s="7">
        <f t="shared" si="19"/>
        <v>1</v>
      </c>
    </row>
    <row r="122" spans="1:13" ht="20.25" customHeight="1">
      <c r="A122" s="16">
        <v>807</v>
      </c>
      <c r="B122" s="14">
        <v>113</v>
      </c>
      <c r="C122" s="20" t="s">
        <v>400</v>
      </c>
      <c r="D122" s="21" t="s">
        <v>401</v>
      </c>
      <c r="E122" s="32">
        <v>0</v>
      </c>
      <c r="F122" s="32"/>
      <c r="G122" s="32"/>
      <c r="H122" s="141">
        <f t="shared" si="16"/>
        <v>0</v>
      </c>
      <c r="I122" s="321"/>
      <c r="J122" s="321"/>
      <c r="K122" s="141">
        <f t="shared" si="17"/>
        <v>0</v>
      </c>
      <c r="L122" s="22"/>
      <c r="M122" s="7">
        <f t="shared" si="19"/>
        <v>1</v>
      </c>
    </row>
    <row r="123" spans="1:13" ht="20.25" customHeight="1">
      <c r="A123" s="16">
        <v>809</v>
      </c>
      <c r="B123" s="14">
        <v>114</v>
      </c>
      <c r="C123" s="34" t="s">
        <v>402</v>
      </c>
      <c r="D123" s="21"/>
      <c r="E123" s="32">
        <v>0</v>
      </c>
      <c r="F123" s="32"/>
      <c r="G123" s="32"/>
      <c r="H123" s="141">
        <f t="shared" si="16"/>
        <v>0</v>
      </c>
      <c r="I123" s="321"/>
      <c r="J123" s="321"/>
      <c r="K123" s="141">
        <f t="shared" si="17"/>
        <v>0</v>
      </c>
      <c r="L123" s="22"/>
      <c r="M123" s="7">
        <f t="shared" si="19"/>
        <v>1</v>
      </c>
    </row>
    <row r="124" spans="1:13" ht="20.25" customHeight="1">
      <c r="A124" s="16">
        <v>816</v>
      </c>
      <c r="B124" s="14">
        <f t="shared" si="18"/>
        <v>115</v>
      </c>
      <c r="C124" s="34" t="s">
        <v>403</v>
      </c>
      <c r="D124" s="21"/>
      <c r="E124" s="32">
        <v>0</v>
      </c>
      <c r="F124" s="32"/>
      <c r="G124" s="32"/>
      <c r="H124" s="141">
        <f t="shared" si="16"/>
        <v>0</v>
      </c>
      <c r="I124" s="321"/>
      <c r="J124" s="321"/>
      <c r="K124" s="141">
        <f t="shared" si="17"/>
        <v>0</v>
      </c>
      <c r="L124" s="22"/>
      <c r="M124" s="7">
        <f t="shared" si="19"/>
        <v>1</v>
      </c>
    </row>
    <row r="125" spans="1:13" ht="20.25" customHeight="1">
      <c r="A125" s="16">
        <v>820</v>
      </c>
      <c r="B125" s="14">
        <f t="shared" si="18"/>
        <v>116</v>
      </c>
      <c r="C125" s="34" t="s">
        <v>404</v>
      </c>
      <c r="D125" s="21" t="s">
        <v>240</v>
      </c>
      <c r="E125" s="32"/>
      <c r="F125" s="32"/>
      <c r="G125" s="32"/>
      <c r="H125" s="141">
        <f t="shared" si="16"/>
        <v>0</v>
      </c>
      <c r="I125" s="321"/>
      <c r="J125" s="321"/>
      <c r="K125" s="141">
        <f t="shared" si="17"/>
        <v>0</v>
      </c>
      <c r="L125" s="22"/>
      <c r="M125" s="7">
        <f t="shared" si="19"/>
        <v>1</v>
      </c>
    </row>
    <row r="126" spans="1:13" ht="20.25" customHeight="1">
      <c r="A126" s="16">
        <v>705</v>
      </c>
      <c r="B126" s="14">
        <f t="shared" si="18"/>
        <v>117</v>
      </c>
      <c r="C126" s="20" t="s">
        <v>405</v>
      </c>
      <c r="D126" s="21" t="s">
        <v>240</v>
      </c>
      <c r="E126" s="32">
        <v>500</v>
      </c>
      <c r="F126" s="32"/>
      <c r="G126" s="32"/>
      <c r="H126" s="141">
        <f t="shared" si="16"/>
        <v>-500</v>
      </c>
      <c r="I126" s="321"/>
      <c r="J126" s="321">
        <v>280</v>
      </c>
      <c r="K126" s="141">
        <f t="shared" si="17"/>
        <v>0</v>
      </c>
      <c r="L126" s="22"/>
      <c r="M126" s="7">
        <f t="shared" si="19"/>
        <v>1</v>
      </c>
    </row>
    <row r="127" spans="1:13" ht="20.25" customHeight="1">
      <c r="A127" s="16">
        <v>705</v>
      </c>
      <c r="B127" s="14">
        <f t="shared" si="18"/>
        <v>118</v>
      </c>
      <c r="C127" s="20" t="s">
        <v>406</v>
      </c>
      <c r="D127" s="21" t="s">
        <v>240</v>
      </c>
      <c r="E127" s="32"/>
      <c r="F127" s="32"/>
      <c r="G127" s="32"/>
      <c r="H127" s="141">
        <f t="shared" si="16"/>
        <v>0</v>
      </c>
      <c r="I127" s="321"/>
      <c r="J127" s="321"/>
      <c r="K127" s="141">
        <f t="shared" si="17"/>
        <v>0</v>
      </c>
      <c r="L127" s="22"/>
      <c r="M127" s="7">
        <f t="shared" si="19"/>
        <v>1</v>
      </c>
    </row>
    <row r="128" spans="1:13" ht="20.25" customHeight="1">
      <c r="A128" s="16">
        <v>825</v>
      </c>
      <c r="B128" s="14">
        <f t="shared" si="18"/>
        <v>119</v>
      </c>
      <c r="C128" s="20" t="s">
        <v>407</v>
      </c>
      <c r="D128" s="21"/>
      <c r="E128" s="32">
        <v>850</v>
      </c>
      <c r="F128" s="32"/>
      <c r="G128" s="32"/>
      <c r="H128" s="141">
        <f t="shared" si="16"/>
        <v>-850</v>
      </c>
      <c r="I128" s="321"/>
      <c r="J128" s="321">
        <f>-H128</f>
        <v>850</v>
      </c>
      <c r="K128" s="141">
        <f t="shared" si="17"/>
        <v>0</v>
      </c>
      <c r="L128" s="22"/>
      <c r="M128" s="7">
        <f t="shared" si="19"/>
        <v>1</v>
      </c>
    </row>
    <row r="129" spans="1:14" ht="20.25" customHeight="1">
      <c r="A129" s="16">
        <v>807</v>
      </c>
      <c r="B129" s="14">
        <f t="shared" si="18"/>
        <v>120</v>
      </c>
      <c r="C129" s="20" t="s">
        <v>408</v>
      </c>
      <c r="D129" s="21"/>
      <c r="E129" s="32">
        <v>0</v>
      </c>
      <c r="F129" s="32"/>
      <c r="G129" s="32"/>
      <c r="H129" s="141">
        <f t="shared" si="16"/>
        <v>0</v>
      </c>
      <c r="I129" s="321"/>
      <c r="J129" s="321"/>
      <c r="K129" s="141">
        <f t="shared" si="17"/>
        <v>0</v>
      </c>
      <c r="L129" s="22"/>
      <c r="M129" s="7">
        <f t="shared" si="19"/>
        <v>1</v>
      </c>
    </row>
    <row r="130" spans="1:14" ht="20.25" customHeight="1">
      <c r="A130" s="16"/>
      <c r="B130" s="196">
        <v>121</v>
      </c>
      <c r="C130" s="20" t="s">
        <v>409</v>
      </c>
      <c r="D130" s="21"/>
      <c r="E130" s="32"/>
      <c r="F130" s="32">
        <f>'Invoices indexed by Category'!F239</f>
        <v>4424.8599999999997</v>
      </c>
      <c r="G130" s="32"/>
      <c r="H130" s="141"/>
      <c r="I130" s="321">
        <f>'Invoices indexed by Category'!H239</f>
        <v>0</v>
      </c>
      <c r="J130" s="321"/>
      <c r="K130" s="141"/>
      <c r="L130" s="22"/>
    </row>
    <row r="131" spans="1:14" s="28" customFormat="1" ht="26.25" customHeight="1" thickBot="1">
      <c r="A131" s="172"/>
      <c r="B131" s="24" t="s">
        <v>410</v>
      </c>
      <c r="C131" s="364" t="s">
        <v>411</v>
      </c>
      <c r="D131" s="365"/>
      <c r="E131" s="182">
        <f>SUM(E96:E129)</f>
        <v>70381</v>
      </c>
      <c r="F131" s="182">
        <f>SUM(F96:F130)</f>
        <v>28834.464284499998</v>
      </c>
      <c r="G131" s="182">
        <f>SUM(G96:G129)</f>
        <v>0</v>
      </c>
      <c r="H131" s="182">
        <f>(F131+G131)-E131</f>
        <v>-41546.535715500002</v>
      </c>
      <c r="I131" s="182">
        <f>SUM(I96:I129)</f>
        <v>10440.584699999999</v>
      </c>
      <c r="J131" s="182">
        <f>SUM(J96:J129)</f>
        <v>37168.054722500005</v>
      </c>
      <c r="K131" s="182">
        <f>F131+G131</f>
        <v>28834.464284499998</v>
      </c>
      <c r="L131" s="189"/>
      <c r="M131" s="7" t="str">
        <f>IF(A131&gt;0,1,"")</f>
        <v/>
      </c>
    </row>
    <row r="132" spans="1:14" s="28" customFormat="1" ht="36.75" customHeight="1">
      <c r="A132" s="172"/>
      <c r="B132" s="25"/>
      <c r="C132" s="36" t="s">
        <v>412</v>
      </c>
      <c r="D132" s="26"/>
      <c r="E132" s="185"/>
      <c r="F132" s="186"/>
      <c r="G132" s="187"/>
      <c r="H132" s="188"/>
      <c r="I132" s="188"/>
      <c r="J132" s="323"/>
      <c r="K132" s="185"/>
      <c r="L132" s="27"/>
      <c r="M132" s="28">
        <f>SUM(M1:M131)</f>
        <v>109</v>
      </c>
    </row>
    <row r="133" spans="1:14" s="28" customFormat="1" ht="26.25" customHeight="1">
      <c r="A133" s="172"/>
      <c r="B133" s="37" t="s">
        <v>231</v>
      </c>
      <c r="C133" s="38"/>
      <c r="D133" s="39" t="s">
        <v>413</v>
      </c>
      <c r="E133" s="141">
        <f>E16</f>
        <v>3292</v>
      </c>
      <c r="F133" s="141">
        <f>F16</f>
        <v>12535.17</v>
      </c>
      <c r="G133" s="141">
        <f>G16</f>
        <v>0</v>
      </c>
      <c r="H133" s="15">
        <f t="shared" ref="H133:H140" si="21">(F133+G133)-E133</f>
        <v>9243.17</v>
      </c>
      <c r="I133" s="141">
        <f>I16</f>
        <v>304.75</v>
      </c>
      <c r="J133" s="321">
        <f>J16</f>
        <v>0</v>
      </c>
      <c r="K133" s="15">
        <f t="shared" ref="K133:K140" si="22">F133+G133</f>
        <v>12535.17</v>
      </c>
      <c r="L133" s="181"/>
    </row>
    <row r="134" spans="1:14" s="28" customFormat="1" ht="26.25" customHeight="1">
      <c r="A134" s="172"/>
      <c r="B134" s="37" t="s">
        <v>260</v>
      </c>
      <c r="C134" s="40"/>
      <c r="D134" s="41" t="s">
        <v>414</v>
      </c>
      <c r="E134" s="141">
        <f>E34</f>
        <v>40342</v>
      </c>
      <c r="F134" s="141">
        <f>F34</f>
        <v>35698.19</v>
      </c>
      <c r="G134" s="141">
        <f>G34</f>
        <v>0</v>
      </c>
      <c r="H134" s="15">
        <f t="shared" si="21"/>
        <v>-4643.8099999999977</v>
      </c>
      <c r="I134" s="141">
        <f>I34</f>
        <v>25685.350000000002</v>
      </c>
      <c r="J134" s="321">
        <f>J34</f>
        <v>6261.63</v>
      </c>
      <c r="K134" s="15">
        <f t="shared" si="22"/>
        <v>35698.19</v>
      </c>
      <c r="L134" s="181"/>
    </row>
    <row r="135" spans="1:14" s="28" customFormat="1" ht="26.25" customHeight="1">
      <c r="A135" s="172"/>
      <c r="B135" s="37" t="s">
        <v>276</v>
      </c>
      <c r="C135" s="40"/>
      <c r="D135" s="41" t="s">
        <v>415</v>
      </c>
      <c r="E135" s="141">
        <f>E44</f>
        <v>31005</v>
      </c>
      <c r="F135" s="141">
        <f>F44</f>
        <v>15578</v>
      </c>
      <c r="G135" s="141">
        <f>G44</f>
        <v>0</v>
      </c>
      <c r="H135" s="15">
        <f t="shared" si="21"/>
        <v>-15427</v>
      </c>
      <c r="I135" s="141">
        <f>I44</f>
        <v>11478</v>
      </c>
      <c r="J135" s="321">
        <f>J44</f>
        <v>16005</v>
      </c>
      <c r="K135" s="15">
        <f t="shared" si="22"/>
        <v>15578</v>
      </c>
      <c r="L135" s="181" t="s">
        <v>416</v>
      </c>
    </row>
    <row r="136" spans="1:14" s="28" customFormat="1" ht="26.25" customHeight="1">
      <c r="A136" s="172"/>
      <c r="B136" s="37" t="s">
        <v>281</v>
      </c>
      <c r="C136" s="43"/>
      <c r="D136" s="41" t="s">
        <v>417</v>
      </c>
      <c r="E136" s="141">
        <f>E48</f>
        <v>0</v>
      </c>
      <c r="F136" s="141">
        <f>F48</f>
        <v>0</v>
      </c>
      <c r="G136" s="141">
        <f>G48</f>
        <v>0</v>
      </c>
      <c r="H136" s="15">
        <f t="shared" si="21"/>
        <v>0</v>
      </c>
      <c r="I136" s="141">
        <f>I48</f>
        <v>0</v>
      </c>
      <c r="J136" s="321">
        <f>J48</f>
        <v>0</v>
      </c>
      <c r="K136" s="15">
        <f t="shared" si="22"/>
        <v>0</v>
      </c>
      <c r="L136" s="181" t="s">
        <v>418</v>
      </c>
    </row>
    <row r="137" spans="1:14" s="28" customFormat="1" ht="26.25" customHeight="1">
      <c r="A137" s="172"/>
      <c r="B137" s="37" t="s">
        <v>290</v>
      </c>
      <c r="C137" s="43"/>
      <c r="D137" s="41" t="s">
        <v>419</v>
      </c>
      <c r="E137" s="141">
        <f>E53</f>
        <v>45100</v>
      </c>
      <c r="F137" s="141">
        <f>F53</f>
        <v>45600.639999999999</v>
      </c>
      <c r="G137" s="141">
        <f>G53</f>
        <v>0</v>
      </c>
      <c r="H137" s="15">
        <f t="shared" si="21"/>
        <v>500.63999999999942</v>
      </c>
      <c r="I137" s="141">
        <f>I53</f>
        <v>44775.64</v>
      </c>
      <c r="J137" s="321">
        <f>J53</f>
        <v>0</v>
      </c>
      <c r="K137" s="15">
        <f t="shared" si="22"/>
        <v>45600.639999999999</v>
      </c>
      <c r="L137" s="181" t="s">
        <v>420</v>
      </c>
    </row>
    <row r="138" spans="1:14" s="28" customFormat="1" ht="26.25" customHeight="1">
      <c r="A138" s="172"/>
      <c r="B138" s="37" t="s">
        <v>304</v>
      </c>
      <c r="C138" s="43"/>
      <c r="D138" s="41" t="s">
        <v>421</v>
      </c>
      <c r="E138" s="141">
        <f>E61</f>
        <v>42730</v>
      </c>
      <c r="F138" s="141">
        <f>F61</f>
        <v>41415.69</v>
      </c>
      <c r="G138" s="141">
        <f>G61</f>
        <v>0</v>
      </c>
      <c r="H138" s="15">
        <f t="shared" si="21"/>
        <v>-1314.3099999999977</v>
      </c>
      <c r="I138" s="141">
        <f>I61</f>
        <v>41415.69</v>
      </c>
      <c r="J138" s="321">
        <f>J61</f>
        <v>0</v>
      </c>
      <c r="K138" s="15">
        <f t="shared" si="22"/>
        <v>41415.69</v>
      </c>
      <c r="L138" s="181" t="s">
        <v>422</v>
      </c>
    </row>
    <row r="139" spans="1:14" ht="26.25" customHeight="1">
      <c r="A139" s="172"/>
      <c r="B139" s="37" t="s">
        <v>356</v>
      </c>
      <c r="C139" s="43"/>
      <c r="D139" s="41" t="s">
        <v>423</v>
      </c>
      <c r="E139" s="141">
        <f>E94</f>
        <v>127694</v>
      </c>
      <c r="F139" s="141">
        <f>F94</f>
        <v>89856.26</v>
      </c>
      <c r="G139" s="141">
        <f>G94</f>
        <v>0</v>
      </c>
      <c r="H139" s="15">
        <f t="shared" si="21"/>
        <v>-37837.740000000005</v>
      </c>
      <c r="I139" s="141">
        <f>I94</f>
        <v>83323.03</v>
      </c>
      <c r="J139" s="321">
        <f>J94</f>
        <v>45196.649999999994</v>
      </c>
      <c r="K139" s="15">
        <f t="shared" si="22"/>
        <v>89856.26</v>
      </c>
      <c r="L139" s="181" t="s">
        <v>424</v>
      </c>
      <c r="M139" s="28"/>
      <c r="N139" s="28"/>
    </row>
    <row r="140" spans="1:14" ht="26.25" customHeight="1">
      <c r="A140" s="172"/>
      <c r="B140" s="37" t="s">
        <v>410</v>
      </c>
      <c r="C140" s="43"/>
      <c r="D140" s="41" t="s">
        <v>425</v>
      </c>
      <c r="E140" s="141">
        <f>E131</f>
        <v>70381</v>
      </c>
      <c r="F140" s="141">
        <f>F131</f>
        <v>28834.464284499998</v>
      </c>
      <c r="G140" s="141">
        <f>G131</f>
        <v>0</v>
      </c>
      <c r="H140" s="15">
        <f t="shared" si="21"/>
        <v>-41546.535715500002</v>
      </c>
      <c r="I140" s="141">
        <f>I131</f>
        <v>10440.584699999999</v>
      </c>
      <c r="J140" s="321">
        <f>J131</f>
        <v>37168.054722500005</v>
      </c>
      <c r="K140" s="15">
        <f t="shared" si="22"/>
        <v>28834.464284499998</v>
      </c>
      <c r="L140" s="181" t="s">
        <v>426</v>
      </c>
    </row>
    <row r="141" spans="1:14" ht="26.25" customHeight="1">
      <c r="A141" s="166"/>
      <c r="B141" s="173"/>
      <c r="C141" s="174"/>
      <c r="D141" s="41" t="s">
        <v>427</v>
      </c>
      <c r="E141" s="182">
        <f>SUM(E131,E94,E61,E53,E48,E44,E34,E16)</f>
        <v>360544</v>
      </c>
      <c r="F141" s="141">
        <f>SUM(F131,F94,F61,F53,F48,F44,F34,F16)</f>
        <v>269518.4142845</v>
      </c>
      <c r="G141" s="141">
        <f>SUM(G131,G94,G61,G53,G48,G44,G34,G16)</f>
        <v>0</v>
      </c>
      <c r="H141" s="15">
        <f>SUM(H133:H140)</f>
        <v>-91025.585715499998</v>
      </c>
      <c r="I141" s="327">
        <f>SUM(I133:I140)</f>
        <v>217423.04470000003</v>
      </c>
      <c r="J141" s="327">
        <f>SUM(J133:J140)</f>
        <v>104631.3347225</v>
      </c>
      <c r="K141" s="15">
        <f>SUM(K131,K94,K61,K53,K48,K44,K34,K16)</f>
        <v>269518.4142845</v>
      </c>
      <c r="L141" s="366"/>
    </row>
    <row r="142" spans="1:14" ht="26.25" customHeight="1">
      <c r="A142" s="42">
        <v>210</v>
      </c>
      <c r="B142" s="46"/>
      <c r="C142" s="175"/>
      <c r="D142" s="41" t="s">
        <v>428</v>
      </c>
      <c r="E142" s="183"/>
      <c r="F142" s="328">
        <f>F141/E141</f>
        <v>0.74753265699748161</v>
      </c>
      <c r="G142" s="44"/>
      <c r="H142" s="45"/>
      <c r="I142" s="330">
        <f>I141/(I141+J141)</f>
        <v>0.67511283370801434</v>
      </c>
      <c r="J142" s="329">
        <f>1-I142</f>
        <v>0.32488716629198566</v>
      </c>
      <c r="K142" s="184">
        <f>E142*(E141-0.05)</f>
        <v>0</v>
      </c>
      <c r="L142" s="367"/>
    </row>
    <row r="143" spans="1:14" ht="26.25" customHeight="1">
      <c r="A143" s="42">
        <v>208</v>
      </c>
      <c r="B143" s="46"/>
      <c r="C143" s="175"/>
      <c r="D143" s="41" t="s">
        <v>429</v>
      </c>
      <c r="E143" s="142"/>
      <c r="F143" s="142"/>
      <c r="G143" s="141"/>
      <c r="H143" s="15">
        <f>(F143+G143)-E143</f>
        <v>0</v>
      </c>
      <c r="I143" s="321"/>
      <c r="J143" s="324"/>
      <c r="K143" s="15" t="str">
        <f>IF(F143&lt;0.01,"$0.00",F143+G143)</f>
        <v>$0.00</v>
      </c>
      <c r="L143" s="368"/>
    </row>
    <row r="144" spans="1:14" ht="25.5" customHeight="1">
      <c r="A144" s="166"/>
      <c r="B144" s="46"/>
      <c r="C144" s="175"/>
      <c r="D144" s="41" t="s">
        <v>427</v>
      </c>
      <c r="E144" s="182">
        <f>E141+K142+E143</f>
        <v>360544</v>
      </c>
      <c r="F144" s="141">
        <f>F141+K142+F143</f>
        <v>269518.4142845</v>
      </c>
      <c r="G144" s="143">
        <f>G141</f>
        <v>0</v>
      </c>
      <c r="H144" s="144">
        <f>H141</f>
        <v>-91025.585715499998</v>
      </c>
      <c r="I144" s="321"/>
      <c r="J144" s="324"/>
      <c r="K144" s="144">
        <f>SUM(K141:K143)</f>
        <v>269518.4142845</v>
      </c>
      <c r="L144" s="368"/>
    </row>
    <row r="145" spans="1:12" ht="39.950000000000003" customHeight="1">
      <c r="A145" s="166"/>
      <c r="B145" s="46"/>
      <c r="C145" s="33"/>
      <c r="D145" s="47"/>
      <c r="E145" s="48"/>
      <c r="F145" s="49"/>
      <c r="G145" s="50"/>
      <c r="H145" s="338">
        <f>I141+J141</f>
        <v>322054.37942250003</v>
      </c>
      <c r="I145" s="48"/>
      <c r="J145" s="325"/>
      <c r="K145" s="48"/>
      <c r="L145" s="369"/>
    </row>
    <row r="146" spans="1:12" ht="12" hidden="1" customHeight="1"/>
    <row r="147" spans="1:12" ht="12" hidden="1" customHeight="1"/>
    <row r="148" spans="1:12" ht="12" hidden="1" customHeight="1"/>
    <row r="149" spans="1:12" ht="12" hidden="1" customHeight="1"/>
    <row r="150" spans="1:12" ht="12" hidden="1" customHeight="1"/>
  </sheetData>
  <mergeCells count="11">
    <mergeCell ref="C94:D94"/>
    <mergeCell ref="C131:D131"/>
    <mergeCell ref="L141:L145"/>
    <mergeCell ref="C44:D44"/>
    <mergeCell ref="C48:D48"/>
    <mergeCell ref="C53:D53"/>
    <mergeCell ref="C3:L3"/>
    <mergeCell ref="C4:D4"/>
    <mergeCell ref="C16:D16"/>
    <mergeCell ref="C34:D34"/>
    <mergeCell ref="C61:D61"/>
  </mergeCells>
  <phoneticPr fontId="9" type="noConversion"/>
  <conditionalFormatting sqref="H46:H48 H7:H8 H18:H34 H10:H16 H36:H44 H50:H53 H55:H61 H64:H94 H96:H131 H133:H144 J10:J15 J8 J18:J33 J36:J43 J46:J48 J50:J52 J55:J60 J64:J93 J96:J130 J142:J144">
    <cfRule type="cellIs" dxfId="7" priority="8" stopIfTrue="1" operator="greaterThan">
      <formula>0</formula>
    </cfRule>
  </conditionalFormatting>
  <conditionalFormatting sqref="A1:A1048576">
    <cfRule type="cellIs" dxfId="6" priority="9" stopIfTrue="1" operator="equal">
      <formula>210</formula>
    </cfRule>
  </conditionalFormatting>
  <conditionalFormatting sqref="H9 J9">
    <cfRule type="cellIs" dxfId="5" priority="6" stopIfTrue="1" operator="greaterThan">
      <formula>0</formula>
    </cfRule>
  </conditionalFormatting>
  <conditionalFormatting sqref="H63 J63">
    <cfRule type="cellIs" dxfId="4" priority="5" stopIfTrue="1" operator="greaterThan">
      <formula>0</formula>
    </cfRule>
  </conditionalFormatting>
  <conditionalFormatting sqref="J16">
    <cfRule type="cellIs" dxfId="3" priority="4" stopIfTrue="1" operator="greaterThan">
      <formula>0</formula>
    </cfRule>
  </conditionalFormatting>
  <conditionalFormatting sqref="J53">
    <cfRule type="cellIs" dxfId="2" priority="3" stopIfTrue="1" operator="greaterThan">
      <formula>0</formula>
    </cfRule>
  </conditionalFormatting>
  <conditionalFormatting sqref="J133:J140">
    <cfRule type="cellIs" dxfId="1" priority="2" stopIfTrue="1" operator="greaterThan">
      <formula>0</formula>
    </cfRule>
  </conditionalFormatting>
  <conditionalFormatting sqref="J141">
    <cfRule type="cellIs" dxfId="0" priority="1" stopIfTrue="1" operator="greaterThan">
      <formula>0</formula>
    </cfRule>
  </conditionalFormatting>
  <printOptions horizontalCentered="1" verticalCentered="1"/>
  <pageMargins left="0.25" right="0.25" top="0.75" bottom="0.75" header="0.5" footer="0.4"/>
  <pageSetup scale="56" fitToHeight="4" orientation="landscape" horizontalDpi="4294967292" verticalDpi="4294967292"/>
  <headerFooter alignWithMargins="0">
    <oddFooter>&amp;L&amp;"Times New Roman,Italic"&amp;12UBuildIt Cost Review Form
Copyright © 2004 UBuildIt Corporation &amp;R&amp;"Times New Roman,Italic"&amp;12 
rev. 7/06/04
page  &amp;P of &amp;N</oddFooter>
  </headerFooter>
  <rowBreaks count="3" manualBreakCount="3">
    <brk id="53" min="1" max="10" man="1"/>
    <brk id="94" max="16383" man="1"/>
    <brk id="131" min="1" max="10" man="1"/>
  </rowBreaks>
  <colBreaks count="1" manualBreakCount="1">
    <brk id="17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J73"/>
  <sheetViews>
    <sheetView showGridLines="0" zoomScale="88" zoomScaleNormal="85" zoomScaleSheetLayoutView="100" zoomScalePageLayoutView="85" workbookViewId="0">
      <selection activeCell="A45" sqref="A45"/>
    </sheetView>
  </sheetViews>
  <sheetFormatPr defaultColWidth="11.42578125" defaultRowHeight="15" customHeight="1"/>
  <cols>
    <col min="1" max="1" width="2.42578125" style="56" customWidth="1"/>
    <col min="2" max="2" width="11.42578125" style="56"/>
    <col min="3" max="3" width="11.42578125" style="56" customWidth="1"/>
    <col min="4" max="16384" width="11.42578125" style="56"/>
  </cols>
  <sheetData>
    <row r="2" spans="1:10" ht="18" customHeight="1">
      <c r="A2" s="55"/>
    </row>
    <row r="3" spans="1:10" s="57" customFormat="1" ht="15" customHeight="1">
      <c r="B3" s="58"/>
    </row>
    <row r="4" spans="1:10" s="57" customFormat="1" ht="15" customHeight="1"/>
    <row r="5" spans="1:10" s="57" customFormat="1" ht="15" customHeight="1"/>
    <row r="6" spans="1:10" s="57" customFormat="1" ht="20.25" customHeight="1"/>
    <row r="7" spans="1:10" s="57" customFormat="1" ht="15" customHeight="1"/>
    <row r="8" spans="1:10" s="57" customFormat="1" ht="15" customHeight="1"/>
    <row r="9" spans="1:10" s="57" customFormat="1" ht="15" customHeight="1"/>
    <row r="10" spans="1:10" s="57" customFormat="1" ht="26.25" customHeight="1"/>
    <row r="11" spans="1:10" s="57" customFormat="1" ht="18" customHeight="1">
      <c r="A11" s="55"/>
      <c r="B11" s="55"/>
    </row>
    <row r="12" spans="1:10" s="57" customFormat="1" ht="15" customHeight="1"/>
    <row r="13" spans="1:10" s="57" customFormat="1" ht="46.5" customHeight="1">
      <c r="B13" s="370"/>
      <c r="C13" s="370"/>
      <c r="D13" s="370"/>
      <c r="E13" s="370"/>
      <c r="F13" s="370"/>
      <c r="G13" s="370"/>
      <c r="H13" s="370"/>
      <c r="I13" s="370"/>
      <c r="J13" s="370"/>
    </row>
    <row r="14" spans="1:10" s="57" customFormat="1" ht="15" customHeight="1">
      <c r="B14" s="59"/>
      <c r="C14" s="60"/>
      <c r="D14" s="60"/>
      <c r="E14" s="60"/>
      <c r="F14" s="60"/>
      <c r="G14" s="60"/>
      <c r="H14" s="60"/>
      <c r="I14" s="60"/>
      <c r="J14" s="60"/>
    </row>
    <row r="15" spans="1:10" s="57" customFormat="1" ht="15" customHeight="1">
      <c r="B15" s="61"/>
    </row>
    <row r="16" spans="1:10" s="57" customFormat="1" ht="15" customHeight="1"/>
    <row r="17" spans="1:3" s="57" customFormat="1" ht="15" customHeight="1"/>
    <row r="18" spans="1:3" s="57" customFormat="1" ht="15" customHeight="1"/>
    <row r="19" spans="1:3" s="57" customFormat="1" ht="15" customHeight="1"/>
    <row r="20" spans="1:3" s="57" customFormat="1" ht="15" customHeight="1"/>
    <row r="21" spans="1:3" s="57" customFormat="1" ht="15" customHeight="1"/>
    <row r="22" spans="1:3" s="57" customFormat="1" ht="15" customHeight="1"/>
    <row r="23" spans="1:3" s="57" customFormat="1" ht="15" customHeight="1"/>
    <row r="24" spans="1:3" s="57" customFormat="1" ht="15" customHeight="1"/>
    <row r="25" spans="1:3" s="57" customFormat="1" ht="15" customHeight="1"/>
    <row r="26" spans="1:3" s="57" customFormat="1" ht="15" customHeight="1"/>
    <row r="27" spans="1:3" s="57" customFormat="1" ht="45" customHeight="1"/>
    <row r="28" spans="1:3" s="57" customFormat="1" ht="18" customHeight="1">
      <c r="A28" s="55"/>
    </row>
    <row r="29" spans="1:3" ht="15" customHeight="1">
      <c r="A29" s="55"/>
    </row>
    <row r="30" spans="1:3" ht="15" customHeight="1">
      <c r="A30" s="55"/>
      <c r="B30" s="58"/>
    </row>
    <row r="32" spans="1:3" ht="15" customHeight="1">
      <c r="B32" s="57"/>
      <c r="C32" s="57"/>
    </row>
    <row r="34" spans="1:3" ht="15" customHeight="1">
      <c r="B34" s="57"/>
      <c r="C34" s="57"/>
    </row>
    <row r="40" spans="1:3" ht="28.5" customHeight="1"/>
    <row r="41" spans="1:3" ht="18" customHeight="1">
      <c r="A41" s="55" t="s">
        <v>430</v>
      </c>
    </row>
    <row r="73" spans="1:1" ht="18" customHeight="1">
      <c r="A73" s="55"/>
    </row>
  </sheetData>
  <sheetProtection password="CCBA" sheet="1" objects="1" scenarios="1"/>
  <mergeCells count="1">
    <mergeCell ref="B13:J13"/>
  </mergeCells>
  <phoneticPr fontId="9" type="noConversion"/>
  <pageMargins left="0.75" right="0.5" top="0.5" bottom="0.5" header="0.5" footer="0.5"/>
  <headerFooter alignWithMargins="0">
    <oddFooter>&amp;L&amp;"Times New Roman,Italic"&amp;10
Copyright © 2003 UBuildIt Corporation &amp;R&amp;"Times New Roman,Italic"&amp;10 
rev. 10/19/03
page  &amp;P of &amp;N</oddFooter>
  </headerFooter>
  <rowBreaks count="1" manualBreakCount="1">
    <brk id="72" max="1638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T80"/>
  <sheetViews>
    <sheetView zoomScale="68" zoomScaleNormal="50" zoomScaleSheetLayoutView="75" zoomScalePageLayoutView="50" workbookViewId="0">
      <selection activeCell="F12" sqref="F12:F13"/>
    </sheetView>
  </sheetViews>
  <sheetFormatPr defaultColWidth="8.85546875" defaultRowHeight="0" customHeight="1" zeroHeight="1"/>
  <cols>
    <col min="1" max="1" width="11.42578125" style="81" customWidth="1"/>
    <col min="2" max="2" width="7.42578125" style="139" customWidth="1"/>
    <col min="3" max="3" width="12.7109375" style="139" customWidth="1"/>
    <col min="4" max="4" width="65.28515625" style="136" customWidth="1"/>
    <col min="5" max="5" width="5.85546875" style="136" customWidth="1"/>
    <col min="6" max="6" width="27" style="137" customWidth="1"/>
    <col min="7" max="7" width="9.42578125" style="137" customWidth="1"/>
    <col min="8" max="8" width="3.42578125" style="137" customWidth="1"/>
    <col min="9" max="9" width="65.28515625" style="136" customWidth="1"/>
    <col min="10" max="10" width="8.28515625" style="136" customWidth="1"/>
    <col min="11" max="11" width="27" style="136" customWidth="1"/>
    <col min="12" max="12" width="0.28515625" style="87" customWidth="1"/>
    <col min="13" max="256" width="11.42578125" style="87" customWidth="1"/>
    <col min="257" max="16384" width="8.85546875" style="87"/>
  </cols>
  <sheetData>
    <row r="1" spans="1:98" s="64" customFormat="1" ht="20.100000000000001" customHeight="1">
      <c r="A1" s="62"/>
      <c r="B1" s="63"/>
      <c r="C1" s="63"/>
      <c r="F1" s="63"/>
      <c r="G1" s="63"/>
      <c r="H1" s="63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</row>
    <row r="2" spans="1:98" s="64" customFormat="1" ht="20.100000000000001" customHeight="1">
      <c r="A2" s="62"/>
      <c r="B2" s="63"/>
      <c r="C2" s="63"/>
      <c r="F2" s="63"/>
      <c r="G2" s="63"/>
      <c r="H2" s="63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65"/>
      <c r="CI2" s="65"/>
      <c r="CJ2" s="65"/>
      <c r="CK2" s="65"/>
      <c r="CL2" s="65"/>
      <c r="CM2" s="65"/>
      <c r="CN2" s="65"/>
      <c r="CO2" s="65"/>
      <c r="CP2" s="65"/>
      <c r="CQ2" s="65"/>
      <c r="CR2" s="65"/>
      <c r="CS2" s="65"/>
      <c r="CT2" s="65"/>
    </row>
    <row r="3" spans="1:98" s="64" customFormat="1" ht="20.100000000000001" customHeight="1">
      <c r="A3" s="62"/>
      <c r="B3" s="63"/>
      <c r="C3" s="63"/>
      <c r="F3" s="63"/>
      <c r="G3" s="63"/>
      <c r="H3" s="63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65"/>
      <c r="CG3" s="65"/>
      <c r="CH3" s="65"/>
      <c r="CI3" s="65"/>
      <c r="CJ3" s="65"/>
      <c r="CK3" s="65"/>
      <c r="CL3" s="65"/>
      <c r="CM3" s="65"/>
      <c r="CN3" s="65"/>
      <c r="CO3" s="65"/>
      <c r="CP3" s="65"/>
      <c r="CQ3" s="65"/>
      <c r="CR3" s="65"/>
      <c r="CS3" s="65"/>
      <c r="CT3" s="65"/>
    </row>
    <row r="4" spans="1:98" s="64" customFormat="1" ht="20.100000000000001" customHeight="1">
      <c r="A4" s="62"/>
      <c r="B4" s="63"/>
      <c r="C4" s="63"/>
      <c r="F4" s="63"/>
      <c r="G4" s="63"/>
      <c r="H4" s="63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65"/>
      <c r="CG4" s="65"/>
      <c r="CH4" s="65"/>
      <c r="CI4" s="65"/>
      <c r="CJ4" s="65"/>
      <c r="CK4" s="65"/>
      <c r="CL4" s="65"/>
      <c r="CM4" s="65"/>
      <c r="CN4" s="65"/>
      <c r="CO4" s="65"/>
      <c r="CP4" s="65"/>
      <c r="CQ4" s="65"/>
      <c r="CR4" s="65"/>
      <c r="CS4" s="65"/>
      <c r="CT4" s="65"/>
    </row>
    <row r="5" spans="1:98" s="64" customFormat="1" ht="20.100000000000001" customHeight="1">
      <c r="A5" s="62"/>
      <c r="B5" s="63"/>
      <c r="C5" s="63"/>
      <c r="F5" s="63"/>
      <c r="G5" s="63"/>
      <c r="H5" s="63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/>
      <c r="BW5" s="65"/>
      <c r="BX5" s="65"/>
      <c r="BY5" s="65"/>
      <c r="BZ5" s="65"/>
      <c r="CA5" s="65"/>
      <c r="CB5" s="65"/>
      <c r="CC5" s="65"/>
      <c r="CD5" s="65"/>
      <c r="CE5" s="65"/>
      <c r="CF5" s="65"/>
      <c r="CG5" s="65"/>
      <c r="CH5" s="65"/>
      <c r="CI5" s="65"/>
      <c r="CJ5" s="65"/>
      <c r="CK5" s="65"/>
      <c r="CL5" s="65"/>
      <c r="CM5" s="65"/>
      <c r="CN5" s="65"/>
      <c r="CO5" s="65"/>
      <c r="CP5" s="65"/>
      <c r="CQ5" s="65"/>
      <c r="CR5" s="65"/>
      <c r="CS5" s="65"/>
      <c r="CT5" s="65"/>
    </row>
    <row r="6" spans="1:98" s="66" customFormat="1" ht="20.100000000000001" customHeight="1">
      <c r="A6" s="390" t="s">
        <v>431</v>
      </c>
      <c r="B6" s="390"/>
      <c r="C6" s="390"/>
      <c r="D6" s="390"/>
      <c r="E6" s="390"/>
      <c r="F6" s="390"/>
      <c r="G6" s="390"/>
      <c r="H6" s="390"/>
      <c r="I6" s="390"/>
      <c r="J6" s="390"/>
      <c r="K6" s="390"/>
      <c r="L6" s="34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  <c r="BO6" s="65"/>
      <c r="BP6" s="65"/>
      <c r="BQ6" s="65"/>
      <c r="BR6" s="65"/>
      <c r="BS6" s="65"/>
      <c r="BT6" s="65"/>
      <c r="BU6" s="65"/>
      <c r="BV6" s="65"/>
      <c r="BW6" s="65"/>
      <c r="BX6" s="65"/>
      <c r="BY6" s="65"/>
      <c r="BZ6" s="65"/>
      <c r="CA6" s="65"/>
      <c r="CB6" s="65"/>
      <c r="CC6" s="65"/>
      <c r="CD6" s="65"/>
      <c r="CE6" s="65"/>
      <c r="CF6" s="65"/>
      <c r="CG6" s="65"/>
      <c r="CH6" s="65"/>
      <c r="CI6" s="65"/>
      <c r="CJ6" s="65"/>
      <c r="CK6" s="65"/>
      <c r="CL6" s="65"/>
      <c r="CM6" s="65"/>
      <c r="CN6" s="65"/>
      <c r="CO6" s="65"/>
      <c r="CP6" s="65"/>
      <c r="CQ6" s="65"/>
      <c r="CR6" s="65"/>
      <c r="CS6" s="65"/>
      <c r="CT6" s="65"/>
    </row>
    <row r="7" spans="1:98" s="66" customFormat="1" ht="20.25">
      <c r="A7" s="62"/>
      <c r="B7" s="345"/>
      <c r="C7" s="345"/>
      <c r="D7" s="345"/>
      <c r="E7" s="345"/>
      <c r="F7" s="345"/>
      <c r="G7" s="345"/>
      <c r="H7" s="345"/>
      <c r="I7" s="345"/>
      <c r="J7" s="345"/>
      <c r="K7" s="345"/>
      <c r="L7" s="34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65"/>
      <c r="CK7" s="65"/>
      <c r="CL7" s="65"/>
      <c r="CM7" s="65"/>
      <c r="CN7" s="65"/>
      <c r="CO7" s="65"/>
      <c r="CP7" s="65"/>
      <c r="CQ7" s="65"/>
      <c r="CR7" s="65"/>
      <c r="CS7" s="65"/>
      <c r="CT7" s="65"/>
    </row>
    <row r="8" spans="1:98" s="71" customFormat="1" ht="12.75" customHeight="1">
      <c r="A8" s="67"/>
      <c r="B8" s="405" t="s">
        <v>432</v>
      </c>
      <c r="C8" s="405"/>
      <c r="D8" s="413"/>
      <c r="E8" s="68"/>
      <c r="F8" s="415"/>
      <c r="G8" s="69"/>
      <c r="H8" s="69"/>
      <c r="I8" s="408"/>
      <c r="J8" s="68"/>
      <c r="K8" s="410"/>
      <c r="L8" s="70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65"/>
      <c r="CK8" s="65"/>
      <c r="CL8" s="65"/>
      <c r="CM8" s="65"/>
      <c r="CN8" s="65"/>
      <c r="CO8" s="65"/>
      <c r="CP8" s="65"/>
      <c r="CQ8" s="65"/>
      <c r="CR8" s="65"/>
      <c r="CS8" s="65"/>
      <c r="CT8" s="65"/>
    </row>
    <row r="9" spans="1:98" s="77" customFormat="1" ht="16.5">
      <c r="A9" s="197"/>
      <c r="B9" s="406"/>
      <c r="C9" s="406"/>
      <c r="D9" s="414"/>
      <c r="E9" s="73" t="s">
        <v>433</v>
      </c>
      <c r="F9" s="416"/>
      <c r="G9" s="72" t="s">
        <v>434</v>
      </c>
      <c r="H9" s="176"/>
      <c r="I9" s="409"/>
      <c r="J9" s="180" t="s">
        <v>435</v>
      </c>
      <c r="K9" s="411"/>
      <c r="L9" s="75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</row>
    <row r="10" spans="1:98" s="77" customFormat="1" ht="16.5">
      <c r="A10" s="197"/>
      <c r="B10" s="407" t="s">
        <v>436</v>
      </c>
      <c r="C10" s="407"/>
      <c r="D10" s="420"/>
      <c r="E10" s="422"/>
      <c r="F10" s="78"/>
      <c r="G10" s="179"/>
      <c r="H10" s="178"/>
      <c r="I10" s="420"/>
      <c r="J10" s="347"/>
      <c r="K10" s="423"/>
      <c r="L10" s="79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</row>
    <row r="11" spans="1:98" s="77" customFormat="1" ht="16.5">
      <c r="A11" s="197"/>
      <c r="B11" s="406"/>
      <c r="C11" s="406"/>
      <c r="D11" s="421"/>
      <c r="E11" s="421"/>
      <c r="F11" s="80"/>
      <c r="G11" s="72" t="s">
        <v>437</v>
      </c>
      <c r="H11" s="177"/>
      <c r="I11" s="409"/>
      <c r="J11" s="180" t="s">
        <v>438</v>
      </c>
      <c r="K11" s="424"/>
      <c r="L11" s="75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</row>
    <row r="12" spans="1:98" s="77" customFormat="1" ht="16.5">
      <c r="A12" s="197"/>
      <c r="B12" s="407" t="s">
        <v>439</v>
      </c>
      <c r="C12" s="407"/>
      <c r="D12" s="420"/>
      <c r="E12" s="348"/>
      <c r="F12" s="415"/>
      <c r="G12" s="140"/>
      <c r="H12" s="140"/>
      <c r="I12" s="420"/>
      <c r="J12" s="347"/>
      <c r="K12" s="423"/>
      <c r="L12" s="79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</row>
    <row r="13" spans="1:98" s="77" customFormat="1" ht="16.5">
      <c r="A13" s="197"/>
      <c r="B13" s="406"/>
      <c r="C13" s="406"/>
      <c r="D13" s="421"/>
      <c r="E13" s="74" t="s">
        <v>440</v>
      </c>
      <c r="F13" s="416"/>
      <c r="G13" s="72" t="s">
        <v>441</v>
      </c>
      <c r="H13" s="72"/>
      <c r="I13" s="409"/>
      <c r="J13" s="180" t="s">
        <v>438</v>
      </c>
      <c r="K13" s="424"/>
      <c r="L13" s="75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</row>
    <row r="14" spans="1:98" ht="4.5" customHeight="1" thickBot="1">
      <c r="B14" s="82"/>
      <c r="C14" s="82"/>
      <c r="D14" s="83"/>
      <c r="E14" s="83"/>
      <c r="F14" s="69"/>
      <c r="G14" s="84"/>
      <c r="H14" s="84"/>
      <c r="I14" s="85"/>
      <c r="J14" s="85"/>
      <c r="K14" s="85"/>
      <c r="L14" s="86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5"/>
      <c r="BT14" s="65"/>
      <c r="BU14" s="65"/>
      <c r="BV14" s="65"/>
      <c r="BW14" s="65"/>
      <c r="BX14" s="65"/>
      <c r="BY14" s="65"/>
      <c r="BZ14" s="65"/>
      <c r="CA14" s="65"/>
      <c r="CB14" s="65"/>
      <c r="CC14" s="65"/>
      <c r="CD14" s="65"/>
      <c r="CE14" s="65"/>
      <c r="CF14" s="65"/>
      <c r="CG14" s="65"/>
      <c r="CH14" s="65"/>
      <c r="CI14" s="65"/>
      <c r="CJ14" s="65"/>
      <c r="CK14" s="65"/>
      <c r="CL14" s="65"/>
      <c r="CM14" s="65"/>
      <c r="CN14" s="65"/>
      <c r="CO14" s="65"/>
      <c r="CP14" s="65"/>
      <c r="CQ14" s="65"/>
      <c r="CR14" s="65"/>
      <c r="CS14" s="65"/>
      <c r="CT14" s="65"/>
    </row>
    <row r="15" spans="1:98" s="95" customFormat="1" ht="15">
      <c r="A15" s="88"/>
      <c r="B15" s="89"/>
      <c r="C15" s="90"/>
      <c r="D15" s="91"/>
      <c r="E15" s="92"/>
      <c r="F15" s="91" t="s">
        <v>442</v>
      </c>
      <c r="G15" s="398" t="s">
        <v>443</v>
      </c>
      <c r="H15" s="399"/>
      <c r="I15" s="391" t="s">
        <v>444</v>
      </c>
      <c r="J15" s="392"/>
      <c r="K15" s="93" t="s">
        <v>442</v>
      </c>
      <c r="L15" s="94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65"/>
      <c r="CC15" s="65"/>
      <c r="CD15" s="65"/>
      <c r="CE15" s="65"/>
      <c r="CF15" s="65"/>
      <c r="CG15" s="65"/>
      <c r="CH15" s="65"/>
      <c r="CI15" s="65"/>
      <c r="CJ15" s="65"/>
      <c r="CK15" s="65"/>
      <c r="CL15" s="65"/>
      <c r="CM15" s="65"/>
      <c r="CN15" s="65"/>
      <c r="CO15" s="65"/>
      <c r="CP15" s="65"/>
      <c r="CQ15" s="65"/>
      <c r="CR15" s="65"/>
      <c r="CS15" s="65"/>
      <c r="CT15" s="65"/>
    </row>
    <row r="16" spans="1:98" s="100" customFormat="1" ht="15">
      <c r="A16" s="88"/>
      <c r="B16" s="96"/>
      <c r="C16" s="97"/>
      <c r="D16" s="84" t="s">
        <v>444</v>
      </c>
      <c r="E16" s="98"/>
      <c r="F16" s="84" t="s">
        <v>207</v>
      </c>
      <c r="G16" s="400"/>
      <c r="H16" s="393"/>
      <c r="I16" s="393"/>
      <c r="J16" s="394"/>
      <c r="K16" s="99" t="s">
        <v>207</v>
      </c>
      <c r="L16" s="94"/>
      <c r="M16" s="65"/>
      <c r="N16" s="65"/>
      <c r="O16" s="65"/>
      <c r="P16" s="65"/>
    </row>
    <row r="17" spans="1:12" s="100" customFormat="1" ht="15.75" thickBot="1">
      <c r="A17" s="88"/>
      <c r="B17" s="101"/>
      <c r="C17" s="102"/>
      <c r="D17" s="103"/>
      <c r="E17" s="104"/>
      <c r="F17" s="105" t="s">
        <v>445</v>
      </c>
      <c r="G17" s="401"/>
      <c r="H17" s="395"/>
      <c r="I17" s="395"/>
      <c r="J17" s="396"/>
      <c r="K17" s="106" t="s">
        <v>445</v>
      </c>
      <c r="L17" s="94"/>
    </row>
    <row r="18" spans="1:12" s="107" customFormat="1" ht="18" customHeight="1" thickBot="1">
      <c r="A18" s="198"/>
      <c r="B18" s="425" t="s">
        <v>446</v>
      </c>
      <c r="C18" s="426"/>
      <c r="D18" s="426"/>
      <c r="E18" s="342"/>
      <c r="F18" s="199"/>
      <c r="G18" s="402"/>
      <c r="H18" s="403"/>
      <c r="I18" s="403"/>
      <c r="J18" s="403"/>
      <c r="K18" s="404"/>
      <c r="L18" s="200"/>
    </row>
    <row r="19" spans="1:12" s="108" customFormat="1" ht="20.100000000000001" customHeight="1">
      <c r="A19" s="201"/>
      <c r="B19" s="202">
        <v>101</v>
      </c>
      <c r="C19" s="418" t="s">
        <v>447</v>
      </c>
      <c r="D19" s="419"/>
      <c r="E19" s="203"/>
      <c r="F19" s="204">
        <f>SUMIF('UBI Cost Review'!$A:$A,$B:$B,'UBI Cost Review'!$E:$E)</f>
        <v>1355</v>
      </c>
      <c r="G19" s="205">
        <v>601</v>
      </c>
      <c r="H19" s="373" t="s">
        <v>448</v>
      </c>
      <c r="I19" s="374"/>
      <c r="J19" s="397"/>
      <c r="K19" s="112">
        <f>SUMIF('UBI Cost Review'!$A:$A,G:G,'UBI Cost Review'!$E:$E)</f>
        <v>0</v>
      </c>
      <c r="L19" s="206"/>
    </row>
    <row r="20" spans="1:12" s="108" customFormat="1" ht="20.100000000000001" customHeight="1">
      <c r="A20" s="201"/>
      <c r="B20" s="207">
        <v>102</v>
      </c>
      <c r="C20" s="373" t="s">
        <v>449</v>
      </c>
      <c r="D20" s="374"/>
      <c r="E20" s="346"/>
      <c r="F20" s="208">
        <f>SUMIF('UBI Cost Review'!$A:$A,$B:$B,'UBI Cost Review'!$E:$E)</f>
        <v>0</v>
      </c>
      <c r="G20" s="209">
        <v>602</v>
      </c>
      <c r="H20" s="373" t="s">
        <v>450</v>
      </c>
      <c r="I20" s="374"/>
      <c r="J20" s="111"/>
      <c r="K20" s="112">
        <f>SUMIF('UBI Cost Review'!$A:$A,G:G,'UBI Cost Review'!$E:$E)</f>
        <v>1000</v>
      </c>
      <c r="L20" s="206"/>
    </row>
    <row r="21" spans="1:12" s="108" customFormat="1" ht="20.100000000000001" customHeight="1">
      <c r="A21" s="201"/>
      <c r="B21" s="207">
        <v>103</v>
      </c>
      <c r="C21" s="343" t="s">
        <v>451</v>
      </c>
      <c r="D21" s="344"/>
      <c r="E21" s="210"/>
      <c r="F21" s="208">
        <f>SUMIF('UBI Cost Review'!$A:$A,$B:$B,'UBI Cost Review'!$E:$E)</f>
        <v>0</v>
      </c>
      <c r="G21" s="209">
        <v>603</v>
      </c>
      <c r="H21" s="373" t="s">
        <v>452</v>
      </c>
      <c r="I21" s="374"/>
      <c r="J21" s="111"/>
      <c r="K21" s="112">
        <f>SUMIF('UBI Cost Review'!$A:$A,G:G,'UBI Cost Review'!$E:$E)</f>
        <v>17156</v>
      </c>
      <c r="L21" s="206"/>
    </row>
    <row r="22" spans="1:12" s="108" customFormat="1" ht="20.100000000000001" customHeight="1">
      <c r="A22" s="201"/>
      <c r="B22" s="207">
        <v>104</v>
      </c>
      <c r="C22" s="373" t="s">
        <v>453</v>
      </c>
      <c r="D22" s="374"/>
      <c r="E22" s="346"/>
      <c r="F22" s="208">
        <f>SUMIF('UBI Cost Review'!$A:$A,$B:$B,'UBI Cost Review'!$E:$E)</f>
        <v>0</v>
      </c>
      <c r="G22" s="209">
        <v>604</v>
      </c>
      <c r="H22" s="373" t="s">
        <v>454</v>
      </c>
      <c r="I22" s="374"/>
      <c r="J22" s="111"/>
      <c r="K22" s="112">
        <f>SUMIF('UBI Cost Review'!$A:$A,G:G,'UBI Cost Review'!$E:$E)</f>
        <v>3778</v>
      </c>
      <c r="L22" s="206"/>
    </row>
    <row r="23" spans="1:12" s="108" customFormat="1" ht="20.100000000000001" customHeight="1">
      <c r="A23" s="201"/>
      <c r="B23" s="207">
        <v>105</v>
      </c>
      <c r="C23" s="373" t="s">
        <v>455</v>
      </c>
      <c r="D23" s="374"/>
      <c r="E23" s="346"/>
      <c r="F23" s="208">
        <f>SUMIF('UBI Cost Review'!$A:$A,$B:$B,'UBI Cost Review'!$E:$E)</f>
        <v>0</v>
      </c>
      <c r="G23" s="209">
        <v>605</v>
      </c>
      <c r="H23" s="373" t="s">
        <v>456</v>
      </c>
      <c r="I23" s="374"/>
      <c r="J23" s="111"/>
      <c r="K23" s="112">
        <f>SUMIF('UBI Cost Review'!$A:$A,G:G,'UBI Cost Review'!$E:$E)</f>
        <v>7576</v>
      </c>
      <c r="L23" s="206"/>
    </row>
    <row r="24" spans="1:12" s="108" customFormat="1" ht="20.100000000000001" customHeight="1" thickBot="1">
      <c r="A24" s="201"/>
      <c r="B24" s="211">
        <v>106</v>
      </c>
      <c r="C24" s="427" t="s">
        <v>457</v>
      </c>
      <c r="D24" s="428"/>
      <c r="E24" s="212"/>
      <c r="F24" s="213">
        <f>SUMIF('UBI Cost Review'!$A:$A,$B:$B,'UBI Cost Review'!$E:$E)</f>
        <v>1937</v>
      </c>
      <c r="G24" s="209">
        <v>606</v>
      </c>
      <c r="H24" s="373" t="s">
        <v>458</v>
      </c>
      <c r="I24" s="374"/>
      <c r="J24" s="111"/>
      <c r="K24" s="112">
        <f>SUMIF('UBI Cost Review'!$A:$A,G:G,'UBI Cost Review'!$E:$E)</f>
        <v>0</v>
      </c>
      <c r="L24" s="206"/>
    </row>
    <row r="25" spans="1:12" s="114" customFormat="1" ht="20.100000000000001" customHeight="1" thickBot="1">
      <c r="A25" s="109"/>
      <c r="B25" s="429" t="s">
        <v>459</v>
      </c>
      <c r="C25" s="430"/>
      <c r="D25" s="430"/>
      <c r="E25" s="431"/>
      <c r="F25" s="110">
        <f>SUM(F19:F24)</f>
        <v>3292</v>
      </c>
      <c r="G25" s="209">
        <v>607</v>
      </c>
      <c r="H25" s="373" t="s">
        <v>460</v>
      </c>
      <c r="I25" s="374"/>
      <c r="J25" s="111"/>
      <c r="K25" s="112">
        <f>SUMIF('UBI Cost Review'!$A:$A,G:G,'UBI Cost Review'!$E:$E)</f>
        <v>0</v>
      </c>
      <c r="L25" s="113"/>
    </row>
    <row r="26" spans="1:12" s="114" customFormat="1" ht="20.100000000000001" customHeight="1">
      <c r="A26" s="109"/>
      <c r="B26" s="432" t="s">
        <v>461</v>
      </c>
      <c r="C26" s="433"/>
      <c r="D26" s="433"/>
      <c r="E26" s="115"/>
      <c r="F26" s="116"/>
      <c r="G26" s="209">
        <v>608</v>
      </c>
      <c r="H26" s="434" t="s">
        <v>462</v>
      </c>
      <c r="I26" s="435"/>
      <c r="J26" s="111"/>
      <c r="K26" s="112">
        <f>SUMIF('UBI Cost Review'!$A:$A,G:G,'UBI Cost Review'!$E:$E)</f>
        <v>0</v>
      </c>
      <c r="L26" s="113"/>
    </row>
    <row r="27" spans="1:12" s="108" customFormat="1" ht="20.100000000000001" customHeight="1">
      <c r="A27" s="201"/>
      <c r="B27" s="207">
        <v>201</v>
      </c>
      <c r="C27" s="373" t="s">
        <v>463</v>
      </c>
      <c r="D27" s="374"/>
      <c r="E27" s="214"/>
      <c r="F27" s="117">
        <f>SUMIF('UBI Cost Review'!$A:$A,$B:$B,'UBI Cost Review'!$E:$E)</f>
        <v>2500</v>
      </c>
      <c r="G27" s="209">
        <v>609</v>
      </c>
      <c r="H27" s="373" t="s">
        <v>464</v>
      </c>
      <c r="I27" s="374"/>
      <c r="J27" s="111"/>
      <c r="K27" s="112">
        <f>SUMIF('UBI Cost Review'!$A:$A,G:G,'UBI Cost Review'!$E:$E)</f>
        <v>0</v>
      </c>
      <c r="L27" s="206"/>
    </row>
    <row r="28" spans="1:12" s="108" customFormat="1" ht="20.100000000000001" customHeight="1">
      <c r="A28" s="201"/>
      <c r="B28" s="207">
        <v>202</v>
      </c>
      <c r="C28" s="373" t="s">
        <v>465</v>
      </c>
      <c r="D28" s="374"/>
      <c r="E28" s="344"/>
      <c r="F28" s="117">
        <f>SUMIF('UBI Cost Review'!$A:$A,$B:$B,'UBI Cost Review'!$E:$E)</f>
        <v>0</v>
      </c>
      <c r="G28" s="209">
        <v>610</v>
      </c>
      <c r="H28" s="373" t="s">
        <v>466</v>
      </c>
      <c r="I28" s="374"/>
      <c r="J28" s="111"/>
      <c r="K28" s="112">
        <f>SUMIF('UBI Cost Review'!$A:$A,G:G,'UBI Cost Review'!$E:$E)</f>
        <v>13205</v>
      </c>
      <c r="L28" s="206"/>
    </row>
    <row r="29" spans="1:12" s="108" customFormat="1" ht="20.100000000000001" customHeight="1">
      <c r="A29" s="201"/>
      <c r="B29" s="207">
        <v>203</v>
      </c>
      <c r="C29" s="373" t="s">
        <v>467</v>
      </c>
      <c r="D29" s="374"/>
      <c r="E29" s="344"/>
      <c r="F29" s="117">
        <f>SUMIF('UBI Cost Review'!$A:$A,$B:$B,'UBI Cost Review'!$E:$E)</f>
        <v>0</v>
      </c>
      <c r="G29" s="209">
        <v>611</v>
      </c>
      <c r="H29" s="373" t="s">
        <v>468</v>
      </c>
      <c r="I29" s="374"/>
      <c r="J29" s="111"/>
      <c r="K29" s="112">
        <f>SUMIF('UBI Cost Review'!$A:$A,G:G,'UBI Cost Review'!$E:$E)</f>
        <v>5038</v>
      </c>
      <c r="L29" s="206"/>
    </row>
    <row r="30" spans="1:12" s="108" customFormat="1" ht="20.100000000000001" customHeight="1">
      <c r="A30" s="201"/>
      <c r="B30" s="207">
        <v>204</v>
      </c>
      <c r="C30" s="371" t="s">
        <v>469</v>
      </c>
      <c r="D30" s="372"/>
      <c r="E30" s="341"/>
      <c r="F30" s="117">
        <f>SUMIF('UBI Cost Review'!$A:$A,$B:$B,'UBI Cost Review'!$E:$E)</f>
        <v>570</v>
      </c>
      <c r="G30" s="209">
        <v>612</v>
      </c>
      <c r="H30" s="373" t="s">
        <v>470</v>
      </c>
      <c r="I30" s="374"/>
      <c r="J30" s="346"/>
      <c r="K30" s="112">
        <f>SUMIF('UBI Cost Review'!$A:$A,G:G,'UBI Cost Review'!$E:$E)</f>
        <v>2500</v>
      </c>
      <c r="L30" s="206"/>
    </row>
    <row r="31" spans="1:12" s="108" customFormat="1" ht="20.100000000000001" customHeight="1">
      <c r="A31" s="201"/>
      <c r="B31" s="207">
        <v>205</v>
      </c>
      <c r="C31" s="371" t="s">
        <v>471</v>
      </c>
      <c r="D31" s="372"/>
      <c r="E31" s="341"/>
      <c r="F31" s="117">
        <f>SUMIF('UBI Cost Review'!$A:$A,$B:$B,'UBI Cost Review'!$E:$E)</f>
        <v>0</v>
      </c>
      <c r="G31" s="209">
        <v>613</v>
      </c>
      <c r="H31" s="373" t="s">
        <v>472</v>
      </c>
      <c r="I31" s="374"/>
      <c r="J31" s="346"/>
      <c r="K31" s="112">
        <f>SUMIF('UBI Cost Review'!$A:$A,G:G,'UBI Cost Review'!$E:$E)</f>
        <v>2050</v>
      </c>
      <c r="L31" s="206"/>
    </row>
    <row r="32" spans="1:12" s="108" customFormat="1" ht="20.100000000000001" customHeight="1" thickBot="1">
      <c r="A32" s="201"/>
      <c r="B32" s="207">
        <v>206</v>
      </c>
      <c r="C32" s="371" t="s">
        <v>473</v>
      </c>
      <c r="D32" s="372"/>
      <c r="E32" s="341"/>
      <c r="F32" s="117">
        <f>SUMIF('UBI Cost Review'!$A:$A,$B:$B,'UBI Cost Review'!$E:$E)</f>
        <v>19572</v>
      </c>
      <c r="G32" s="209">
        <v>614</v>
      </c>
      <c r="H32" s="375" t="s">
        <v>474</v>
      </c>
      <c r="I32" s="376"/>
      <c r="J32" s="214"/>
      <c r="K32" s="215">
        <f>SUMIF('UBI Cost Review'!$A:$A,G:G,'UBI Cost Review'!$E:$E)</f>
        <v>0</v>
      </c>
      <c r="L32" s="206"/>
    </row>
    <row r="33" spans="1:12" s="114" customFormat="1" ht="20.100000000000001" customHeight="1" thickBot="1">
      <c r="A33" s="109"/>
      <c r="B33" s="207">
        <v>207</v>
      </c>
      <c r="C33" s="371" t="s">
        <v>475</v>
      </c>
      <c r="D33" s="372"/>
      <c r="E33" s="118"/>
      <c r="F33" s="117">
        <f>SUMIF('UBI Cost Review'!$A:$A,$B:$B,'UBI Cost Review'!$E:$E)</f>
        <v>0</v>
      </c>
      <c r="G33" s="384" t="s">
        <v>476</v>
      </c>
      <c r="H33" s="385"/>
      <c r="I33" s="385"/>
      <c r="J33" s="386"/>
      <c r="K33" s="119">
        <f>SUM(K19:K32)</f>
        <v>52303</v>
      </c>
      <c r="L33" s="113"/>
    </row>
    <row r="34" spans="1:12" s="114" customFormat="1" ht="20.100000000000001" customHeight="1">
      <c r="A34" s="109"/>
      <c r="B34" s="207">
        <v>208</v>
      </c>
      <c r="C34" s="371" t="s">
        <v>477</v>
      </c>
      <c r="D34" s="372"/>
      <c r="E34" s="118"/>
      <c r="F34" s="117">
        <f>SUMIF('UBI Cost Review'!$A:$A,$B:$B,'UBI Cost Review'!$E:$E)</f>
        <v>0</v>
      </c>
      <c r="G34" s="209">
        <v>701</v>
      </c>
      <c r="H34" s="418" t="s">
        <v>478</v>
      </c>
      <c r="I34" s="419"/>
      <c r="J34" s="111"/>
      <c r="K34" s="112">
        <f>SUMIF('UBI Cost Review'!$A:$A,G:G,'UBI Cost Review'!$E:$E)</f>
        <v>6835</v>
      </c>
      <c r="L34" s="113"/>
    </row>
    <row r="35" spans="1:12" s="114" customFormat="1" ht="20.100000000000001" customHeight="1" thickBot="1">
      <c r="A35" s="109"/>
      <c r="B35" s="207">
        <v>210</v>
      </c>
      <c r="C35" s="382" t="s">
        <v>479</v>
      </c>
      <c r="D35" s="383"/>
      <c r="E35" s="120"/>
      <c r="F35" s="117">
        <f>SUMIF('UBI Cost Review'!$A1:$A115,$B:$B,'UBI Cost Review'!$E$1:$E$115)+'UBI Cost Review'!K142</f>
        <v>0</v>
      </c>
      <c r="G35" s="209">
        <v>702</v>
      </c>
      <c r="H35" s="373" t="s">
        <v>480</v>
      </c>
      <c r="I35" s="374"/>
      <c r="J35" s="111"/>
      <c r="K35" s="112">
        <f>SUMIF('UBI Cost Review'!$A:$A,G:G,'UBI Cost Review'!$E:$E)</f>
        <v>10470</v>
      </c>
      <c r="L35" s="113"/>
    </row>
    <row r="36" spans="1:12" s="114" customFormat="1" ht="20.100000000000001" customHeight="1" thickBot="1">
      <c r="A36" s="109"/>
      <c r="B36" s="384" t="s">
        <v>481</v>
      </c>
      <c r="C36" s="385"/>
      <c r="D36" s="385"/>
      <c r="E36" s="386"/>
      <c r="F36" s="119">
        <f>SUM(F27:F35)</f>
        <v>22642</v>
      </c>
      <c r="G36" s="209">
        <v>703</v>
      </c>
      <c r="H36" s="373" t="s">
        <v>482</v>
      </c>
      <c r="I36" s="374"/>
      <c r="J36" s="111"/>
      <c r="K36" s="112">
        <f>SUMIF('UBI Cost Review'!$A:$A,G:G,'UBI Cost Review'!$E:$E)</f>
        <v>0</v>
      </c>
      <c r="L36" s="113"/>
    </row>
    <row r="37" spans="1:12" s="114" customFormat="1" ht="20.100000000000001" customHeight="1">
      <c r="A37" s="109"/>
      <c r="B37" s="207">
        <v>301</v>
      </c>
      <c r="C37" s="377" t="s">
        <v>483</v>
      </c>
      <c r="D37" s="378"/>
      <c r="E37" s="111"/>
      <c r="F37" s="117">
        <f>SUMIF('UBI Cost Review'!$A:$A,$B:$B,'UBI Cost Review'!$E:$E)</f>
        <v>0</v>
      </c>
      <c r="G37" s="209">
        <v>704</v>
      </c>
      <c r="H37" s="373" t="s">
        <v>484</v>
      </c>
      <c r="I37" s="374"/>
      <c r="J37" s="111"/>
      <c r="K37" s="112">
        <f>SUMIF('UBI Cost Review'!$A:$A,G:G,'UBI Cost Review'!$E:$E)</f>
        <v>11884</v>
      </c>
      <c r="L37" s="113"/>
    </row>
    <row r="38" spans="1:12" s="114" customFormat="1" ht="20.100000000000001" customHeight="1">
      <c r="A38" s="109"/>
      <c r="B38" s="207">
        <v>302</v>
      </c>
      <c r="C38" s="371" t="s">
        <v>485</v>
      </c>
      <c r="D38" s="372"/>
      <c r="E38" s="341"/>
      <c r="F38" s="117">
        <f>SUMIF('UBI Cost Review'!$A:$A,$B:$B,'UBI Cost Review'!$E:$E)</f>
        <v>0</v>
      </c>
      <c r="G38" s="209">
        <v>705</v>
      </c>
      <c r="H38" s="373" t="s">
        <v>486</v>
      </c>
      <c r="I38" s="374"/>
      <c r="J38" s="111"/>
      <c r="K38" s="112">
        <f>SUMIF('UBI Cost Review'!$A:$A,G:G,'UBI Cost Review'!$E:$E)</f>
        <v>15930</v>
      </c>
      <c r="L38" s="113"/>
    </row>
    <row r="39" spans="1:12" s="114" customFormat="1" ht="20.100000000000001" customHeight="1">
      <c r="A39" s="109"/>
      <c r="B39" s="207">
        <v>303</v>
      </c>
      <c r="C39" s="371" t="s">
        <v>487</v>
      </c>
      <c r="D39" s="372"/>
      <c r="E39" s="341"/>
      <c r="F39" s="117">
        <f>SUMIF('UBI Cost Review'!$A:$A,$B:$B,'UBI Cost Review'!$E:$E)</f>
        <v>15000</v>
      </c>
      <c r="G39" s="209">
        <v>706</v>
      </c>
      <c r="H39" s="373" t="s">
        <v>488</v>
      </c>
      <c r="I39" s="374"/>
      <c r="J39" s="111"/>
      <c r="K39" s="112">
        <f>SUMIF('UBI Cost Review'!$A:$A,G:G,'UBI Cost Review'!$E:$E)</f>
        <v>1413</v>
      </c>
      <c r="L39" s="113"/>
    </row>
    <row r="40" spans="1:12" s="114" customFormat="1" ht="20.100000000000001" customHeight="1">
      <c r="A40" s="109"/>
      <c r="B40" s="207">
        <v>304</v>
      </c>
      <c r="C40" s="371" t="s">
        <v>489</v>
      </c>
      <c r="D40" s="417"/>
      <c r="E40" s="341"/>
      <c r="F40" s="117">
        <f>SUMIF('UBI Cost Review'!$A:$A,$B:$B,'UBI Cost Review'!$E:$E)</f>
        <v>0</v>
      </c>
      <c r="G40" s="209">
        <v>707</v>
      </c>
      <c r="H40" s="373" t="s">
        <v>490</v>
      </c>
      <c r="I40" s="374"/>
      <c r="J40" s="111"/>
      <c r="K40" s="112">
        <f>SUMIF('UBI Cost Review'!$A:$A,G:G,'UBI Cost Review'!$E:$E)</f>
        <v>1250</v>
      </c>
      <c r="L40" s="113"/>
    </row>
    <row r="41" spans="1:12" s="114" customFormat="1" ht="20.100000000000001" customHeight="1" thickBot="1">
      <c r="A41" s="109"/>
      <c r="B41" s="207">
        <v>305</v>
      </c>
      <c r="C41" s="371" t="s">
        <v>491</v>
      </c>
      <c r="D41" s="372"/>
      <c r="E41" s="341"/>
      <c r="F41" s="117">
        <f>SUMIF('UBI Cost Review'!$A:$A,$B:$B,'UBI Cost Review'!$E:$E)</f>
        <v>0</v>
      </c>
      <c r="G41" s="209">
        <v>708</v>
      </c>
      <c r="H41" s="375" t="s">
        <v>492</v>
      </c>
      <c r="I41" s="376"/>
      <c r="J41" s="111"/>
      <c r="K41" s="112">
        <f>SUMIF('UBI Cost Review'!$A:$A,G:G,'UBI Cost Review'!$E:$E)</f>
        <v>5431</v>
      </c>
      <c r="L41" s="113"/>
    </row>
    <row r="42" spans="1:12" s="114" customFormat="1" ht="20.100000000000001" customHeight="1" thickBot="1">
      <c r="A42" s="109"/>
      <c r="B42" s="207">
        <v>306</v>
      </c>
      <c r="C42" s="371" t="s">
        <v>493</v>
      </c>
      <c r="D42" s="372"/>
      <c r="E42" s="341"/>
      <c r="F42" s="117">
        <f>SUMIF('UBI Cost Review'!$A:$A,$B:$B,'UBI Cost Review'!$E:$E)</f>
        <v>9000</v>
      </c>
      <c r="G42" s="384" t="s">
        <v>494</v>
      </c>
      <c r="H42" s="385"/>
      <c r="I42" s="385"/>
      <c r="J42" s="386"/>
      <c r="K42" s="119">
        <f>SUM(K34:K41)</f>
        <v>53213</v>
      </c>
      <c r="L42" s="113"/>
    </row>
    <row r="43" spans="1:12" s="114" customFormat="1" ht="20.100000000000001" customHeight="1">
      <c r="A43" s="109"/>
      <c r="B43" s="207">
        <v>307</v>
      </c>
      <c r="C43" s="371" t="s">
        <v>495</v>
      </c>
      <c r="D43" s="372"/>
      <c r="E43" s="341"/>
      <c r="F43" s="117">
        <f>SUMIF('UBI Cost Review'!$A:$A,$B:$B,'UBI Cost Review'!$E:$E)</f>
        <v>0</v>
      </c>
      <c r="G43" s="205">
        <v>801</v>
      </c>
      <c r="H43" s="377" t="s">
        <v>496</v>
      </c>
      <c r="I43" s="378"/>
      <c r="J43" s="216"/>
      <c r="K43" s="217">
        <f>SUMIF('UBI Cost Review'!$A:$A,G:G,'UBI Cost Review'!$E:$E)</f>
        <v>6727</v>
      </c>
      <c r="L43" s="113"/>
    </row>
    <row r="44" spans="1:12" s="114" customFormat="1" ht="20.100000000000001" customHeight="1">
      <c r="A44" s="109"/>
      <c r="B44" s="207">
        <v>308</v>
      </c>
      <c r="C44" s="371" t="s">
        <v>497</v>
      </c>
      <c r="D44" s="372"/>
      <c r="E44" s="341"/>
      <c r="F44" s="117">
        <f>SUMIF('UBI Cost Review'!$A:$A,$B:$B,'UBI Cost Review'!$E:$E)</f>
        <v>0</v>
      </c>
      <c r="G44" s="209">
        <v>802</v>
      </c>
      <c r="H44" s="371" t="s">
        <v>498</v>
      </c>
      <c r="I44" s="372"/>
      <c r="J44" s="344"/>
      <c r="K44" s="112">
        <f>SUMIF('UBI Cost Review'!$A:$A,G:G,'UBI Cost Review'!$E:$E)</f>
        <v>3847</v>
      </c>
      <c r="L44" s="113"/>
    </row>
    <row r="45" spans="1:12" s="114" customFormat="1" ht="20.100000000000001" customHeight="1">
      <c r="A45" s="109"/>
      <c r="B45" s="207">
        <v>309</v>
      </c>
      <c r="C45" s="371" t="s">
        <v>499</v>
      </c>
      <c r="D45" s="372"/>
      <c r="E45" s="341"/>
      <c r="F45" s="117">
        <f>SUMIF('UBI Cost Review'!$A:$A,$B:$B,'UBI Cost Review'!$E:$E)</f>
        <v>2800</v>
      </c>
      <c r="G45" s="209">
        <v>803</v>
      </c>
      <c r="H45" s="371" t="s">
        <v>500</v>
      </c>
      <c r="I45" s="372"/>
      <c r="J45" s="344"/>
      <c r="K45" s="112">
        <f>SUMIF('UBI Cost Review'!$A:$A,G:G,'UBI Cost Review'!$E:$E)</f>
        <v>0</v>
      </c>
      <c r="L45" s="113"/>
    </row>
    <row r="46" spans="1:12" s="114" customFormat="1" ht="20.100000000000001" customHeight="1" thickBot="1">
      <c r="A46" s="109"/>
      <c r="B46" s="207">
        <v>310</v>
      </c>
      <c r="C46" s="382" t="s">
        <v>501</v>
      </c>
      <c r="D46" s="383"/>
      <c r="E46" s="341"/>
      <c r="F46" s="117">
        <f>SUMIF('UBI Cost Review'!$A:$A,$B:$B,'UBI Cost Review'!$E:$E)</f>
        <v>0</v>
      </c>
      <c r="G46" s="209">
        <v>804</v>
      </c>
      <c r="H46" s="371" t="s">
        <v>502</v>
      </c>
      <c r="I46" s="372"/>
      <c r="J46" s="344"/>
      <c r="K46" s="112">
        <f>SUMIF('UBI Cost Review'!$A:$A,G:G,'UBI Cost Review'!$E:$E)</f>
        <v>13348</v>
      </c>
      <c r="L46" s="113"/>
    </row>
    <row r="47" spans="1:12" s="114" customFormat="1" ht="20.100000000000001" customHeight="1" thickBot="1">
      <c r="A47" s="109"/>
      <c r="B47" s="384" t="s">
        <v>503</v>
      </c>
      <c r="C47" s="385"/>
      <c r="D47" s="385"/>
      <c r="E47" s="386"/>
      <c r="F47" s="119">
        <f>SUM(F37:F46)</f>
        <v>26800</v>
      </c>
      <c r="G47" s="209">
        <v>805</v>
      </c>
      <c r="H47" s="371" t="s">
        <v>504</v>
      </c>
      <c r="I47" s="372"/>
      <c r="J47" s="344"/>
      <c r="K47" s="112">
        <f>SUMIF('UBI Cost Review'!$A:$A,G:G,'UBI Cost Review'!$E:$E)</f>
        <v>2961</v>
      </c>
      <c r="L47" s="113"/>
    </row>
    <row r="48" spans="1:12" s="114" customFormat="1" ht="20.100000000000001" customHeight="1">
      <c r="A48" s="109"/>
      <c r="B48" s="207">
        <v>401</v>
      </c>
      <c r="C48" s="377" t="s">
        <v>505</v>
      </c>
      <c r="D48" s="378"/>
      <c r="E48" s="111"/>
      <c r="F48" s="117">
        <f>SUMIF('UBI Cost Review'!$A:$A,$B:$B,'UBI Cost Review'!$E:$E)</f>
        <v>45100</v>
      </c>
      <c r="G48" s="209">
        <v>806</v>
      </c>
      <c r="H48" s="371" t="s">
        <v>506</v>
      </c>
      <c r="I48" s="372"/>
      <c r="J48" s="344"/>
      <c r="K48" s="112">
        <f>SUMIF('UBI Cost Review'!$A:$A,G:G,'UBI Cost Review'!$E:$E)</f>
        <v>7100</v>
      </c>
      <c r="L48" s="113"/>
    </row>
    <row r="49" spans="1:12" s="114" customFormat="1" ht="20.100000000000001" customHeight="1">
      <c r="A49" s="109"/>
      <c r="B49" s="207">
        <v>402</v>
      </c>
      <c r="C49" s="371" t="s">
        <v>507</v>
      </c>
      <c r="D49" s="372"/>
      <c r="E49" s="341"/>
      <c r="F49" s="117">
        <f>SUMIF('UBI Cost Review'!$A:$A,$B:$B,'UBI Cost Review'!$E:$E)</f>
        <v>0</v>
      </c>
      <c r="G49" s="209">
        <v>807</v>
      </c>
      <c r="H49" s="371" t="s">
        <v>508</v>
      </c>
      <c r="I49" s="372"/>
      <c r="J49" s="344"/>
      <c r="K49" s="112">
        <f>SUMIF('UBI Cost Review'!$A:$A,G:G,'UBI Cost Review'!$E:$E)</f>
        <v>12500</v>
      </c>
      <c r="L49" s="113"/>
    </row>
    <row r="50" spans="1:12" s="114" customFormat="1" ht="20.100000000000001" customHeight="1">
      <c r="A50" s="109"/>
      <c r="B50" s="207">
        <v>403</v>
      </c>
      <c r="C50" s="371" t="s">
        <v>509</v>
      </c>
      <c r="D50" s="372"/>
      <c r="E50" s="341"/>
      <c r="F50" s="117">
        <f>SUMIF('UBI Cost Review'!$A:$A,$B:$B,'UBI Cost Review'!$E:$E)</f>
        <v>0</v>
      </c>
      <c r="G50" s="209">
        <v>808</v>
      </c>
      <c r="H50" s="371" t="s">
        <v>510</v>
      </c>
      <c r="I50" s="372"/>
      <c r="J50" s="344"/>
      <c r="K50" s="112">
        <f>SUMIF('UBI Cost Review'!$A:$A,G:G,'UBI Cost Review'!$E:$E)</f>
        <v>0</v>
      </c>
      <c r="L50" s="113"/>
    </row>
    <row r="51" spans="1:12" s="114" customFormat="1" ht="20.100000000000001" customHeight="1">
      <c r="A51" s="109"/>
      <c r="B51" s="207">
        <v>404</v>
      </c>
      <c r="C51" s="371" t="s">
        <v>511</v>
      </c>
      <c r="D51" s="372"/>
      <c r="E51" s="341"/>
      <c r="F51" s="117">
        <f>SUMIF('UBI Cost Review'!$A:$A,$B:$B,'UBI Cost Review'!$E:$E)</f>
        <v>3000</v>
      </c>
      <c r="G51" s="209">
        <v>809</v>
      </c>
      <c r="H51" s="371" t="s">
        <v>512</v>
      </c>
      <c r="I51" s="372"/>
      <c r="J51" s="344"/>
      <c r="K51" s="112">
        <f>SUMIF('UBI Cost Review'!$A:$A,G:G,'UBI Cost Review'!$E:$E)</f>
        <v>0</v>
      </c>
      <c r="L51" s="113"/>
    </row>
    <row r="52" spans="1:12" s="114" customFormat="1" ht="20.100000000000001" customHeight="1">
      <c r="A52" s="109"/>
      <c r="B52" s="207">
        <v>405</v>
      </c>
      <c r="C52" s="371" t="s">
        <v>513</v>
      </c>
      <c r="D52" s="372"/>
      <c r="E52" s="341"/>
      <c r="F52" s="117">
        <f>SUMIF('UBI Cost Review'!$A:$A,$B:$B,'UBI Cost Review'!$E:$E)</f>
        <v>400</v>
      </c>
      <c r="G52" s="209">
        <v>810</v>
      </c>
      <c r="H52" s="371" t="s">
        <v>514</v>
      </c>
      <c r="I52" s="372"/>
      <c r="J52" s="344"/>
      <c r="K52" s="112">
        <f>SUMIF('UBI Cost Review'!$A:$A,G:G,'UBI Cost Review'!$E:$E)</f>
        <v>0</v>
      </c>
      <c r="L52" s="113"/>
    </row>
    <row r="53" spans="1:12" s="114" customFormat="1" ht="20.100000000000001" customHeight="1">
      <c r="A53" s="109"/>
      <c r="B53" s="207">
        <v>406</v>
      </c>
      <c r="C53" s="371" t="s">
        <v>515</v>
      </c>
      <c r="D53" s="372"/>
      <c r="E53" s="341"/>
      <c r="F53" s="117">
        <f>SUMIF('UBI Cost Review'!$A:$A,$B:$B,'UBI Cost Review'!$E:$E)</f>
        <v>0</v>
      </c>
      <c r="G53" s="209">
        <v>811</v>
      </c>
      <c r="H53" s="371" t="s">
        <v>516</v>
      </c>
      <c r="I53" s="372"/>
      <c r="J53" s="344"/>
      <c r="K53" s="112">
        <f>SUMIF('UBI Cost Review'!$A:$A,G:G,'UBI Cost Review'!$E:$E)</f>
        <v>0</v>
      </c>
      <c r="L53" s="113"/>
    </row>
    <row r="54" spans="1:12" s="114" customFormat="1" ht="20.100000000000001" customHeight="1" thickBot="1">
      <c r="A54" s="109"/>
      <c r="B54" s="207">
        <v>407</v>
      </c>
      <c r="C54" s="382" t="s">
        <v>517</v>
      </c>
      <c r="D54" s="383"/>
      <c r="E54" s="218"/>
      <c r="F54" s="219">
        <f>SUMIF('UBI Cost Review'!$A:$A,$B:$B,'UBI Cost Review'!$E:$E)</f>
        <v>0</v>
      </c>
      <c r="G54" s="209">
        <v>812</v>
      </c>
      <c r="H54" s="371" t="s">
        <v>518</v>
      </c>
      <c r="I54" s="372"/>
      <c r="J54" s="344"/>
      <c r="K54" s="112">
        <f>SUMIF('UBI Cost Review'!$A:$A,G:G,'UBI Cost Review'!$E:$E)</f>
        <v>8920</v>
      </c>
      <c r="L54" s="113"/>
    </row>
    <row r="55" spans="1:12" s="114" customFormat="1" ht="20.100000000000001" customHeight="1" thickBot="1">
      <c r="A55" s="109"/>
      <c r="B55" s="384" t="s">
        <v>519</v>
      </c>
      <c r="C55" s="385"/>
      <c r="D55" s="385"/>
      <c r="E55" s="386"/>
      <c r="F55" s="119">
        <f>SUM(F48:F54)</f>
        <v>48500</v>
      </c>
      <c r="G55" s="209">
        <v>813</v>
      </c>
      <c r="H55" s="371" t="s">
        <v>520</v>
      </c>
      <c r="I55" s="372"/>
      <c r="J55" s="344"/>
      <c r="K55" s="112">
        <f>SUMIF('UBI Cost Review'!$A:$A,G:G,'UBI Cost Review'!$E:$E)</f>
        <v>0</v>
      </c>
      <c r="L55" s="113"/>
    </row>
    <row r="56" spans="1:12" s="114" customFormat="1" ht="20.100000000000001" customHeight="1">
      <c r="A56" s="109"/>
      <c r="B56" s="207">
        <v>501</v>
      </c>
      <c r="C56" s="377" t="s">
        <v>521</v>
      </c>
      <c r="D56" s="378"/>
      <c r="E56" s="111"/>
      <c r="F56" s="220">
        <f>SUMIF('UBI Cost Review'!$A:$A,$B:$B,'UBI Cost Review'!$E:$E)</f>
        <v>0</v>
      </c>
      <c r="G56" s="209">
        <v>814</v>
      </c>
      <c r="H56" s="371" t="s">
        <v>522</v>
      </c>
      <c r="I56" s="372"/>
      <c r="J56" s="344"/>
      <c r="K56" s="112">
        <f>SUMIF('UBI Cost Review'!$A:$A,G:G,'UBI Cost Review'!$E:$E)</f>
        <v>3100</v>
      </c>
      <c r="L56" s="113"/>
    </row>
    <row r="57" spans="1:12" s="114" customFormat="1" ht="20.100000000000001" customHeight="1">
      <c r="A57" s="109"/>
      <c r="B57" s="207">
        <v>502</v>
      </c>
      <c r="C57" s="371" t="s">
        <v>523</v>
      </c>
      <c r="D57" s="372"/>
      <c r="E57" s="341"/>
      <c r="F57" s="117">
        <f>SUMIF('UBI Cost Review'!$A:$A,$B:$B,'UBI Cost Review'!$E:$E)</f>
        <v>26320</v>
      </c>
      <c r="G57" s="209">
        <v>815</v>
      </c>
      <c r="H57" s="371" t="s">
        <v>524</v>
      </c>
      <c r="I57" s="372"/>
      <c r="J57" s="344"/>
      <c r="K57" s="112">
        <f>SUMIF('UBI Cost Review'!$A:$A,G:G,'UBI Cost Review'!$E:$E)</f>
        <v>0</v>
      </c>
      <c r="L57" s="113"/>
    </row>
    <row r="58" spans="1:12" s="114" customFormat="1" ht="20.100000000000001" customHeight="1">
      <c r="A58" s="109"/>
      <c r="B58" s="207">
        <v>503</v>
      </c>
      <c r="C58" s="371" t="s">
        <v>525</v>
      </c>
      <c r="D58" s="372"/>
      <c r="E58" s="341"/>
      <c r="F58" s="117">
        <f>SUMIF('UBI Cost Review'!$A:$A,$B:$B,'UBI Cost Review'!$E:$E)</f>
        <v>0</v>
      </c>
      <c r="G58" s="209">
        <v>816</v>
      </c>
      <c r="H58" s="371" t="s">
        <v>526</v>
      </c>
      <c r="I58" s="372"/>
      <c r="J58" s="344"/>
      <c r="K58" s="112">
        <f>SUMIF('UBI Cost Review'!$A:$A,G:G,'UBI Cost Review'!$E:$E)</f>
        <v>0</v>
      </c>
      <c r="L58" s="113"/>
    </row>
    <row r="59" spans="1:12" s="114" customFormat="1" ht="20.100000000000001" customHeight="1">
      <c r="A59" s="109"/>
      <c r="B59" s="207">
        <v>504</v>
      </c>
      <c r="C59" s="371" t="s">
        <v>527</v>
      </c>
      <c r="D59" s="372"/>
      <c r="E59" s="341"/>
      <c r="F59" s="117">
        <f>SUMIF('UBI Cost Review'!$A:$A,$B:$B,'UBI Cost Review'!$E:$E)</f>
        <v>0</v>
      </c>
      <c r="G59" s="209">
        <v>817</v>
      </c>
      <c r="H59" s="371" t="s">
        <v>528</v>
      </c>
      <c r="I59" s="372"/>
      <c r="J59" s="344"/>
      <c r="K59" s="112">
        <f>SUMIF('UBI Cost Review'!$A:$A,G:G,'UBI Cost Review'!$E:$E)</f>
        <v>0</v>
      </c>
      <c r="L59" s="113"/>
    </row>
    <row r="60" spans="1:12" s="114" customFormat="1" ht="20.100000000000001" customHeight="1">
      <c r="A60" s="109"/>
      <c r="B60" s="207">
        <v>505</v>
      </c>
      <c r="C60" s="371" t="s">
        <v>529</v>
      </c>
      <c r="D60" s="372"/>
      <c r="E60" s="341"/>
      <c r="F60" s="117">
        <f>SUMIF('UBI Cost Review'!$A:$A,$B:$B,'UBI Cost Review'!$E:$E)</f>
        <v>0</v>
      </c>
      <c r="G60" s="209">
        <v>818</v>
      </c>
      <c r="H60" s="371" t="s">
        <v>530</v>
      </c>
      <c r="I60" s="372"/>
      <c r="J60" s="344"/>
      <c r="K60" s="112">
        <f>SUMIF('UBI Cost Review'!$A:$A,G:G,'UBI Cost Review'!$E:$E)</f>
        <v>1180</v>
      </c>
      <c r="L60" s="113"/>
    </row>
    <row r="61" spans="1:12" s="114" customFormat="1" ht="20.100000000000001" customHeight="1">
      <c r="A61" s="109"/>
      <c r="B61" s="207">
        <v>506</v>
      </c>
      <c r="C61" s="371" t="s">
        <v>531</v>
      </c>
      <c r="D61" s="372"/>
      <c r="E61" s="341"/>
      <c r="F61" s="117">
        <f>SUMIF('UBI Cost Review'!$A:$A,$B:$B,'UBI Cost Review'!$E:$E)</f>
        <v>0</v>
      </c>
      <c r="G61" s="209">
        <v>819</v>
      </c>
      <c r="H61" s="371" t="s">
        <v>532</v>
      </c>
      <c r="I61" s="372"/>
      <c r="J61" s="344"/>
      <c r="K61" s="112">
        <f>SUMIF('UBI Cost Review'!$A:$A,G:G,'UBI Cost Review'!$E:$E)</f>
        <v>0</v>
      </c>
      <c r="L61" s="113"/>
    </row>
    <row r="62" spans="1:12" s="114" customFormat="1" ht="20.100000000000001" customHeight="1">
      <c r="A62" s="109"/>
      <c r="B62" s="207">
        <v>507</v>
      </c>
      <c r="C62" s="371" t="s">
        <v>533</v>
      </c>
      <c r="D62" s="372"/>
      <c r="E62" s="341"/>
      <c r="F62" s="117">
        <f>SUMIF('UBI Cost Review'!$A:$A,$B:$B,'UBI Cost Review'!$E:$E)</f>
        <v>16410</v>
      </c>
      <c r="G62" s="209">
        <v>820</v>
      </c>
      <c r="H62" s="371" t="s">
        <v>534</v>
      </c>
      <c r="I62" s="372"/>
      <c r="J62" s="344"/>
      <c r="K62" s="112">
        <f>SUMIF('UBI Cost Review'!$A:$A,G:G,'UBI Cost Review'!$E:$E)</f>
        <v>0</v>
      </c>
      <c r="L62" s="113"/>
    </row>
    <row r="63" spans="1:12" s="114" customFormat="1" ht="20.100000000000001" customHeight="1">
      <c r="A63" s="109"/>
      <c r="B63" s="207">
        <v>508</v>
      </c>
      <c r="C63" s="371" t="s">
        <v>535</v>
      </c>
      <c r="D63" s="372"/>
      <c r="E63" s="341"/>
      <c r="F63" s="117">
        <f>SUMIF('UBI Cost Review'!$A:$A,$B:$B,'UBI Cost Review'!$E:$E)</f>
        <v>0</v>
      </c>
      <c r="G63" s="209">
        <v>821</v>
      </c>
      <c r="H63" s="371" t="s">
        <v>536</v>
      </c>
      <c r="I63" s="372"/>
      <c r="J63" s="341"/>
      <c r="K63" s="112">
        <f>SUMIF('UBI Cost Review'!$A:$A,G:G,'UBI Cost Review'!$E:$E)</f>
        <v>16005</v>
      </c>
      <c r="L63" s="113"/>
    </row>
    <row r="64" spans="1:12" s="114" customFormat="1" ht="20.100000000000001" customHeight="1">
      <c r="A64" s="109"/>
      <c r="B64" s="207">
        <v>509</v>
      </c>
      <c r="C64" s="371" t="s">
        <v>537</v>
      </c>
      <c r="D64" s="372"/>
      <c r="E64" s="341"/>
      <c r="F64" s="117">
        <f>SUMIF('UBI Cost Review'!$A:$A,$B:$B,'UBI Cost Review'!$E:$E)</f>
        <v>10800</v>
      </c>
      <c r="G64" s="209">
        <v>822</v>
      </c>
      <c r="H64" s="371" t="s">
        <v>538</v>
      </c>
      <c r="I64" s="372"/>
      <c r="J64" s="111"/>
      <c r="K64" s="112">
        <f>SUMIF('UBI Cost Review'!$A:$A,G:G,'UBI Cost Review'!$E:$E)</f>
        <v>3000</v>
      </c>
      <c r="L64" s="113"/>
    </row>
    <row r="65" spans="1:12" s="114" customFormat="1" ht="20.100000000000001" customHeight="1">
      <c r="A65" s="109"/>
      <c r="B65" s="207">
        <v>510</v>
      </c>
      <c r="C65" s="371" t="s">
        <v>539</v>
      </c>
      <c r="D65" s="372"/>
      <c r="E65" s="341"/>
      <c r="F65" s="117">
        <f>SUMIF('UBI Cost Review'!$A:$A,$B:$B,'UBI Cost Review'!$E:$E)</f>
        <v>8200</v>
      </c>
      <c r="G65" s="209">
        <v>823</v>
      </c>
      <c r="H65" s="371" t="s">
        <v>540</v>
      </c>
      <c r="I65" s="372"/>
      <c r="J65" s="111"/>
      <c r="K65" s="112">
        <f>SUMIF('UBI Cost Review'!$A:$A,G:G,'UBI Cost Review'!$E:$E)</f>
        <v>0</v>
      </c>
      <c r="L65" s="113"/>
    </row>
    <row r="66" spans="1:12" s="114" customFormat="1" ht="20.100000000000001" customHeight="1">
      <c r="A66" s="109"/>
      <c r="B66" s="207">
        <v>511</v>
      </c>
      <c r="C66" s="371" t="s">
        <v>541</v>
      </c>
      <c r="D66" s="372"/>
      <c r="E66" s="341"/>
      <c r="F66" s="117">
        <f>SUMIF('UBI Cost Review'!$A:$A,$B:$B,'UBI Cost Review'!$E:$E)</f>
        <v>11026</v>
      </c>
      <c r="G66" s="209">
        <v>824</v>
      </c>
      <c r="H66" s="371" t="s">
        <v>542</v>
      </c>
      <c r="I66" s="372"/>
      <c r="J66" s="111"/>
      <c r="K66" s="112">
        <f>SUMIF('UBI Cost Review'!$A:$A,G:G,'UBI Cost Review'!$E:$E)</f>
        <v>0</v>
      </c>
      <c r="L66" s="113"/>
    </row>
    <row r="67" spans="1:12" s="114" customFormat="1" ht="20.100000000000001" customHeight="1" thickBot="1">
      <c r="A67" s="109"/>
      <c r="B67" s="207">
        <v>512</v>
      </c>
      <c r="C67" s="371" t="s">
        <v>543</v>
      </c>
      <c r="D67" s="372"/>
      <c r="E67" s="218"/>
      <c r="F67" s="117">
        <f>SUMIF('UBI Cost Review'!$A:$A,$B:$B,'UBI Cost Review'!$E:$E)</f>
        <v>0</v>
      </c>
      <c r="G67" s="209">
        <v>825</v>
      </c>
      <c r="H67" s="382" t="s">
        <v>544</v>
      </c>
      <c r="I67" s="383"/>
      <c r="J67" s="111"/>
      <c r="K67" s="112">
        <f>SUMIF('UBI Cost Review'!$A:$A,G:G,'UBI Cost Review'!$E:$E)</f>
        <v>850</v>
      </c>
      <c r="L67" s="113"/>
    </row>
    <row r="68" spans="1:12" s="114" customFormat="1" ht="20.100000000000001" customHeight="1" thickBot="1">
      <c r="A68" s="109"/>
      <c r="B68" s="207">
        <v>513</v>
      </c>
      <c r="C68" s="371" t="s">
        <v>545</v>
      </c>
      <c r="D68" s="372"/>
      <c r="E68" s="218"/>
      <c r="F68" s="117">
        <f>SUMIF('UBI Cost Review'!$A:$A,$B:$B,'UBI Cost Review'!$E:$E)</f>
        <v>1500</v>
      </c>
      <c r="G68" s="384" t="s">
        <v>546</v>
      </c>
      <c r="H68" s="385"/>
      <c r="I68" s="385"/>
      <c r="J68" s="386"/>
      <c r="K68" s="119">
        <f>SUM(K43:K67)</f>
        <v>79538</v>
      </c>
      <c r="L68" s="113"/>
    </row>
    <row r="69" spans="1:12" s="114" customFormat="1" ht="20.100000000000001" customHeight="1" thickBot="1">
      <c r="A69" s="109"/>
      <c r="B69" s="207">
        <v>514</v>
      </c>
      <c r="C69" s="382" t="s">
        <v>547</v>
      </c>
      <c r="D69" s="383"/>
      <c r="E69" s="218"/>
      <c r="F69" s="117">
        <f>SUMIF('UBI Cost Review'!$A:$A,$B:$B,'UBI Cost Review'!$E:$E)</f>
        <v>0</v>
      </c>
      <c r="G69" s="384" t="s">
        <v>548</v>
      </c>
      <c r="H69" s="385"/>
      <c r="I69" s="385"/>
      <c r="J69" s="386"/>
      <c r="K69" s="119">
        <f>+K68+K42+K33+F70+F55+F47+F36</f>
        <v>357252</v>
      </c>
      <c r="L69" s="113"/>
    </row>
    <row r="70" spans="1:12" s="114" customFormat="1" ht="20.100000000000001" customHeight="1" thickBot="1">
      <c r="A70" s="109"/>
      <c r="B70" s="384" t="s">
        <v>549</v>
      </c>
      <c r="C70" s="385"/>
      <c r="D70" s="385"/>
      <c r="E70" s="386"/>
      <c r="F70" s="119">
        <f>SUM(F56:F69)</f>
        <v>74256</v>
      </c>
      <c r="G70" s="384" t="s">
        <v>550</v>
      </c>
      <c r="H70" s="385"/>
      <c r="I70" s="385"/>
      <c r="J70" s="386"/>
      <c r="K70" s="119">
        <f>+K69+F25</f>
        <v>360544</v>
      </c>
      <c r="L70" s="113"/>
    </row>
    <row r="71" spans="1:12" s="121" customFormat="1" ht="6.75" customHeight="1">
      <c r="A71" s="221"/>
      <c r="B71" s="349"/>
      <c r="C71" s="349"/>
      <c r="D71" s="222"/>
      <c r="E71" s="222"/>
      <c r="F71" s="223"/>
      <c r="G71" s="224"/>
      <c r="H71" s="224"/>
      <c r="I71" s="222"/>
      <c r="J71" s="222"/>
      <c r="K71" s="225"/>
      <c r="L71" s="226"/>
    </row>
    <row r="72" spans="1:12" s="121" customFormat="1" ht="12.75" customHeight="1">
      <c r="A72" s="221"/>
      <c r="B72" s="381" t="s">
        <v>551</v>
      </c>
      <c r="C72" s="381"/>
      <c r="D72" s="381"/>
      <c r="E72" s="381"/>
      <c r="F72" s="381"/>
      <c r="G72" s="388"/>
      <c r="H72" s="388"/>
      <c r="I72" s="388"/>
      <c r="J72" s="227"/>
      <c r="K72" s="227"/>
      <c r="L72" s="131"/>
    </row>
    <row r="73" spans="1:12" s="121" customFormat="1" ht="4.5" customHeight="1">
      <c r="A73" s="221"/>
      <c r="B73" s="228"/>
      <c r="C73" s="228"/>
      <c r="D73" s="222"/>
      <c r="E73" s="222"/>
      <c r="F73" s="229"/>
      <c r="G73" s="388"/>
      <c r="H73" s="388"/>
      <c r="I73" s="388"/>
      <c r="J73" s="127"/>
      <c r="K73" s="127"/>
      <c r="L73" s="131"/>
    </row>
    <row r="74" spans="1:12" s="126" customFormat="1" ht="12.75" customHeight="1">
      <c r="A74" s="81"/>
      <c r="B74" s="82"/>
      <c r="C74" s="82"/>
      <c r="D74" s="122"/>
      <c r="E74" s="122"/>
      <c r="F74" s="123"/>
      <c r="G74" s="388"/>
      <c r="H74" s="388"/>
      <c r="I74" s="388"/>
      <c r="J74" s="124"/>
      <c r="K74" s="124"/>
      <c r="L74" s="125"/>
    </row>
    <row r="75" spans="1:12" s="131" customFormat="1" ht="12.75" customHeight="1">
      <c r="A75" s="127"/>
      <c r="B75" s="128" t="s">
        <v>552</v>
      </c>
      <c r="C75" s="380"/>
      <c r="D75" s="380"/>
      <c r="E75" s="68"/>
      <c r="F75" s="129"/>
      <c r="G75" s="379"/>
      <c r="H75" s="379"/>
      <c r="I75" s="379"/>
      <c r="J75" s="130"/>
      <c r="K75" s="127"/>
    </row>
    <row r="76" spans="1:12" s="131" customFormat="1" ht="15.75" customHeight="1">
      <c r="A76" s="127"/>
      <c r="B76" s="132"/>
      <c r="C76" s="389" t="s">
        <v>553</v>
      </c>
      <c r="D76" s="389"/>
      <c r="E76" s="230"/>
      <c r="F76" s="133"/>
      <c r="G76" s="349" t="s">
        <v>1</v>
      </c>
      <c r="H76" s="349"/>
      <c r="I76" s="68"/>
      <c r="J76" s="124"/>
      <c r="K76" s="124"/>
    </row>
    <row r="77" spans="1:12" s="131" customFormat="1" ht="12.75" customHeight="1">
      <c r="A77" s="127"/>
      <c r="B77" s="132"/>
      <c r="C77" s="132"/>
      <c r="D77" s="231"/>
      <c r="E77" s="231"/>
      <c r="F77" s="133"/>
      <c r="G77" s="232"/>
      <c r="H77" s="232"/>
      <c r="I77" s="232"/>
      <c r="J77" s="124"/>
      <c r="K77" s="124"/>
    </row>
    <row r="78" spans="1:12" s="131" customFormat="1" ht="12.75" customHeight="1">
      <c r="A78" s="127"/>
      <c r="B78" s="134" t="s">
        <v>554</v>
      </c>
      <c r="C78" s="412"/>
      <c r="D78" s="412"/>
      <c r="E78" s="227"/>
      <c r="F78" s="129"/>
      <c r="G78" s="387"/>
      <c r="H78" s="387"/>
      <c r="I78" s="387"/>
      <c r="J78" s="130"/>
      <c r="K78" s="127"/>
    </row>
    <row r="79" spans="1:12" s="131" customFormat="1" ht="15.75" customHeight="1">
      <c r="A79" s="127"/>
      <c r="B79" s="132"/>
      <c r="C79" s="389" t="s">
        <v>555</v>
      </c>
      <c r="D79" s="389"/>
      <c r="E79" s="233"/>
      <c r="F79" s="133"/>
      <c r="G79" s="129" t="s">
        <v>1</v>
      </c>
      <c r="H79" s="129"/>
      <c r="I79" s="124"/>
      <c r="J79" s="124"/>
      <c r="K79" s="124"/>
    </row>
    <row r="80" spans="1:12" s="126" customFormat="1" ht="12.75" customHeight="1">
      <c r="A80" s="81"/>
      <c r="B80" s="135"/>
      <c r="C80" s="135"/>
      <c r="D80" s="136"/>
      <c r="E80" s="136"/>
      <c r="F80" s="137"/>
      <c r="G80" s="138"/>
      <c r="H80" s="138"/>
      <c r="I80" s="136"/>
      <c r="J80" s="136"/>
      <c r="K80" s="136"/>
    </row>
  </sheetData>
  <sheetProtection password="CCBA" sheet="1" objects="1" scenarios="1"/>
  <mergeCells count="130">
    <mergeCell ref="H36:I36"/>
    <mergeCell ref="D12:D13"/>
    <mergeCell ref="D10:E11"/>
    <mergeCell ref="F12:F13"/>
    <mergeCell ref="K10:K11"/>
    <mergeCell ref="K12:K13"/>
    <mergeCell ref="I12:I13"/>
    <mergeCell ref="I10:I11"/>
    <mergeCell ref="B18:D18"/>
    <mergeCell ref="C19:D19"/>
    <mergeCell ref="C20:D20"/>
    <mergeCell ref="C24:D24"/>
    <mergeCell ref="C27:D27"/>
    <mergeCell ref="C28:D28"/>
    <mergeCell ref="B25:E25"/>
    <mergeCell ref="B26:D26"/>
    <mergeCell ref="H29:I29"/>
    <mergeCell ref="H21:I21"/>
    <mergeCell ref="H22:I22"/>
    <mergeCell ref="H23:I23"/>
    <mergeCell ref="C35:D35"/>
    <mergeCell ref="H26:I26"/>
    <mergeCell ref="H30:I30"/>
    <mergeCell ref="H31:I31"/>
    <mergeCell ref="H27:I27"/>
    <mergeCell ref="H28:I28"/>
    <mergeCell ref="H32:I32"/>
    <mergeCell ref="G33:J33"/>
    <mergeCell ref="H34:I34"/>
    <mergeCell ref="H35:I35"/>
    <mergeCell ref="H25:I25"/>
    <mergeCell ref="C30:D30"/>
    <mergeCell ref="C22:D22"/>
    <mergeCell ref="C23:D23"/>
    <mergeCell ref="C29:D29"/>
    <mergeCell ref="C31:D31"/>
    <mergeCell ref="C32:D32"/>
    <mergeCell ref="C33:D33"/>
    <mergeCell ref="C34:D34"/>
    <mergeCell ref="H24:I24"/>
    <mergeCell ref="B36:E36"/>
    <mergeCell ref="C79:D79"/>
    <mergeCell ref="A6:K6"/>
    <mergeCell ref="I15:J17"/>
    <mergeCell ref="G42:J42"/>
    <mergeCell ref="H19:J19"/>
    <mergeCell ref="G15:H17"/>
    <mergeCell ref="G18:K18"/>
    <mergeCell ref="H20:I20"/>
    <mergeCell ref="B8:C9"/>
    <mergeCell ref="B10:C11"/>
    <mergeCell ref="I8:I9"/>
    <mergeCell ref="K8:K9"/>
    <mergeCell ref="C78:D78"/>
    <mergeCell ref="C76:D76"/>
    <mergeCell ref="B12:C13"/>
    <mergeCell ref="D8:D9"/>
    <mergeCell ref="F8:F9"/>
    <mergeCell ref="C37:D37"/>
    <mergeCell ref="C38:D38"/>
    <mergeCell ref="C39:D39"/>
    <mergeCell ref="C40:D40"/>
    <mergeCell ref="C41:D41"/>
    <mergeCell ref="C42:D42"/>
    <mergeCell ref="G78:I78"/>
    <mergeCell ref="B47:E47"/>
    <mergeCell ref="B55:E55"/>
    <mergeCell ref="B70:E70"/>
    <mergeCell ref="H57:I57"/>
    <mergeCell ref="H58:I58"/>
    <mergeCell ref="H59:I59"/>
    <mergeCell ref="H60:I60"/>
    <mergeCell ref="H61:I61"/>
    <mergeCell ref="H50:I50"/>
    <mergeCell ref="H51:I51"/>
    <mergeCell ref="H52:I52"/>
    <mergeCell ref="H53:I53"/>
    <mergeCell ref="H54:I54"/>
    <mergeCell ref="H55:I55"/>
    <mergeCell ref="G72:I74"/>
    <mergeCell ref="C50:D50"/>
    <mergeCell ref="C51:D51"/>
    <mergeCell ref="H56:I56"/>
    <mergeCell ref="C54:D54"/>
    <mergeCell ref="C56:D56"/>
    <mergeCell ref="C62:D62"/>
    <mergeCell ref="C63:D63"/>
    <mergeCell ref="C64:D64"/>
    <mergeCell ref="C43:D43"/>
    <mergeCell ref="C44:D44"/>
    <mergeCell ref="C45:D45"/>
    <mergeCell ref="C46:D46"/>
    <mergeCell ref="C48:D48"/>
    <mergeCell ref="C49:D49"/>
    <mergeCell ref="C52:D52"/>
    <mergeCell ref="C53:D53"/>
    <mergeCell ref="C61:D61"/>
    <mergeCell ref="C57:D57"/>
    <mergeCell ref="C58:D58"/>
    <mergeCell ref="C59:D59"/>
    <mergeCell ref="C60:D60"/>
    <mergeCell ref="G75:I75"/>
    <mergeCell ref="C75:D75"/>
    <mergeCell ref="H62:I62"/>
    <mergeCell ref="H63:I63"/>
    <mergeCell ref="H64:I64"/>
    <mergeCell ref="B72:F72"/>
    <mergeCell ref="H65:I65"/>
    <mergeCell ref="H66:I66"/>
    <mergeCell ref="H67:I67"/>
    <mergeCell ref="C69:D69"/>
    <mergeCell ref="G69:J69"/>
    <mergeCell ref="G68:J68"/>
    <mergeCell ref="G70:J70"/>
    <mergeCell ref="C65:D65"/>
    <mergeCell ref="C66:D66"/>
    <mergeCell ref="C67:D67"/>
    <mergeCell ref="C68:D68"/>
    <mergeCell ref="H44:I44"/>
    <mergeCell ref="H45:I45"/>
    <mergeCell ref="H46:I46"/>
    <mergeCell ref="H47:I47"/>
    <mergeCell ref="H48:I48"/>
    <mergeCell ref="H49:I49"/>
    <mergeCell ref="H37:I37"/>
    <mergeCell ref="H38:I38"/>
    <mergeCell ref="H39:I39"/>
    <mergeCell ref="H40:I40"/>
    <mergeCell ref="H41:I41"/>
    <mergeCell ref="H43:I43"/>
  </mergeCells>
  <phoneticPr fontId="8" type="noConversion"/>
  <pageMargins left="0.5" right="0.5" top="0.5" bottom="0.4" header="0.26" footer="0.2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Invoices indexed by Contractor</vt:lpstr>
      <vt:lpstr>Invoices indexed by date</vt:lpstr>
      <vt:lpstr>Invoices indexed by Category</vt:lpstr>
      <vt:lpstr>UBI Cost Review</vt:lpstr>
      <vt:lpstr>Instructions</vt:lpstr>
      <vt:lpstr>IndyMac Line Item Cost</vt:lpstr>
      <vt:lpstr>'IndyMac Line Item Cost'!Print_Area</vt:lpstr>
      <vt:lpstr>Instructions!Print_Area</vt:lpstr>
      <vt:lpstr>'Invoices indexed by Category'!Print_Area</vt:lpstr>
      <vt:lpstr>'UBI Cost Review'!Print_Area</vt:lpstr>
      <vt:lpstr>'UBI Cost Review'!Print_Titles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Taylor</dc:creator>
  <cp:keywords/>
  <dc:description/>
  <cp:lastModifiedBy>Miguel Angulo</cp:lastModifiedBy>
  <cp:revision/>
  <dcterms:created xsi:type="dcterms:W3CDTF">2004-06-16T23:17:24Z</dcterms:created>
  <dcterms:modified xsi:type="dcterms:W3CDTF">2015-10-06T03:10:40Z</dcterms:modified>
</cp:coreProperties>
</file>