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6" windowWidth="11916" windowHeight="5616"/>
  </bookViews>
  <sheets>
    <sheet name="1.RSP Districts " sheetId="2" r:id="rId1"/>
    <sheet name="2. Overall com progres Jun 11" sheetId="5" r:id="rId2"/>
    <sheet name="Figs for ppt" sheetId="3" state="hidden" r:id="rId3"/>
    <sheet name="Overall commulative progres (2)" sheetId="4" state="hidden" r:id="rId4"/>
    <sheet name="3. Top 10" sheetId="7" state="hidden" r:id="rId5"/>
    <sheet name="Graphs for presentation" sheetId="8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'1.RSP Districts '!$P$2:$P$222</definedName>
    <definedName name="_xlnm._FilterDatabase" localSheetId="1" hidden="1">'2. Overall com progres Jun 11'!#REF!</definedName>
    <definedName name="_xlnm._FilterDatabase" localSheetId="3" hidden="1">'Overall commulative progres (2)'!#REF!</definedName>
    <definedName name="_xlnm.Print_Area" localSheetId="0">'1.RSP Districts '!$A$1:$P$221</definedName>
    <definedName name="_xlnm.Print_Area" localSheetId="1">'2. Overall com progres Jun 11'!$A$1:$M$61</definedName>
    <definedName name="_xlnm.Print_Area" localSheetId="3">'Overall commulative progres (2)'!$A$1:$D$52</definedName>
    <definedName name="_xlnm.Print_Titles" localSheetId="0">'1.RSP Districts '!$1:$3</definedName>
    <definedName name="_xlnm.Print_Titles" localSheetId="1">'2. Overall com progres Jun 11'!$1:$3</definedName>
    <definedName name="_xlnm.Print_Titles" localSheetId="3">'Overall commulative progres (2)'!$1:$3</definedName>
  </definedNames>
  <calcPr calcId="144525"/>
</workbook>
</file>

<file path=xl/calcChain.xml><?xml version="1.0" encoding="utf-8"?>
<calcChain xmlns="http://schemas.openxmlformats.org/spreadsheetml/2006/main">
  <c r="B3" i="8" l="1"/>
  <c r="C3" i="8"/>
  <c r="F59" i="5"/>
  <c r="F56" i="5"/>
  <c r="F53" i="5"/>
  <c r="F45" i="5"/>
  <c r="F42" i="5"/>
  <c r="F30" i="5"/>
  <c r="F27" i="5"/>
  <c r="F20" i="5"/>
  <c r="F17" i="5"/>
  <c r="F14" i="5"/>
  <c r="F11" i="5"/>
  <c r="G7" i="5" l="1"/>
  <c r="D24" i="5"/>
  <c r="C24" i="5"/>
  <c r="E24" i="5" l="1"/>
  <c r="E16" i="5" l="1"/>
  <c r="E15" i="5"/>
  <c r="M15" i="5"/>
  <c r="M4" i="5"/>
  <c r="G192" i="2" l="1"/>
  <c r="G190" i="2"/>
  <c r="G189" i="2"/>
  <c r="G188" i="2"/>
  <c r="G187" i="2"/>
  <c r="G186" i="2"/>
  <c r="G185" i="2"/>
  <c r="G184" i="2"/>
  <c r="G183" i="2"/>
  <c r="G181" i="2"/>
  <c r="G180" i="2"/>
  <c r="G85" i="2"/>
  <c r="F85" i="2"/>
  <c r="G73" i="2"/>
  <c r="G61" i="2"/>
  <c r="G54" i="2"/>
  <c r="G53" i="2"/>
  <c r="G44" i="2"/>
  <c r="G39" i="2"/>
  <c r="G37" i="2"/>
  <c r="G36" i="2"/>
  <c r="G31" i="2"/>
  <c r="G30" i="2"/>
  <c r="G29" i="2"/>
  <c r="G25" i="2"/>
  <c r="G23" i="2"/>
  <c r="G16" i="2"/>
  <c r="G14" i="2"/>
  <c r="G13" i="2"/>
  <c r="G11" i="2"/>
  <c r="L59" i="5"/>
  <c r="K59" i="5"/>
  <c r="J59" i="5"/>
  <c r="I59" i="5"/>
  <c r="H59" i="5"/>
  <c r="G59" i="5"/>
  <c r="E59" i="5"/>
  <c r="D59" i="5"/>
  <c r="C59" i="5"/>
  <c r="L56" i="5"/>
  <c r="K56" i="5"/>
  <c r="J56" i="5"/>
  <c r="I56" i="5"/>
  <c r="H56" i="5"/>
  <c r="G56" i="5"/>
  <c r="E56" i="5"/>
  <c r="D56" i="5"/>
  <c r="C56" i="5"/>
  <c r="L53" i="5"/>
  <c r="K53" i="5"/>
  <c r="J53" i="5"/>
  <c r="I53" i="5"/>
  <c r="H53" i="5"/>
  <c r="G53" i="5"/>
  <c r="E53" i="5"/>
  <c r="D53" i="5"/>
  <c r="C53" i="5"/>
  <c r="L45" i="5"/>
  <c r="K45" i="5"/>
  <c r="J45" i="5"/>
  <c r="I45" i="5"/>
  <c r="H45" i="5"/>
  <c r="G45" i="5"/>
  <c r="E45" i="5"/>
  <c r="D45" i="5"/>
  <c r="C45" i="5"/>
  <c r="L42" i="5"/>
  <c r="K42" i="5"/>
  <c r="J42" i="5"/>
  <c r="I42" i="5"/>
  <c r="H42" i="5"/>
  <c r="G42" i="5"/>
  <c r="E42" i="5"/>
  <c r="D42" i="5"/>
  <c r="C42" i="5"/>
  <c r="L30" i="5"/>
  <c r="K30" i="5"/>
  <c r="J30" i="5"/>
  <c r="I30" i="5"/>
  <c r="H30" i="5"/>
  <c r="G30" i="5"/>
  <c r="E30" i="5"/>
  <c r="D30" i="5"/>
  <c r="C30" i="5"/>
  <c r="L27" i="5"/>
  <c r="K27" i="5"/>
  <c r="J27" i="5"/>
  <c r="I27" i="5"/>
  <c r="H27" i="5"/>
  <c r="G27" i="5"/>
  <c r="E27" i="5"/>
  <c r="D27" i="5"/>
  <c r="C27" i="5"/>
  <c r="L20" i="5"/>
  <c r="K20" i="5"/>
  <c r="J20" i="5"/>
  <c r="I20" i="5"/>
  <c r="H20" i="5"/>
  <c r="G20" i="5"/>
  <c r="E20" i="5"/>
  <c r="D20" i="5"/>
  <c r="C20" i="5"/>
  <c r="L17" i="5"/>
  <c r="K17" i="5"/>
  <c r="J17" i="5"/>
  <c r="I17" i="5"/>
  <c r="H17" i="5"/>
  <c r="G17" i="5"/>
  <c r="E17" i="5"/>
  <c r="D17" i="5"/>
  <c r="C17" i="5"/>
  <c r="L14" i="5"/>
  <c r="K14" i="5"/>
  <c r="J14" i="5"/>
  <c r="I14" i="5"/>
  <c r="H14" i="5"/>
  <c r="G14" i="5"/>
  <c r="E14" i="5"/>
  <c r="D14" i="5"/>
  <c r="C14" i="5"/>
  <c r="L11" i="5"/>
  <c r="K11" i="5"/>
  <c r="J11" i="5"/>
  <c r="I11" i="5"/>
  <c r="H11" i="5"/>
  <c r="G11" i="5"/>
  <c r="E11" i="5"/>
  <c r="D11" i="5"/>
  <c r="C11" i="5"/>
  <c r="C167" i="2" l="1"/>
  <c r="A149" i="2"/>
  <c r="H149" i="2"/>
  <c r="D149" i="2"/>
  <c r="C149" i="2"/>
  <c r="N50" i="2"/>
  <c r="O50" i="2" s="1"/>
  <c r="J50" i="2"/>
  <c r="E50" i="2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N170" i="2"/>
  <c r="O170" i="2" s="1"/>
  <c r="J176" i="2"/>
  <c r="J175" i="2"/>
  <c r="J174" i="2"/>
  <c r="J173" i="2"/>
  <c r="J172" i="2"/>
  <c r="J171" i="2"/>
  <c r="J170" i="2"/>
  <c r="E176" i="2"/>
  <c r="E175" i="2"/>
  <c r="E174" i="2"/>
  <c r="E173" i="2"/>
  <c r="E172" i="2"/>
  <c r="E171" i="2"/>
  <c r="G171" i="2" s="1"/>
  <c r="E170" i="2"/>
  <c r="N38" i="2"/>
  <c r="N35" i="2"/>
  <c r="N34" i="2"/>
  <c r="N33" i="2"/>
  <c r="N28" i="2"/>
  <c r="N27" i="2"/>
  <c r="N24" i="2"/>
  <c r="N22" i="2"/>
  <c r="N21" i="2"/>
  <c r="N19" i="2"/>
  <c r="N18" i="2"/>
  <c r="O18" i="2" s="1"/>
  <c r="N17" i="2"/>
  <c r="N12" i="2"/>
  <c r="J38" i="2"/>
  <c r="J35" i="2"/>
  <c r="J34" i="2"/>
  <c r="J33" i="2"/>
  <c r="J28" i="2"/>
  <c r="J27" i="2"/>
  <c r="J24" i="2"/>
  <c r="J22" i="2"/>
  <c r="J21" i="2"/>
  <c r="J19" i="2"/>
  <c r="J18" i="2"/>
  <c r="J17" i="2"/>
  <c r="J12" i="2"/>
  <c r="E38" i="2"/>
  <c r="E35" i="2"/>
  <c r="E34" i="2"/>
  <c r="G34" i="2" s="1"/>
  <c r="E33" i="2"/>
  <c r="E28" i="2"/>
  <c r="E27" i="2"/>
  <c r="G27" i="2" s="1"/>
  <c r="E24" i="2"/>
  <c r="E22" i="2"/>
  <c r="E21" i="2"/>
  <c r="E19" i="2"/>
  <c r="E18" i="2"/>
  <c r="E17" i="2"/>
  <c r="E12" i="2"/>
  <c r="O103" i="2"/>
  <c r="O69" i="2"/>
  <c r="O56" i="2"/>
  <c r="N94" i="2"/>
  <c r="O94" i="2" s="1"/>
  <c r="N93" i="2"/>
  <c r="O93" i="2" s="1"/>
  <c r="N91" i="2"/>
  <c r="O91" i="2" s="1"/>
  <c r="N89" i="2"/>
  <c r="O89" i="2" s="1"/>
  <c r="N86" i="2"/>
  <c r="O86" i="2" s="1"/>
  <c r="N85" i="2"/>
  <c r="O85" i="2" s="1"/>
  <c r="N84" i="2"/>
  <c r="O84" i="2" s="1"/>
  <c r="N81" i="2"/>
  <c r="O81" i="2" s="1"/>
  <c r="N79" i="2"/>
  <c r="O79" i="2" s="1"/>
  <c r="J94" i="2"/>
  <c r="J93" i="2"/>
  <c r="J91" i="2"/>
  <c r="J89" i="2"/>
  <c r="J86" i="2"/>
  <c r="J85" i="2"/>
  <c r="J84" i="2"/>
  <c r="J81" i="2"/>
  <c r="J79" i="2"/>
  <c r="E94" i="2"/>
  <c r="E93" i="2"/>
  <c r="E91" i="2"/>
  <c r="E89" i="2"/>
  <c r="E86" i="2"/>
  <c r="E84" i="2"/>
  <c r="E81" i="2"/>
  <c r="E79" i="2"/>
  <c r="G84" i="2" l="1"/>
  <c r="F84" i="2"/>
  <c r="G93" i="2"/>
  <c r="F93" i="2"/>
  <c r="L86" i="2"/>
  <c r="K86" i="2"/>
  <c r="G79" i="2"/>
  <c r="F79" i="2"/>
  <c r="G89" i="2"/>
  <c r="F89" i="2"/>
  <c r="L79" i="2"/>
  <c r="K79" i="2"/>
  <c r="L84" i="2"/>
  <c r="K84" i="2"/>
  <c r="L91" i="2"/>
  <c r="K91" i="2"/>
  <c r="L94" i="2"/>
  <c r="K94" i="2"/>
  <c r="G81" i="2"/>
  <c r="F81" i="2"/>
  <c r="G86" i="2"/>
  <c r="F86" i="2"/>
  <c r="G91" i="2"/>
  <c r="F91" i="2"/>
  <c r="G94" i="2"/>
  <c r="F94" i="2"/>
  <c r="L81" i="2"/>
  <c r="K81" i="2"/>
  <c r="L85" i="2"/>
  <c r="K85" i="2"/>
  <c r="L89" i="2"/>
  <c r="K89" i="2"/>
  <c r="L93" i="2"/>
  <c r="K93" i="2"/>
  <c r="K56" i="2"/>
  <c r="L56" i="2"/>
  <c r="L103" i="2"/>
  <c r="K103" i="2"/>
  <c r="L174" i="2"/>
  <c r="K174" i="2"/>
  <c r="K69" i="2"/>
  <c r="L69" i="2"/>
  <c r="L173" i="2"/>
  <c r="K173" i="2"/>
  <c r="L175" i="2"/>
  <c r="K175" i="2"/>
  <c r="K50" i="2"/>
  <c r="L50" i="2"/>
  <c r="J200" i="2"/>
  <c r="L170" i="2"/>
  <c r="K170" i="2"/>
  <c r="L172" i="2"/>
  <c r="K172" i="2"/>
  <c r="L176" i="2"/>
  <c r="K176" i="2"/>
  <c r="N200" i="2"/>
  <c r="F56" i="2"/>
  <c r="G56" i="2"/>
  <c r="G103" i="2"/>
  <c r="F103" i="2"/>
  <c r="F170" i="2"/>
  <c r="G170" i="2"/>
  <c r="G172" i="2"/>
  <c r="F172" i="2"/>
  <c r="G174" i="2"/>
  <c r="F174" i="2"/>
  <c r="G176" i="2"/>
  <c r="F176" i="2"/>
  <c r="G69" i="2"/>
  <c r="F69" i="2"/>
  <c r="E200" i="2"/>
  <c r="G173" i="2"/>
  <c r="F173" i="2"/>
  <c r="G175" i="2"/>
  <c r="F175" i="2"/>
  <c r="F50" i="2"/>
  <c r="G50" i="2"/>
  <c r="G12" i="2"/>
  <c r="F12" i="2"/>
  <c r="G18" i="2"/>
  <c r="F18" i="2"/>
  <c r="G21" i="2"/>
  <c r="F21" i="2"/>
  <c r="F24" i="2"/>
  <c r="G24" i="2"/>
  <c r="G28" i="2"/>
  <c r="F28" i="2"/>
  <c r="G38" i="2"/>
  <c r="F38" i="2"/>
  <c r="L17" i="2"/>
  <c r="K17" i="2"/>
  <c r="L19" i="2"/>
  <c r="K19" i="2"/>
  <c r="L22" i="2"/>
  <c r="K22" i="2"/>
  <c r="L33" i="2"/>
  <c r="K33" i="2"/>
  <c r="L35" i="2"/>
  <c r="K35" i="2"/>
  <c r="F17" i="2"/>
  <c r="G17" i="2"/>
  <c r="F19" i="2"/>
  <c r="G19" i="2"/>
  <c r="F22" i="2"/>
  <c r="G22" i="2"/>
  <c r="F33" i="2"/>
  <c r="G33" i="2"/>
  <c r="G35" i="2"/>
  <c r="F35" i="2"/>
  <c r="L12" i="2"/>
  <c r="K12" i="2"/>
  <c r="L18" i="2"/>
  <c r="K18" i="2"/>
  <c r="L21" i="2"/>
  <c r="K21" i="2"/>
  <c r="L24" i="2"/>
  <c r="K24" i="2"/>
  <c r="L28" i="2"/>
  <c r="K28" i="2"/>
  <c r="L38" i="2"/>
  <c r="K38" i="2"/>
  <c r="N202" i="2"/>
  <c r="E202" i="2"/>
  <c r="J202" i="2"/>
  <c r="E201" i="2"/>
  <c r="J201" i="2"/>
  <c r="N201" i="2"/>
  <c r="N146" i="2" l="1"/>
  <c r="O146" i="2" s="1"/>
  <c r="N145" i="2"/>
  <c r="O145" i="2" s="1"/>
  <c r="N144" i="2"/>
  <c r="O144" i="2" s="1"/>
  <c r="N143" i="2"/>
  <c r="O143" i="2" s="1"/>
  <c r="N141" i="2"/>
  <c r="O141" i="2" s="1"/>
  <c r="N139" i="2"/>
  <c r="O139" i="2" s="1"/>
  <c r="N135" i="2"/>
  <c r="N134" i="2"/>
  <c r="O134" i="2" s="1"/>
  <c r="N133" i="2"/>
  <c r="O133" i="2" s="1"/>
  <c r="N132" i="2"/>
  <c r="N130" i="2"/>
  <c r="O130" i="2" s="1"/>
  <c r="N128" i="2"/>
  <c r="O128" i="2" s="1"/>
  <c r="N126" i="2"/>
  <c r="O126" i="2" s="1"/>
  <c r="N125" i="2"/>
  <c r="N123" i="2"/>
  <c r="O123" i="2" s="1"/>
  <c r="N122" i="2"/>
  <c r="O122" i="2" s="1"/>
  <c r="N119" i="2"/>
  <c r="O119" i="2" s="1"/>
  <c r="N118" i="2"/>
  <c r="O118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J146" i="2"/>
  <c r="J145" i="2"/>
  <c r="J144" i="2"/>
  <c r="J143" i="2"/>
  <c r="J141" i="2"/>
  <c r="J139" i="2"/>
  <c r="J135" i="2"/>
  <c r="J134" i="2"/>
  <c r="J133" i="2"/>
  <c r="J132" i="2"/>
  <c r="L132" i="2" s="1"/>
  <c r="J130" i="2"/>
  <c r="J128" i="2"/>
  <c r="J126" i="2"/>
  <c r="J125" i="2"/>
  <c r="L125" i="2" s="1"/>
  <c r="J123" i="2"/>
  <c r="J122" i="2"/>
  <c r="J119" i="2"/>
  <c r="J118" i="2"/>
  <c r="J116" i="2"/>
  <c r="J115" i="2"/>
  <c r="J114" i="2"/>
  <c r="J113" i="2"/>
  <c r="J112" i="2"/>
  <c r="J111" i="2"/>
  <c r="N109" i="2"/>
  <c r="J109" i="2"/>
  <c r="E146" i="2"/>
  <c r="E145" i="2"/>
  <c r="E144" i="2"/>
  <c r="E143" i="2"/>
  <c r="E141" i="2"/>
  <c r="E139" i="2"/>
  <c r="E135" i="2"/>
  <c r="E134" i="2"/>
  <c r="E133" i="2"/>
  <c r="E132" i="2"/>
  <c r="G132" i="2" s="1"/>
  <c r="E130" i="2"/>
  <c r="E128" i="2"/>
  <c r="E126" i="2"/>
  <c r="E125" i="2"/>
  <c r="G125" i="2" s="1"/>
  <c r="E123" i="2"/>
  <c r="E122" i="2"/>
  <c r="E119" i="2"/>
  <c r="E118" i="2"/>
  <c r="E116" i="2"/>
  <c r="E115" i="2"/>
  <c r="E114" i="2"/>
  <c r="E113" i="2"/>
  <c r="E112" i="2"/>
  <c r="E111" i="2"/>
  <c r="E109" i="2"/>
  <c r="G109" i="2" s="1"/>
  <c r="N92" i="2"/>
  <c r="J92" i="2"/>
  <c r="E92" i="2"/>
  <c r="N191" i="2"/>
  <c r="N182" i="2"/>
  <c r="N72" i="2"/>
  <c r="N68" i="2"/>
  <c r="N67" i="2"/>
  <c r="N66" i="2"/>
  <c r="N65" i="2"/>
  <c r="N63" i="2"/>
  <c r="N60" i="2"/>
  <c r="N59" i="2"/>
  <c r="N58" i="2"/>
  <c r="N57" i="2"/>
  <c r="N55" i="2"/>
  <c r="N52" i="2"/>
  <c r="N51" i="2"/>
  <c r="N49" i="2"/>
  <c r="N47" i="2"/>
  <c r="O47" i="2" s="1"/>
  <c r="N45" i="2"/>
  <c r="N43" i="2"/>
  <c r="J191" i="2"/>
  <c r="J182" i="2"/>
  <c r="J72" i="2"/>
  <c r="J68" i="2"/>
  <c r="J67" i="2"/>
  <c r="J66" i="2"/>
  <c r="J65" i="2"/>
  <c r="J63" i="2"/>
  <c r="J60" i="2"/>
  <c r="J59" i="2"/>
  <c r="J58" i="2"/>
  <c r="J57" i="2"/>
  <c r="J55" i="2"/>
  <c r="J52" i="2"/>
  <c r="J51" i="2"/>
  <c r="J49" i="2"/>
  <c r="J47" i="2"/>
  <c r="J45" i="2"/>
  <c r="J43" i="2"/>
  <c r="E191" i="2"/>
  <c r="E182" i="2"/>
  <c r="E72" i="2"/>
  <c r="E68" i="2"/>
  <c r="E67" i="2"/>
  <c r="E66" i="2"/>
  <c r="E65" i="2"/>
  <c r="E63" i="2"/>
  <c r="E60" i="2"/>
  <c r="E59" i="2"/>
  <c r="E58" i="2"/>
  <c r="E57" i="2"/>
  <c r="E55" i="2"/>
  <c r="E52" i="2"/>
  <c r="E51" i="2"/>
  <c r="E49" i="2"/>
  <c r="E47" i="2"/>
  <c r="E45" i="2"/>
  <c r="E43" i="2"/>
  <c r="G45" i="2" l="1"/>
  <c r="F45" i="2"/>
  <c r="G52" i="2"/>
  <c r="F52" i="2"/>
  <c r="G59" i="2"/>
  <c r="F59" i="2"/>
  <c r="F63" i="2"/>
  <c r="G63" i="2"/>
  <c r="F68" i="2"/>
  <c r="G68" i="2"/>
  <c r="L43" i="2"/>
  <c r="K43" i="2"/>
  <c r="L47" i="2"/>
  <c r="K47" i="2"/>
  <c r="L55" i="2"/>
  <c r="K55" i="2"/>
  <c r="L60" i="2"/>
  <c r="K60" i="2"/>
  <c r="L67" i="2"/>
  <c r="K67" i="2"/>
  <c r="L191" i="2"/>
  <c r="K191" i="2"/>
  <c r="F43" i="2"/>
  <c r="G43" i="2"/>
  <c r="G47" i="2"/>
  <c r="F47" i="2"/>
  <c r="G51" i="2"/>
  <c r="F51" i="2"/>
  <c r="G55" i="2"/>
  <c r="F55" i="2"/>
  <c r="G58" i="2"/>
  <c r="F58" i="2"/>
  <c r="G60" i="2"/>
  <c r="F60" i="2"/>
  <c r="F65" i="2"/>
  <c r="G65" i="2"/>
  <c r="F67" i="2"/>
  <c r="G67" i="2"/>
  <c r="F72" i="2"/>
  <c r="G72" i="2"/>
  <c r="G191" i="2"/>
  <c r="F191" i="2"/>
  <c r="L45" i="2"/>
  <c r="K45" i="2"/>
  <c r="L49" i="2"/>
  <c r="K49" i="2"/>
  <c r="L52" i="2"/>
  <c r="K52" i="2"/>
  <c r="L57" i="2"/>
  <c r="K57" i="2"/>
  <c r="L59" i="2"/>
  <c r="K59" i="2"/>
  <c r="L63" i="2"/>
  <c r="K63" i="2"/>
  <c r="L66" i="2"/>
  <c r="K66" i="2"/>
  <c r="L68" i="2"/>
  <c r="K68" i="2"/>
  <c r="L182" i="2"/>
  <c r="K182" i="2"/>
  <c r="J205" i="2"/>
  <c r="L92" i="2"/>
  <c r="K92" i="2"/>
  <c r="G49" i="2"/>
  <c r="F49" i="2"/>
  <c r="G57" i="2"/>
  <c r="F57" i="2"/>
  <c r="F66" i="2"/>
  <c r="G66" i="2"/>
  <c r="E193" i="2"/>
  <c r="G182" i="2"/>
  <c r="F182" i="2"/>
  <c r="L51" i="2"/>
  <c r="K51" i="2"/>
  <c r="L58" i="2"/>
  <c r="K58" i="2"/>
  <c r="L65" i="2"/>
  <c r="K65" i="2"/>
  <c r="L72" i="2"/>
  <c r="K72" i="2"/>
  <c r="N193" i="2"/>
  <c r="N220" i="2" s="1"/>
  <c r="E205" i="2"/>
  <c r="G92" i="2"/>
  <c r="F92" i="2"/>
  <c r="N205" i="2"/>
  <c r="O92" i="2"/>
  <c r="G111" i="2"/>
  <c r="F111" i="2"/>
  <c r="G113" i="2"/>
  <c r="F113" i="2"/>
  <c r="G115" i="2"/>
  <c r="F115" i="2"/>
  <c r="F118" i="2"/>
  <c r="G118" i="2"/>
  <c r="G122" i="2"/>
  <c r="F122" i="2"/>
  <c r="G128" i="2"/>
  <c r="F128" i="2"/>
  <c r="F134" i="2"/>
  <c r="G134" i="2"/>
  <c r="F139" i="2"/>
  <c r="G139" i="2"/>
  <c r="F143" i="2"/>
  <c r="G143" i="2"/>
  <c r="F145" i="2"/>
  <c r="G145" i="2"/>
  <c r="K111" i="2"/>
  <c r="L111" i="2"/>
  <c r="K113" i="2"/>
  <c r="L113" i="2"/>
  <c r="K115" i="2"/>
  <c r="L115" i="2"/>
  <c r="K118" i="2"/>
  <c r="L118" i="2"/>
  <c r="K122" i="2"/>
  <c r="L122" i="2"/>
  <c r="L128" i="2"/>
  <c r="K128" i="2"/>
  <c r="L134" i="2"/>
  <c r="K134" i="2"/>
  <c r="L139" i="2"/>
  <c r="K139" i="2"/>
  <c r="L143" i="2"/>
  <c r="K143" i="2"/>
  <c r="L145" i="2"/>
  <c r="K145" i="2"/>
  <c r="J204" i="2"/>
  <c r="F112" i="2"/>
  <c r="G112" i="2"/>
  <c r="F114" i="2"/>
  <c r="G114" i="2"/>
  <c r="F116" i="2"/>
  <c r="G116" i="2"/>
  <c r="F119" i="2"/>
  <c r="G119" i="2"/>
  <c r="F123" i="2"/>
  <c r="G123" i="2"/>
  <c r="G126" i="2"/>
  <c r="F126" i="2"/>
  <c r="G130" i="2"/>
  <c r="F130" i="2"/>
  <c r="F133" i="2"/>
  <c r="G133" i="2"/>
  <c r="F135" i="2"/>
  <c r="G135" i="2"/>
  <c r="F141" i="2"/>
  <c r="G141" i="2"/>
  <c r="F144" i="2"/>
  <c r="G144" i="2"/>
  <c r="F146" i="2"/>
  <c r="G146" i="2"/>
  <c r="N204" i="2"/>
  <c r="K112" i="2"/>
  <c r="L112" i="2"/>
  <c r="K114" i="2"/>
  <c r="L114" i="2"/>
  <c r="K116" i="2"/>
  <c r="L116" i="2"/>
  <c r="K119" i="2"/>
  <c r="L119" i="2"/>
  <c r="K123" i="2"/>
  <c r="L123" i="2"/>
  <c r="L126" i="2"/>
  <c r="K126" i="2"/>
  <c r="L130" i="2"/>
  <c r="K130" i="2"/>
  <c r="L133" i="2"/>
  <c r="K133" i="2"/>
  <c r="L135" i="2"/>
  <c r="K135" i="2"/>
  <c r="L141" i="2"/>
  <c r="K141" i="2"/>
  <c r="L144" i="2"/>
  <c r="K144" i="2"/>
  <c r="L146" i="2"/>
  <c r="K146" i="2"/>
  <c r="E220" i="2"/>
  <c r="C22" i="8" s="1"/>
  <c r="E204" i="2"/>
  <c r="E207" i="2"/>
  <c r="J193" i="2"/>
  <c r="N207" i="2"/>
  <c r="J207" i="2"/>
  <c r="N165" i="2"/>
  <c r="O165" i="2" s="1"/>
  <c r="N163" i="2"/>
  <c r="O163" i="2" s="1"/>
  <c r="N161" i="2"/>
  <c r="O161" i="2" s="1"/>
  <c r="N159" i="2"/>
  <c r="O159" i="2" s="1"/>
  <c r="N157" i="2"/>
  <c r="O157" i="2" s="1"/>
  <c r="N155" i="2"/>
  <c r="O155" i="2" s="1"/>
  <c r="N153" i="2"/>
  <c r="O153" i="2" s="1"/>
  <c r="J165" i="2"/>
  <c r="J163" i="2"/>
  <c r="J161" i="2"/>
  <c r="J159" i="2"/>
  <c r="J157" i="2"/>
  <c r="J155" i="2"/>
  <c r="J153" i="2"/>
  <c r="E165" i="2"/>
  <c r="E163" i="2"/>
  <c r="E161" i="2"/>
  <c r="E159" i="2"/>
  <c r="E157" i="2"/>
  <c r="E155" i="2"/>
  <c r="E153" i="2"/>
  <c r="G159" i="2" l="1"/>
  <c r="F159" i="2"/>
  <c r="G163" i="2"/>
  <c r="F163" i="2"/>
  <c r="L157" i="2"/>
  <c r="K157" i="2"/>
  <c r="L161" i="2"/>
  <c r="K161" i="2"/>
  <c r="G153" i="2"/>
  <c r="F153" i="2"/>
  <c r="G157" i="2"/>
  <c r="F157" i="2"/>
  <c r="G161" i="2"/>
  <c r="F161" i="2"/>
  <c r="G165" i="2"/>
  <c r="F165" i="2"/>
  <c r="L155" i="2"/>
  <c r="K155" i="2"/>
  <c r="L159" i="2"/>
  <c r="K159" i="2"/>
  <c r="L163" i="2"/>
  <c r="K163" i="2"/>
  <c r="G155" i="2"/>
  <c r="F155" i="2"/>
  <c r="L153" i="2"/>
  <c r="K153" i="2"/>
  <c r="L165" i="2"/>
  <c r="K165" i="2"/>
  <c r="J220" i="2"/>
  <c r="D34" i="8" s="1"/>
  <c r="N206" i="2"/>
  <c r="J206" i="2"/>
  <c r="E206" i="2"/>
  <c r="N99" i="2" l="1"/>
  <c r="O99" i="2" s="1"/>
  <c r="N97" i="2"/>
  <c r="O97" i="2" s="1"/>
  <c r="N82" i="2"/>
  <c r="O82" i="2" s="1"/>
  <c r="N78" i="2"/>
  <c r="J99" i="2"/>
  <c r="J97" i="2"/>
  <c r="J82" i="2"/>
  <c r="J78" i="2"/>
  <c r="E82" i="2"/>
  <c r="E99" i="2"/>
  <c r="E97" i="2"/>
  <c r="E78" i="2"/>
  <c r="E208" i="2" l="1"/>
  <c r="G78" i="2"/>
  <c r="F78" i="2"/>
  <c r="G99" i="2"/>
  <c r="F99" i="2"/>
  <c r="J208" i="2"/>
  <c r="L78" i="2"/>
  <c r="K78" i="2"/>
  <c r="L97" i="2"/>
  <c r="K97" i="2"/>
  <c r="N208" i="2"/>
  <c r="O78" i="2"/>
  <c r="G97" i="2"/>
  <c r="F97" i="2"/>
  <c r="G82" i="2"/>
  <c r="F82" i="2"/>
  <c r="L82" i="2"/>
  <c r="K82" i="2"/>
  <c r="L99" i="2"/>
  <c r="K99" i="2"/>
  <c r="N199" i="2"/>
  <c r="J199" i="2"/>
  <c r="E199" i="2"/>
  <c r="M58" i="5" l="1"/>
  <c r="M57" i="5"/>
  <c r="M59" i="5" s="1"/>
  <c r="M55" i="5"/>
  <c r="M54" i="5"/>
  <c r="M56" i="5" s="1"/>
  <c r="M52" i="5"/>
  <c r="M51" i="5"/>
  <c r="M50" i="5"/>
  <c r="M49" i="5"/>
  <c r="O49" i="5" s="1"/>
  <c r="M48" i="5"/>
  <c r="N48" i="5" s="1"/>
  <c r="M47" i="5"/>
  <c r="M46" i="5"/>
  <c r="M44" i="5"/>
  <c r="M43" i="5"/>
  <c r="N43" i="5" s="1"/>
  <c r="M41" i="5"/>
  <c r="M40" i="5"/>
  <c r="M39" i="5"/>
  <c r="M38" i="5"/>
  <c r="M37" i="5"/>
  <c r="M36" i="5"/>
  <c r="M35" i="5"/>
  <c r="M34" i="5"/>
  <c r="M33" i="5"/>
  <c r="M32" i="5"/>
  <c r="M31" i="5"/>
  <c r="M29" i="5"/>
  <c r="M28" i="5"/>
  <c r="M26" i="5"/>
  <c r="M25" i="5"/>
  <c r="M24" i="5"/>
  <c r="O24" i="5" s="1"/>
  <c r="M23" i="5"/>
  <c r="M22" i="5"/>
  <c r="M21" i="5"/>
  <c r="M19" i="5"/>
  <c r="M18" i="5"/>
  <c r="M16" i="5"/>
  <c r="M17" i="5" s="1"/>
  <c r="M13" i="5"/>
  <c r="M12" i="5"/>
  <c r="M10" i="5"/>
  <c r="M9" i="5"/>
  <c r="M7" i="5"/>
  <c r="N166" i="2"/>
  <c r="O166" i="2" s="1"/>
  <c r="N164" i="2"/>
  <c r="O164" i="2" s="1"/>
  <c r="N162" i="2"/>
  <c r="O162" i="2" s="1"/>
  <c r="N160" i="2"/>
  <c r="O160" i="2" s="1"/>
  <c r="N158" i="2"/>
  <c r="O158" i="2" s="1"/>
  <c r="N156" i="2"/>
  <c r="O156" i="2" s="1"/>
  <c r="N154" i="2"/>
  <c r="O154" i="2" s="1"/>
  <c r="N152" i="2"/>
  <c r="O152" i="2" s="1"/>
  <c r="N148" i="2"/>
  <c r="O148" i="2" s="1"/>
  <c r="N147" i="2"/>
  <c r="O147" i="2" s="1"/>
  <c r="N142" i="2"/>
  <c r="O142" i="2" s="1"/>
  <c r="N140" i="2"/>
  <c r="O140" i="2" s="1"/>
  <c r="N138" i="2"/>
  <c r="O138" i="2" s="1"/>
  <c r="N137" i="2"/>
  <c r="O137" i="2" s="1"/>
  <c r="N136" i="2"/>
  <c r="O136" i="2" s="1"/>
  <c r="N131" i="2"/>
  <c r="N129" i="2"/>
  <c r="O129" i="2" s="1"/>
  <c r="N127" i="2"/>
  <c r="O127" i="2" s="1"/>
  <c r="N124" i="2"/>
  <c r="O124" i="2" s="1"/>
  <c r="N121" i="2"/>
  <c r="O121" i="2" s="1"/>
  <c r="N120" i="2"/>
  <c r="O120" i="2" s="1"/>
  <c r="N117" i="2"/>
  <c r="O117" i="2" s="1"/>
  <c r="N110" i="2"/>
  <c r="O110" i="2" s="1"/>
  <c r="N108" i="2"/>
  <c r="O108" i="2" s="1"/>
  <c r="N107" i="2"/>
  <c r="O107" i="2" s="1"/>
  <c r="N106" i="2"/>
  <c r="O106" i="2" s="1"/>
  <c r="N105" i="2"/>
  <c r="O105" i="2" s="1"/>
  <c r="N104" i="2"/>
  <c r="O104" i="2" s="1"/>
  <c r="N98" i="2"/>
  <c r="O98" i="2" s="1"/>
  <c r="N96" i="2"/>
  <c r="O96" i="2" s="1"/>
  <c r="N95" i="2"/>
  <c r="O95" i="2" s="1"/>
  <c r="N90" i="2"/>
  <c r="O90" i="2" s="1"/>
  <c r="N88" i="2"/>
  <c r="O88" i="2" s="1"/>
  <c r="N87" i="2"/>
  <c r="O87" i="2" s="1"/>
  <c r="N80" i="2"/>
  <c r="O80" i="2" s="1"/>
  <c r="N77" i="2"/>
  <c r="O77" i="2" s="1"/>
  <c r="N71" i="2"/>
  <c r="O71" i="2" s="1"/>
  <c r="N70" i="2"/>
  <c r="O70" i="2" s="1"/>
  <c r="N64" i="2"/>
  <c r="O64" i="2" s="1"/>
  <c r="N62" i="2"/>
  <c r="O62" i="2" s="1"/>
  <c r="N48" i="2"/>
  <c r="O48" i="2" s="1"/>
  <c r="N46" i="2"/>
  <c r="O46" i="2" s="1"/>
  <c r="N32" i="2"/>
  <c r="O32" i="2" s="1"/>
  <c r="N26" i="2"/>
  <c r="N20" i="2"/>
  <c r="O20" i="2" s="1"/>
  <c r="N15" i="2"/>
  <c r="O15" i="2" s="1"/>
  <c r="N10" i="2"/>
  <c r="O10" i="2" s="1"/>
  <c r="N6" i="2"/>
  <c r="O6" i="2" s="1"/>
  <c r="D203" i="2"/>
  <c r="J166" i="2"/>
  <c r="J164" i="2"/>
  <c r="J162" i="2"/>
  <c r="J160" i="2"/>
  <c r="J158" i="2"/>
  <c r="J156" i="2"/>
  <c r="J154" i="2"/>
  <c r="J152" i="2"/>
  <c r="J148" i="2"/>
  <c r="J147" i="2"/>
  <c r="J142" i="2"/>
  <c r="J140" i="2"/>
  <c r="J138" i="2"/>
  <c r="J137" i="2"/>
  <c r="J136" i="2"/>
  <c r="J131" i="2"/>
  <c r="L131" i="2" s="1"/>
  <c r="J129" i="2"/>
  <c r="J127" i="2"/>
  <c r="J124" i="2"/>
  <c r="J121" i="2"/>
  <c r="J120" i="2"/>
  <c r="J117" i="2"/>
  <c r="J110" i="2"/>
  <c r="J108" i="2"/>
  <c r="J107" i="2"/>
  <c r="J106" i="2"/>
  <c r="J105" i="2"/>
  <c r="J104" i="2"/>
  <c r="J98" i="2"/>
  <c r="J96" i="2"/>
  <c r="J95" i="2"/>
  <c r="J90" i="2"/>
  <c r="J88" i="2"/>
  <c r="J87" i="2"/>
  <c r="J80" i="2"/>
  <c r="J77" i="2"/>
  <c r="J71" i="2"/>
  <c r="J70" i="2"/>
  <c r="J64" i="2"/>
  <c r="J62" i="2"/>
  <c r="J48" i="2"/>
  <c r="J46" i="2"/>
  <c r="J32" i="2"/>
  <c r="J26" i="2"/>
  <c r="J20" i="2"/>
  <c r="J15" i="2"/>
  <c r="J10" i="2"/>
  <c r="J6" i="2"/>
  <c r="E6" i="2"/>
  <c r="E148" i="2"/>
  <c r="E166" i="2"/>
  <c r="E164" i="2"/>
  <c r="E162" i="2"/>
  <c r="E160" i="2"/>
  <c r="E158" i="2"/>
  <c r="E156" i="2"/>
  <c r="E154" i="2"/>
  <c r="E152" i="2"/>
  <c r="E147" i="2"/>
  <c r="E142" i="2"/>
  <c r="E140" i="2"/>
  <c r="E138" i="2"/>
  <c r="E137" i="2"/>
  <c r="E136" i="2"/>
  <c r="E131" i="2"/>
  <c r="E129" i="2"/>
  <c r="E127" i="2"/>
  <c r="E124" i="2"/>
  <c r="E121" i="2"/>
  <c r="E120" i="2"/>
  <c r="E117" i="2"/>
  <c r="E110" i="2"/>
  <c r="E108" i="2"/>
  <c r="E107" i="2"/>
  <c r="E106" i="2"/>
  <c r="E105" i="2"/>
  <c r="E104" i="2"/>
  <c r="E98" i="2"/>
  <c r="E96" i="2"/>
  <c r="E95" i="2"/>
  <c r="E90" i="2"/>
  <c r="E88" i="2"/>
  <c r="E87" i="2"/>
  <c r="E80" i="2"/>
  <c r="E77" i="2"/>
  <c r="E71" i="2"/>
  <c r="E70" i="2"/>
  <c r="E64" i="2"/>
  <c r="E62" i="2"/>
  <c r="E48" i="2"/>
  <c r="E46" i="2"/>
  <c r="E32" i="2"/>
  <c r="E26" i="2"/>
  <c r="G26" i="2" s="1"/>
  <c r="E20" i="2"/>
  <c r="E15" i="2"/>
  <c r="E10" i="2"/>
  <c r="M27" i="5" l="1"/>
  <c r="O25" i="5"/>
  <c r="N25" i="5"/>
  <c r="M20" i="5"/>
  <c r="N20" i="5" s="1"/>
  <c r="N18" i="5"/>
  <c r="M30" i="5"/>
  <c r="N30" i="5" s="1"/>
  <c r="N28" i="5"/>
  <c r="M53" i="5"/>
  <c r="N53" i="5"/>
  <c r="N12" i="5"/>
  <c r="M14" i="5"/>
  <c r="N14" i="5" s="1"/>
  <c r="M45" i="5"/>
  <c r="N45" i="5" s="1"/>
  <c r="G15" i="2"/>
  <c r="F15" i="2"/>
  <c r="G46" i="2"/>
  <c r="F46" i="2"/>
  <c r="F70" i="2"/>
  <c r="G70" i="2"/>
  <c r="G87" i="2"/>
  <c r="F87" i="2"/>
  <c r="G90" i="2"/>
  <c r="F90" i="2"/>
  <c r="G104" i="2"/>
  <c r="F104" i="2"/>
  <c r="G108" i="2"/>
  <c r="F108" i="2"/>
  <c r="G137" i="2"/>
  <c r="F137" i="2"/>
  <c r="G147" i="2"/>
  <c r="F147" i="2"/>
  <c r="G158" i="2"/>
  <c r="F158" i="2"/>
  <c r="G166" i="2"/>
  <c r="F166" i="2"/>
  <c r="K10" i="2"/>
  <c r="L10" i="2"/>
  <c r="K32" i="2"/>
  <c r="L32" i="2"/>
  <c r="L64" i="2"/>
  <c r="K64" i="2"/>
  <c r="L88" i="2"/>
  <c r="K88" i="2"/>
  <c r="F10" i="2"/>
  <c r="G10" i="2"/>
  <c r="G32" i="2"/>
  <c r="F32" i="2"/>
  <c r="G48" i="2"/>
  <c r="F48" i="2"/>
  <c r="F64" i="2"/>
  <c r="G64" i="2"/>
  <c r="F71" i="2"/>
  <c r="G71" i="2"/>
  <c r="G80" i="2"/>
  <c r="F80" i="2"/>
  <c r="G88" i="2"/>
  <c r="F88" i="2"/>
  <c r="G95" i="2"/>
  <c r="F95" i="2"/>
  <c r="G98" i="2"/>
  <c r="F98" i="2"/>
  <c r="G105" i="2"/>
  <c r="F105" i="2"/>
  <c r="G107" i="2"/>
  <c r="F107" i="2"/>
  <c r="G136" i="2"/>
  <c r="F136" i="2"/>
  <c r="G138" i="2"/>
  <c r="F138" i="2"/>
  <c r="E167" i="2"/>
  <c r="G152" i="2"/>
  <c r="F152" i="2"/>
  <c r="G156" i="2"/>
  <c r="F156" i="2"/>
  <c r="G160" i="2"/>
  <c r="F160" i="2"/>
  <c r="G164" i="2"/>
  <c r="F164" i="2"/>
  <c r="G148" i="2"/>
  <c r="F148" i="2"/>
  <c r="K6" i="2"/>
  <c r="L6" i="2"/>
  <c r="K15" i="2"/>
  <c r="L15" i="2"/>
  <c r="J74" i="2"/>
  <c r="J215" i="2" s="1"/>
  <c r="D29" i="8" s="1"/>
  <c r="L46" i="2"/>
  <c r="K46" i="2"/>
  <c r="L62" i="2"/>
  <c r="K62" i="2"/>
  <c r="L70" i="2"/>
  <c r="K70" i="2"/>
  <c r="J100" i="2"/>
  <c r="L77" i="2"/>
  <c r="K77" i="2"/>
  <c r="L87" i="2"/>
  <c r="K87" i="2"/>
  <c r="L90" i="2"/>
  <c r="K90" i="2"/>
  <c r="L96" i="2"/>
  <c r="K96" i="2"/>
  <c r="L104" i="2"/>
  <c r="K104" i="2"/>
  <c r="L106" i="2"/>
  <c r="K106" i="2"/>
  <c r="L108" i="2"/>
  <c r="K108" i="2"/>
  <c r="L137" i="2"/>
  <c r="K137" i="2"/>
  <c r="L147" i="2"/>
  <c r="K147" i="2"/>
  <c r="J167" i="2"/>
  <c r="J218" i="2" s="1"/>
  <c r="D32" i="8" s="1"/>
  <c r="L152" i="2"/>
  <c r="K152" i="2"/>
  <c r="L156" i="2"/>
  <c r="K156" i="2"/>
  <c r="L160" i="2"/>
  <c r="K160" i="2"/>
  <c r="L164" i="2"/>
  <c r="K164" i="2"/>
  <c r="F62" i="2"/>
  <c r="G62" i="2"/>
  <c r="G77" i="2"/>
  <c r="F77" i="2"/>
  <c r="G96" i="2"/>
  <c r="F96" i="2"/>
  <c r="G106" i="2"/>
  <c r="F106" i="2"/>
  <c r="G154" i="2"/>
  <c r="F154" i="2"/>
  <c r="G162" i="2"/>
  <c r="F162" i="2"/>
  <c r="G6" i="2"/>
  <c r="F6" i="2"/>
  <c r="L48" i="2"/>
  <c r="K48" i="2"/>
  <c r="L71" i="2"/>
  <c r="K71" i="2"/>
  <c r="L80" i="2"/>
  <c r="K80" i="2"/>
  <c r="L95" i="2"/>
  <c r="K95" i="2"/>
  <c r="L98" i="2"/>
  <c r="K98" i="2"/>
  <c r="L105" i="2"/>
  <c r="K105" i="2"/>
  <c r="L107" i="2"/>
  <c r="K107" i="2"/>
  <c r="L136" i="2"/>
  <c r="K136" i="2"/>
  <c r="L138" i="2"/>
  <c r="K138" i="2"/>
  <c r="L148" i="2"/>
  <c r="K148" i="2"/>
  <c r="L154" i="2"/>
  <c r="K154" i="2"/>
  <c r="L158" i="2"/>
  <c r="K158" i="2"/>
  <c r="L162" i="2"/>
  <c r="K162" i="2"/>
  <c r="L166" i="2"/>
  <c r="K166" i="2"/>
  <c r="M42" i="5"/>
  <c r="N42" i="5" s="1"/>
  <c r="N40" i="2"/>
  <c r="N214" i="2" s="1"/>
  <c r="J216" i="2"/>
  <c r="D30" i="8" s="1"/>
  <c r="G117" i="2"/>
  <c r="F117" i="2"/>
  <c r="G127" i="2"/>
  <c r="F127" i="2"/>
  <c r="G131" i="2"/>
  <c r="F131" i="2"/>
  <c r="K110" i="2"/>
  <c r="L110" i="2"/>
  <c r="K124" i="2"/>
  <c r="L124" i="2"/>
  <c r="L142" i="2"/>
  <c r="K142" i="2"/>
  <c r="F110" i="2"/>
  <c r="G110" i="2"/>
  <c r="F120" i="2"/>
  <c r="G120" i="2"/>
  <c r="F124" i="2"/>
  <c r="G124" i="2"/>
  <c r="G129" i="2"/>
  <c r="F129" i="2"/>
  <c r="F142" i="2"/>
  <c r="G142" i="2"/>
  <c r="K117" i="2"/>
  <c r="L117" i="2"/>
  <c r="K121" i="2"/>
  <c r="L121" i="2"/>
  <c r="L127" i="2"/>
  <c r="K127" i="2"/>
  <c r="L140" i="2"/>
  <c r="K140" i="2"/>
  <c r="J149" i="2"/>
  <c r="F121" i="2"/>
  <c r="G121" i="2"/>
  <c r="F140" i="2"/>
  <c r="G140" i="2"/>
  <c r="K120" i="2"/>
  <c r="L120" i="2"/>
  <c r="L129" i="2"/>
  <c r="K129" i="2"/>
  <c r="E218" i="2"/>
  <c r="C20" i="8" s="1"/>
  <c r="G167" i="2"/>
  <c r="L26" i="2"/>
  <c r="L20" i="2"/>
  <c r="K20" i="2"/>
  <c r="E40" i="2"/>
  <c r="G20" i="2"/>
  <c r="F20" i="2"/>
  <c r="J203" i="2"/>
  <c r="J7" i="2"/>
  <c r="E203" i="2"/>
  <c r="E7" i="2"/>
  <c r="N203" i="2"/>
  <c r="N7" i="2"/>
  <c r="E74" i="2"/>
  <c r="E100" i="2"/>
  <c r="E149" i="2"/>
  <c r="J40" i="2"/>
  <c r="N74" i="2"/>
  <c r="N215" i="2" s="1"/>
  <c r="N100" i="2"/>
  <c r="N149" i="2"/>
  <c r="N217" i="2" s="1"/>
  <c r="N167" i="2"/>
  <c r="M8" i="5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M60" i="2"/>
  <c r="O60" i="2" s="1"/>
  <c r="M191" i="2"/>
  <c r="O191" i="2" s="1"/>
  <c r="M182" i="2"/>
  <c r="O182" i="2" s="1"/>
  <c r="M72" i="2"/>
  <c r="O72" i="2" s="1"/>
  <c r="M68" i="2"/>
  <c r="O68" i="2" s="1"/>
  <c r="M67" i="2"/>
  <c r="O67" i="2" s="1"/>
  <c r="M66" i="2"/>
  <c r="O66" i="2" s="1"/>
  <c r="M65" i="2"/>
  <c r="O65" i="2" s="1"/>
  <c r="M63" i="2"/>
  <c r="O63" i="2" s="1"/>
  <c r="M59" i="2"/>
  <c r="O59" i="2" s="1"/>
  <c r="M58" i="2"/>
  <c r="O58" i="2" s="1"/>
  <c r="M57" i="2"/>
  <c r="O57" i="2" s="1"/>
  <c r="M55" i="2"/>
  <c r="O55" i="2" s="1"/>
  <c r="M52" i="2"/>
  <c r="O52" i="2" s="1"/>
  <c r="M51" i="2"/>
  <c r="O51" i="2" s="1"/>
  <c r="M49" i="2"/>
  <c r="O49" i="2" s="1"/>
  <c r="M45" i="2"/>
  <c r="O45" i="2" s="1"/>
  <c r="M43" i="2"/>
  <c r="O43" i="2" s="1"/>
  <c r="M38" i="2"/>
  <c r="O38" i="2" s="1"/>
  <c r="M12" i="2"/>
  <c r="O12" i="2" s="1"/>
  <c r="M35" i="2"/>
  <c r="O35" i="2" s="1"/>
  <c r="M33" i="2"/>
  <c r="O33" i="2" s="1"/>
  <c r="M28" i="2"/>
  <c r="O28" i="2" s="1"/>
  <c r="M24" i="2"/>
  <c r="O24" i="2" s="1"/>
  <c r="M22" i="2"/>
  <c r="O22" i="2" s="1"/>
  <c r="M21" i="2"/>
  <c r="O21" i="2" s="1"/>
  <c r="M19" i="2"/>
  <c r="O19" i="2" s="1"/>
  <c r="M17" i="2"/>
  <c r="O17" i="2" s="1"/>
  <c r="O135" i="2"/>
  <c r="M11" i="5" l="1"/>
  <c r="N8" i="5" s="1"/>
  <c r="O18" i="5"/>
  <c r="O27" i="5"/>
  <c r="N27" i="5"/>
  <c r="N218" i="2"/>
  <c r="N216" i="2"/>
  <c r="N213" i="2"/>
  <c r="J217" i="2"/>
  <c r="L149" i="2"/>
  <c r="M204" i="2"/>
  <c r="O204" i="2" s="1"/>
  <c r="N209" i="2"/>
  <c r="J209" i="2"/>
  <c r="E215" i="2"/>
  <c r="C17" i="8" s="1"/>
  <c r="E217" i="2"/>
  <c r="C19" i="8" s="1"/>
  <c r="F149" i="2"/>
  <c r="G149" i="2"/>
  <c r="E216" i="2"/>
  <c r="C18" i="8" s="1"/>
  <c r="E213" i="2"/>
  <c r="J213" i="2"/>
  <c r="E214" i="2"/>
  <c r="C16" i="8" s="1"/>
  <c r="J214" i="2"/>
  <c r="D28" i="8" s="1"/>
  <c r="F203" i="2"/>
  <c r="P220" i="2"/>
  <c r="P219" i="2"/>
  <c r="P218" i="2"/>
  <c r="P217" i="2"/>
  <c r="P216" i="2"/>
  <c r="P215" i="2"/>
  <c r="P214" i="2"/>
  <c r="H167" i="2"/>
  <c r="L167" i="2" s="1"/>
  <c r="A100" i="2"/>
  <c r="A74" i="2"/>
  <c r="H74" i="2"/>
  <c r="L74" i="2" s="1"/>
  <c r="D74" i="2"/>
  <c r="F74" i="2" s="1"/>
  <c r="C74" i="2"/>
  <c r="G74" i="2" s="1"/>
  <c r="M74" i="2"/>
  <c r="I74" i="2"/>
  <c r="K74" i="2" s="1"/>
  <c r="A177" i="2"/>
  <c r="A193" i="2"/>
  <c r="M193" i="2"/>
  <c r="O193" i="2" s="1"/>
  <c r="I193" i="2"/>
  <c r="K193" i="2" s="1"/>
  <c r="H193" i="2"/>
  <c r="L193" i="2" s="1"/>
  <c r="D193" i="2"/>
  <c r="F193" i="2" s="1"/>
  <c r="C193" i="2"/>
  <c r="G193" i="2" s="1"/>
  <c r="A40" i="2"/>
  <c r="M40" i="2"/>
  <c r="O40" i="2" s="1"/>
  <c r="I40" i="2"/>
  <c r="K40" i="2" s="1"/>
  <c r="H40" i="2"/>
  <c r="L40" i="2" s="1"/>
  <c r="D40" i="2"/>
  <c r="F40" i="2" s="1"/>
  <c r="C40" i="2"/>
  <c r="G40" i="2" s="1"/>
  <c r="D167" i="2"/>
  <c r="F167" i="2" s="1"/>
  <c r="D31" i="8" l="1"/>
  <c r="B4" i="3"/>
  <c r="B5" i="8"/>
  <c r="B8" i="3"/>
  <c r="B9" i="8"/>
  <c r="B3" i="3"/>
  <c r="B4" i="8"/>
  <c r="B5" i="3"/>
  <c r="B6" i="8"/>
  <c r="B7" i="3"/>
  <c r="B8" i="8"/>
  <c r="B9" i="3"/>
  <c r="B10" i="8"/>
  <c r="M203" i="2"/>
  <c r="O203" i="2" s="1"/>
  <c r="M200" i="2"/>
  <c r="O200" i="2" s="1"/>
  <c r="I203" i="2"/>
  <c r="K203" i="2" s="1"/>
  <c r="I200" i="2"/>
  <c r="D205" i="2"/>
  <c r="F205" i="2" s="1"/>
  <c r="D200" i="2"/>
  <c r="C203" i="2"/>
  <c r="G203" i="2" s="1"/>
  <c r="C200" i="2"/>
  <c r="G200" i="2" s="1"/>
  <c r="H203" i="2"/>
  <c r="L203" i="2" s="1"/>
  <c r="H200" i="2"/>
  <c r="L200" i="2" s="1"/>
  <c r="M177" i="2"/>
  <c r="I177" i="2"/>
  <c r="M6" i="5" l="1"/>
  <c r="K200" i="2"/>
  <c r="M5" i="5"/>
  <c r="F200" i="2"/>
  <c r="I219" i="2"/>
  <c r="D31" i="3" s="1"/>
  <c r="J177" i="2"/>
  <c r="M219" i="2"/>
  <c r="N177" i="2"/>
  <c r="O177" i="2" s="1"/>
  <c r="M220" i="2"/>
  <c r="O220" i="2" s="1"/>
  <c r="M207" i="2"/>
  <c r="O207" i="2" s="1"/>
  <c r="D207" i="2"/>
  <c r="F207" i="2" s="1"/>
  <c r="C207" i="2"/>
  <c r="G207" i="2" s="1"/>
  <c r="K177" i="2" l="1"/>
  <c r="N219" i="2"/>
  <c r="N195" i="2"/>
  <c r="J219" i="2"/>
  <c r="D33" i="8" s="1"/>
  <c r="D35" i="8" s="1"/>
  <c r="J195" i="2"/>
  <c r="H207" i="2"/>
  <c r="L207" i="2" s="1"/>
  <c r="I207" i="2"/>
  <c r="K207" i="2" s="1"/>
  <c r="J221" i="2" l="1"/>
  <c r="K219" i="2"/>
  <c r="N221" i="2"/>
  <c r="O219" i="2"/>
  <c r="D220" i="2"/>
  <c r="I220" i="2"/>
  <c r="D32" i="3" l="1"/>
  <c r="K220" i="2"/>
  <c r="C20" i="3"/>
  <c r="F220" i="2"/>
  <c r="A208" i="2"/>
  <c r="A207" i="2"/>
  <c r="A206" i="2"/>
  <c r="A205" i="2"/>
  <c r="A204" i="2"/>
  <c r="A203" i="2"/>
  <c r="A202" i="2"/>
  <c r="A201" i="2"/>
  <c r="A200" i="2"/>
  <c r="A199" i="2"/>
  <c r="I205" i="2"/>
  <c r="K205" i="2" s="1"/>
  <c r="M205" i="2"/>
  <c r="O205" i="2" s="1"/>
  <c r="H205" i="2"/>
  <c r="L205" i="2" s="1"/>
  <c r="D204" i="2"/>
  <c r="F204" i="2" s="1"/>
  <c r="H204" i="2"/>
  <c r="L204" i="2" s="1"/>
  <c r="C204" i="2"/>
  <c r="G204" i="2" s="1"/>
  <c r="M149" i="2"/>
  <c r="M217" i="2" s="1"/>
  <c r="O217" i="2" s="1"/>
  <c r="M202" i="2"/>
  <c r="O202" i="2" s="1"/>
  <c r="C202" i="2"/>
  <c r="G202" i="2" s="1"/>
  <c r="D208" i="2"/>
  <c r="F208" i="2" s="1"/>
  <c r="H208" i="2"/>
  <c r="L208" i="2" s="1"/>
  <c r="I208" i="2"/>
  <c r="K208" i="2" s="1"/>
  <c r="C208" i="2"/>
  <c r="G208" i="2" s="1"/>
  <c r="H201" i="2"/>
  <c r="L201" i="2" s="1"/>
  <c r="D201" i="2"/>
  <c r="F201" i="2" s="1"/>
  <c r="C201" i="2"/>
  <c r="G201" i="2" s="1"/>
  <c r="D206" i="2"/>
  <c r="F206" i="2" s="1"/>
  <c r="H206" i="2"/>
  <c r="L206" i="2" s="1"/>
  <c r="M206" i="2"/>
  <c r="O206" i="2" s="1"/>
  <c r="A209" i="2" l="1"/>
  <c r="I201" i="2"/>
  <c r="K201" i="2" s="1"/>
  <c r="M199" i="2"/>
  <c r="O199" i="2" s="1"/>
  <c r="M167" i="2"/>
  <c r="I149" i="2"/>
  <c r="K149" i="2" s="1"/>
  <c r="I204" i="2"/>
  <c r="K204" i="2" s="1"/>
  <c r="M201" i="2"/>
  <c r="O201" i="2" s="1"/>
  <c r="M100" i="2"/>
  <c r="M208" i="2"/>
  <c r="O208" i="2" s="1"/>
  <c r="C199" i="2"/>
  <c r="G199" i="2" s="1"/>
  <c r="I167" i="2"/>
  <c r="K167" i="2" s="1"/>
  <c r="I199" i="2"/>
  <c r="K199" i="2" s="1"/>
  <c r="H218" i="2"/>
  <c r="C32" i="8" s="1"/>
  <c r="B32" i="8" s="1"/>
  <c r="H199" i="2"/>
  <c r="L199" i="2" s="1"/>
  <c r="D199" i="2"/>
  <c r="F199" i="2" s="1"/>
  <c r="D215" i="2"/>
  <c r="D202" i="2"/>
  <c r="F202" i="2" s="1"/>
  <c r="H202" i="2"/>
  <c r="L202" i="2" s="1"/>
  <c r="H215" i="2"/>
  <c r="C29" i="8" s="1"/>
  <c r="B29" i="8" s="1"/>
  <c r="I202" i="2"/>
  <c r="K202" i="2" s="1"/>
  <c r="C205" i="2"/>
  <c r="G205" i="2" s="1"/>
  <c r="C206" i="2"/>
  <c r="G206" i="2" s="1"/>
  <c r="C100" i="2"/>
  <c r="G100" i="2" s="1"/>
  <c r="D100" i="2"/>
  <c r="M216" i="2" l="1"/>
  <c r="O216" i="2" s="1"/>
  <c r="O100" i="2"/>
  <c r="M218" i="2"/>
  <c r="O218" i="2" s="1"/>
  <c r="O167" i="2"/>
  <c r="C27" i="3"/>
  <c r="L215" i="2"/>
  <c r="C30" i="3"/>
  <c r="L218" i="2"/>
  <c r="C15" i="3"/>
  <c r="F215" i="2"/>
  <c r="D216" i="2"/>
  <c r="F100" i="2"/>
  <c r="M209" i="2"/>
  <c r="O209" i="2" s="1"/>
  <c r="M214" i="2"/>
  <c r="O214" i="2" s="1"/>
  <c r="D218" i="2"/>
  <c r="I100" i="2"/>
  <c r="I206" i="2"/>
  <c r="K206" i="2" s="1"/>
  <c r="I218" i="2"/>
  <c r="K218" i="2" s="1"/>
  <c r="I217" i="2"/>
  <c r="K217" i="2" s="1"/>
  <c r="I214" i="2"/>
  <c r="I215" i="2"/>
  <c r="D27" i="3" l="1"/>
  <c r="B27" i="3" s="1"/>
  <c r="K215" i="2"/>
  <c r="D26" i="3"/>
  <c r="K214" i="2"/>
  <c r="I216" i="2"/>
  <c r="K100" i="2"/>
  <c r="C18" i="3"/>
  <c r="F218" i="2"/>
  <c r="C16" i="3"/>
  <c r="F216" i="2"/>
  <c r="D30" i="3"/>
  <c r="B30" i="3" s="1"/>
  <c r="I209" i="2"/>
  <c r="K209" i="2" s="1"/>
  <c r="D28" i="3" l="1"/>
  <c r="K216" i="2"/>
  <c r="M7" i="2"/>
  <c r="M213" i="2" l="1"/>
  <c r="O213" i="2" s="1"/>
  <c r="O7" i="2"/>
  <c r="M215" i="2"/>
  <c r="M195" i="2"/>
  <c r="O195" i="2" s="1"/>
  <c r="I7" i="2"/>
  <c r="K7" i="2" s="1"/>
  <c r="M221" i="2" l="1"/>
  <c r="O221" i="2" s="1"/>
  <c r="O215" i="2"/>
  <c r="M222" i="2"/>
  <c r="I213" i="2"/>
  <c r="I195" i="2"/>
  <c r="K195" i="2" s="1"/>
  <c r="D29" i="3" l="1"/>
  <c r="D33" i="3" s="1"/>
  <c r="K213" i="2"/>
  <c r="I221" i="2"/>
  <c r="D217" i="2"/>
  <c r="F217" i="2" s="1"/>
  <c r="D7" i="2"/>
  <c r="D177" i="2"/>
  <c r="I222" i="2" l="1"/>
  <c r="K221" i="2"/>
  <c r="D213" i="2"/>
  <c r="F213" i="2" s="1"/>
  <c r="F7" i="2"/>
  <c r="D219" i="2"/>
  <c r="C19" i="3" s="1"/>
  <c r="E177" i="2"/>
  <c r="C17" i="3"/>
  <c r="D34" i="3"/>
  <c r="D214" i="2"/>
  <c r="D195" i="2"/>
  <c r="D221" i="2"/>
  <c r="A220" i="2"/>
  <c r="A219" i="2"/>
  <c r="A218" i="2"/>
  <c r="A217" i="2"/>
  <c r="A216" i="2"/>
  <c r="H177" i="2"/>
  <c r="C177" i="2"/>
  <c r="C219" i="2" s="1"/>
  <c r="B21" i="8" s="1"/>
  <c r="C218" i="2"/>
  <c r="H100" i="2"/>
  <c r="C216" i="2"/>
  <c r="A215" i="2"/>
  <c r="H7" i="2"/>
  <c r="C7" i="2"/>
  <c r="A7" i="2"/>
  <c r="C4" i="3" l="1"/>
  <c r="C5" i="8"/>
  <c r="C5" i="3"/>
  <c r="C6" i="8"/>
  <c r="C7" i="3"/>
  <c r="C8" i="8"/>
  <c r="C9" i="3"/>
  <c r="C10" i="8"/>
  <c r="G216" i="2"/>
  <c r="B18" i="8"/>
  <c r="G218" i="2"/>
  <c r="B20" i="8"/>
  <c r="C8" i="3"/>
  <c r="C9" i="8"/>
  <c r="H216" i="2"/>
  <c r="C30" i="8" s="1"/>
  <c r="B30" i="8" s="1"/>
  <c r="L100" i="2"/>
  <c r="H219" i="2"/>
  <c r="C33" i="8" s="1"/>
  <c r="B33" i="8" s="1"/>
  <c r="L177" i="2"/>
  <c r="C213" i="2"/>
  <c r="G213" i="2" s="1"/>
  <c r="G7" i="2"/>
  <c r="G177" i="2"/>
  <c r="F177" i="2"/>
  <c r="H213" i="2"/>
  <c r="L7" i="2"/>
  <c r="C14" i="3"/>
  <c r="C21" i="3" s="1"/>
  <c r="F214" i="2"/>
  <c r="E219" i="2"/>
  <c r="C21" i="8" s="1"/>
  <c r="C23" i="8" s="1"/>
  <c r="E195" i="2"/>
  <c r="D209" i="2"/>
  <c r="B16" i="3"/>
  <c r="B18" i="3"/>
  <c r="B19" i="3"/>
  <c r="A213" i="2"/>
  <c r="C6" i="3" s="1"/>
  <c r="P213" i="2"/>
  <c r="B7" i="8" s="1"/>
  <c r="B11" i="8" s="1"/>
  <c r="C214" i="2"/>
  <c r="C220" i="2"/>
  <c r="H214" i="2"/>
  <c r="C28" i="8" s="1"/>
  <c r="H217" i="2"/>
  <c r="H220" i="2"/>
  <c r="A214" i="2"/>
  <c r="A195" i="2"/>
  <c r="H195" i="2"/>
  <c r="L195" i="2" s="1"/>
  <c r="C215" i="2"/>
  <c r="C217" i="2"/>
  <c r="C195" i="2"/>
  <c r="C31" i="8" l="1"/>
  <c r="B31" i="8" s="1"/>
  <c r="B28" i="8"/>
  <c r="L220" i="2"/>
  <c r="C34" i="8"/>
  <c r="B34" i="8" s="1"/>
  <c r="G214" i="2"/>
  <c r="B16" i="8"/>
  <c r="L213" i="2"/>
  <c r="G217" i="2"/>
  <c r="B19" i="8"/>
  <c r="C3" i="3"/>
  <c r="C4" i="8"/>
  <c r="L217" i="2"/>
  <c r="G220" i="2"/>
  <c r="B22" i="8"/>
  <c r="C7" i="8"/>
  <c r="G215" i="2"/>
  <c r="B17" i="8"/>
  <c r="C26" i="3"/>
  <c r="L214" i="2"/>
  <c r="C31" i="3"/>
  <c r="B31" i="3" s="1"/>
  <c r="L219" i="2"/>
  <c r="C28" i="3"/>
  <c r="B28" i="3" s="1"/>
  <c r="L216" i="2"/>
  <c r="E221" i="2"/>
  <c r="F221" i="2" s="1"/>
  <c r="G219" i="2"/>
  <c r="F219" i="2"/>
  <c r="G195" i="2"/>
  <c r="E209" i="2"/>
  <c r="F209" i="2" s="1"/>
  <c r="F195" i="2"/>
  <c r="A221" i="2"/>
  <c r="C10" i="3"/>
  <c r="B15" i="3"/>
  <c r="C32" i="3"/>
  <c r="B32" i="3" s="1"/>
  <c r="C29" i="3"/>
  <c r="B29" i="3" s="1"/>
  <c r="B26" i="3"/>
  <c r="B20" i="3"/>
  <c r="B17" i="3"/>
  <c r="B14" i="3"/>
  <c r="P221" i="2"/>
  <c r="B6" i="3"/>
  <c r="B10" i="3" s="1"/>
  <c r="H221" i="2"/>
  <c r="C221" i="2"/>
  <c r="C209" i="2" s="1"/>
  <c r="C35" i="8" l="1"/>
  <c r="B35" i="8" s="1"/>
  <c r="C11" i="8"/>
  <c r="B23" i="8"/>
  <c r="C24" i="8" s="1"/>
  <c r="H209" i="2"/>
  <c r="L209" i="2" s="1"/>
  <c r="L221" i="2"/>
  <c r="G221" i="2"/>
  <c r="G209" i="2"/>
  <c r="B21" i="3"/>
  <c r="D21" i="3" s="1"/>
  <c r="C33" i="3"/>
  <c r="B33" i="3" s="1"/>
  <c r="H222" i="2"/>
</calcChain>
</file>

<file path=xl/sharedStrings.xml><?xml version="1.0" encoding="utf-8"?>
<sst xmlns="http://schemas.openxmlformats.org/spreadsheetml/2006/main" count="613" uniqueCount="307">
  <si>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</si>
  <si>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</si>
  <si>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</si>
  <si>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</si>
  <si>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</si>
  <si>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</si>
  <si>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</si>
  <si>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</si>
  <si>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</si>
  <si>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</si>
  <si>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</si>
  <si>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</si>
  <si>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</si>
  <si>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</si>
  <si>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</si>
  <si>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</si>
  <si>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</si>
  <si>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</si>
  <si>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</si>
  <si>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</si>
  <si>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</si>
  <si>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</si>
  <si>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</si>
  <si>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</si>
  <si>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</si>
  <si>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</si>
  <si>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</si>
  <si>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</si>
  <si>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</si>
  <si>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</si>
  <si>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</si>
  <si>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</si>
  <si>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</si>
  <si>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</si>
  <si>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</si>
  <si>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</si>
  <si>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</si>
  <si>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</si>
  <si>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</si>
  <si>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</si>
  <si>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</si>
  <si>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</si>
  <si>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UCs Having RSPs Presence</t>
  </si>
  <si>
    <t>Household Organised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</si>
  <si>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</si>
  <si>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</si>
  <si>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</si>
  <si>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</si>
  <si>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</si>
  <si>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</si>
  <si>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</si>
  <si>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</si>
  <si>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</si>
  <si>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</si>
  <si>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</si>
  <si>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</si>
  <si>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</si>
  <si>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</si>
  <si>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</si>
  <si>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</si>
  <si>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</si>
  <si>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</si>
  <si>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</si>
  <si>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</si>
  <si>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</si>
  <si>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</si>
  <si>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</si>
  <si>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</si>
  <si>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</si>
  <si>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</si>
  <si>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</si>
  <si>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</si>
  <si>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</si>
  <si>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</si>
  <si>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</si>
  <si>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</si>
  <si>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</si>
  <si>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</si>
  <si>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</si>
  <si>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</si>
  <si>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</si>
  <si>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</si>
  <si>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</si>
  <si>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</si>
  <si>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</si>
  <si>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</si>
  <si>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</si>
  <si>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</si>
  <si>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</si>
  <si>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</si>
  <si>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</si>
  <si>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</si>
  <si>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</si>
  <si>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</si>
  <si>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</si>
  <si>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</si>
  <si>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</si>
  <si>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</si>
  <si>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</si>
  <si>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</si>
  <si>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</si>
  <si>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</si>
  <si>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</si>
  <si>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</si>
  <si>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</si>
  <si>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</si>
  <si>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</si>
  <si>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</si>
  <si>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</si>
  <si>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</si>
  <si>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</si>
  <si>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</si>
  <si>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</si>
  <si>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</si>
  <si>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</si>
  <si>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</si>
  <si>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</si>
  <si>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</si>
  <si>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</si>
  <si>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</si>
  <si>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</si>
  <si>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</si>
  <si>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</si>
  <si>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</si>
  <si>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</si>
  <si>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D G Khan (overlapping)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</si>
  <si>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</si>
  <si>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</si>
  <si>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</si>
  <si>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</si>
  <si>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</si>
  <si>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</si>
  <si>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</si>
  <si>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</si>
  <si>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</si>
  <si>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</si>
  <si>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</si>
  <si>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</si>
  <si>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</si>
  <si>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</si>
  <si>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</si>
  <si>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</si>
  <si>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</si>
  <si>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</si>
  <si>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</si>
  <si>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</si>
  <si>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</si>
  <si>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</si>
  <si>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</si>
  <si>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</si>
  <si>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</si>
  <si>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Rajanpur (overlapping)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</si>
  <si>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</si>
  <si>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</si>
  <si>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</si>
  <si>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</si>
  <si>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</si>
  <si>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</si>
  <si>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</si>
  <si>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</si>
  <si>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</si>
  <si>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</si>
  <si>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</si>
  <si>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</si>
  <si>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</si>
  <si>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</si>
  <si>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</si>
  <si>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</si>
  <si>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</si>
  <si>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</si>
  <si>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</si>
  <si>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</si>
  <si>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</si>
  <si>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</si>
  <si>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</si>
  <si>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</si>
  <si>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</si>
  <si>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</si>
  <si>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</si>
  <si>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</si>
  <si>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</si>
  <si>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</si>
  <si>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</si>
  <si>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</si>
  <si>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>Page 4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</si>
  <si>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</si>
  <si>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</si>
  <si>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</si>
  <si>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</si>
  <si>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</si>
  <si>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</si>
  <si>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</si>
  <si>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</si>
  <si>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</si>
  <si>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</si>
  <si>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</si>
  <si>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</si>
  <si>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</si>
  <si>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</si>
  <si>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</si>
  <si>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</si>
  <si>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</si>
  <si>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</si>
  <si>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</si>
  <si>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</si>
  <si>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</si>
  <si>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</si>
  <si>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</si>
  <si>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</si>
  <si>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</si>
  <si>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</si>
  <si>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</si>
  <si>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</si>
  <si>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</si>
  <si>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</si>
  <si>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</si>
  <si>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</si>
  <si>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</si>
  <si>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</si>
  <si>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</si>
  <si>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</si>
  <si>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</si>
  <si>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</si>
  <si>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</si>
  <si>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Chiniot</t>
  </si>
  <si>
    <t>Nanakana Sahib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</si>
  <si>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</si>
  <si>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</si>
  <si>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</si>
  <si>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</si>
  <si>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</si>
  <si>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*overlapping in 21 districts and 385 Ucs. </t>
  </si>
  <si>
    <t># as of March, 2011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</si>
  <si>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</si>
  <si>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</si>
  <si>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</si>
  <si>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</si>
  <si>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</si>
  <si>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</si>
  <si>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</si>
  <si>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</si>
  <si>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</si>
  <si>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</si>
  <si>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</si>
  <si>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</si>
  <si>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</si>
  <si>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</si>
  <si>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# as of June 2011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</si>
  <si>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</si>
  <si>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</si>
  <si>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</si>
  <si>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</si>
  <si>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</si>
  <si>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</si>
  <si>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# of health micro insurance schemes beneficiries</t>
  </si>
  <si>
    <t>Rural Support Programmes (RSPs) in Pakistan, District-wise RSPs Coverage/Outreach as of June 2011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</si>
  <si>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</si>
  <si>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</si>
  <si>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</si>
  <si>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</si>
  <si>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</si>
  <si>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</si>
  <si>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</si>
  <si>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</si>
  <si>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</si>
  <si>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</si>
  <si>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</si>
  <si>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>Punjab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</si>
  <si>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</si>
  <si>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</si>
  <si>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</si>
  <si>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</si>
  <si>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</si>
  <si>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-</t>
  </si>
  <si>
    <r>
      <t xml:space="preserve">Rural Support Programmes (RSPs) in Pakistan, Cumulative Progress as of </t>
    </r>
    <r>
      <rPr>
        <b/>
        <sz val="10"/>
        <rFont val="Calibri"/>
        <family val="2"/>
        <scheme val="minor"/>
      </rPr>
      <t>June 2011</t>
    </r>
  </si>
  <si>
    <t>% increase during Qtr</t>
  </si>
  <si>
    <t>% coverage as of June 2011</t>
  </si>
  <si>
    <t>COs Formed as of June, 2011</t>
  </si>
  <si>
    <t>Community Organisations (COs)</t>
  </si>
  <si>
    <t>COs Formed as of March, 2011</t>
  </si>
  <si>
    <t>Rank</t>
  </si>
  <si>
    <t>UC coverage as of June 2011 (%)</t>
  </si>
  <si>
    <t xml:space="preserve">Household coverage </t>
  </si>
  <si>
    <t>Communty organisations</t>
  </si>
  <si>
    <t>To 10 Districts with Highest increase in organised households during 2011:Q2 (March-June)</t>
  </si>
  <si>
    <t xml:space="preserve">Note: ** The 114 include 112 districts and 2 Federaly Adminstered Tribal Areas </t>
  </si>
  <si>
    <t xml:space="preserve">* The total figure for distircts/areas and union councils excludes 22 overlapping districts (presence of multiple RSP) and 387 overlapping union councils </t>
  </si>
  <si>
    <t># of RSP working districts/areas**</t>
  </si>
  <si>
    <t>Punjab (Inc ICT)</t>
  </si>
  <si>
    <t>Total</t>
  </si>
  <si>
    <t xml:space="preserve">Number of districts/areas having RSPs presence  </t>
  </si>
  <si>
    <t>Number of total districts/areas in the province/area</t>
  </si>
  <si>
    <t xml:space="preserve">Number of union councils having RSP presence </t>
  </si>
  <si>
    <t xml:space="preserve">Total rural union councils </t>
  </si>
  <si>
    <t>Total rural HHs in the RSP District (1998 Census)</t>
  </si>
  <si>
    <t>Households organised as of June 2011</t>
  </si>
  <si>
    <t>% of households organised as of June 2011</t>
  </si>
  <si>
    <t>Amount of savings of COs                  (Rs. Million)</t>
  </si>
  <si>
    <t>AE648699</t>
  </si>
  <si>
    <t>preveen beg</t>
  </si>
  <si>
    <t>roll</t>
  </si>
  <si>
    <t>09kgr00181</t>
  </si>
  <si>
    <t>tanazirat taleem</t>
  </si>
  <si>
    <t>exam</t>
  </si>
  <si>
    <t>attum</t>
  </si>
  <si>
    <t>bAed</t>
  </si>
  <si>
    <t>05814-480436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</si>
</sst>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74">
    <xf numFmtId="0" fontId="0" fillId="0" borderId="0"/>
    <xf numFmtId="43" fontId="3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21" fillId="0" borderId="0" xfId="0" applyFont="1" applyFill="1"/>
    <xf numFmtId="165" fontId="22" fillId="0" borderId="0" xfId="1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2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center"/>
    </xf>
    <xf numFmtId="166" fontId="21" fillId="0" borderId="0" xfId="1" applyNumberFormat="1" applyFont="1" applyFill="1"/>
    <xf numFmtId="43" fontId="21" fillId="0" borderId="0" xfId="0" applyNumberFormat="1" applyFont="1" applyFill="1"/>
    <xf numFmtId="165" fontId="21" fillId="0" borderId="0" xfId="1" applyNumberFormat="1" applyFont="1" applyFill="1"/>
    <xf numFmtId="165" fontId="21" fillId="0" borderId="0" xfId="0" applyNumberFormat="1" applyFont="1" applyFill="1"/>
    <xf numFmtId="165" fontId="23" fillId="0" borderId="0" xfId="1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6" fontId="24" fillId="0" borderId="0" xfId="1" applyNumberFormat="1" applyFont="1" applyFill="1" applyAlignment="1">
      <alignment horizontal="center"/>
    </xf>
    <xf numFmtId="165" fontId="23" fillId="2" borderId="17" xfId="1" applyNumberFormat="1" applyFont="1" applyFill="1" applyBorder="1" applyAlignment="1">
      <alignment horizontal="left" vertical="center"/>
    </xf>
    <xf numFmtId="0" fontId="23" fillId="2" borderId="18" xfId="0" applyFont="1" applyFill="1" applyBorder="1" applyAlignment="1">
      <alignment vertical="center"/>
    </xf>
    <xf numFmtId="165" fontId="23" fillId="2" borderId="18" xfId="1" applyNumberFormat="1" applyFont="1" applyFill="1" applyBorder="1" applyAlignment="1">
      <alignment horizontal="center" vertical="center"/>
    </xf>
    <xf numFmtId="166" fontId="23" fillId="2" borderId="18" xfId="1" applyNumberFormat="1" applyFont="1" applyFill="1" applyBorder="1" applyAlignment="1">
      <alignment horizontal="center" vertical="center"/>
    </xf>
    <xf numFmtId="165" fontId="23" fillId="2" borderId="19" xfId="1" applyNumberFormat="1" applyFont="1" applyFill="1" applyBorder="1" applyAlignment="1">
      <alignment horizontal="center" vertical="center"/>
    </xf>
    <xf numFmtId="165" fontId="24" fillId="0" borderId="6" xfId="1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165" fontId="24" fillId="0" borderId="7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horizontal="center" vertical="center"/>
    </xf>
    <xf numFmtId="10" fontId="24" fillId="0" borderId="21" xfId="1" applyNumberFormat="1" applyFont="1" applyFill="1" applyBorder="1" applyAlignment="1">
      <alignment horizontal="center" vertical="center"/>
    </xf>
    <xf numFmtId="165" fontId="23" fillId="0" borderId="4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165" fontId="23" fillId="0" borderId="5" xfId="1" applyNumberFormat="1" applyFont="1" applyFill="1" applyBorder="1" applyAlignment="1">
      <alignment horizontal="center" vertical="center"/>
    </xf>
    <xf numFmtId="10" fontId="23" fillId="0" borderId="22" xfId="1" applyNumberFormat="1" applyFont="1" applyFill="1" applyBorder="1" applyAlignment="1">
      <alignment horizontal="center" vertical="center"/>
    </xf>
    <xf numFmtId="165" fontId="24" fillId="0" borderId="23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Border="1" applyAlignment="1">
      <alignment horizontal="center" vertical="center"/>
    </xf>
    <xf numFmtId="165" fontId="24" fillId="2" borderId="2" xfId="1" applyNumberFormat="1" applyFont="1" applyFill="1" applyBorder="1" applyAlignment="1">
      <alignment horizontal="center" vertical="center"/>
    </xf>
    <xf numFmtId="165" fontId="24" fillId="2" borderId="18" xfId="1" applyNumberFormat="1" applyFont="1" applyFill="1" applyBorder="1" applyAlignment="1">
      <alignment horizontal="center" vertical="center"/>
    </xf>
    <xf numFmtId="165" fontId="24" fillId="0" borderId="24" xfId="1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/>
    </xf>
    <xf numFmtId="0" fontId="24" fillId="0" borderId="2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165" fontId="24" fillId="5" borderId="7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165" fontId="24" fillId="0" borderId="31" xfId="1" applyNumberFormat="1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vertical="center"/>
    </xf>
    <xf numFmtId="165" fontId="24" fillId="0" borderId="32" xfId="1" applyNumberFormat="1" applyFont="1" applyFill="1" applyBorder="1" applyAlignment="1">
      <alignment horizontal="center" vertical="center"/>
    </xf>
    <xf numFmtId="165" fontId="24" fillId="0" borderId="33" xfId="1" applyNumberFormat="1" applyFont="1" applyFill="1" applyBorder="1" applyAlignment="1">
      <alignment horizontal="center" vertical="center"/>
    </xf>
    <xf numFmtId="165" fontId="24" fillId="0" borderId="34" xfId="1" applyNumberFormat="1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165" fontId="23" fillId="0" borderId="37" xfId="1" applyNumberFormat="1" applyFont="1" applyFill="1" applyBorder="1" applyAlignment="1">
      <alignment horizontal="center" vertical="center"/>
    </xf>
    <xf numFmtId="165" fontId="24" fillId="0" borderId="38" xfId="1" applyNumberFormat="1" applyFont="1" applyFill="1" applyBorder="1" applyAlignment="1">
      <alignment horizontal="center" vertical="center"/>
    </xf>
    <xf numFmtId="165" fontId="24" fillId="0" borderId="37" xfId="1" applyNumberFormat="1" applyFont="1" applyFill="1" applyBorder="1" applyAlignment="1">
      <alignment horizontal="center" vertical="center"/>
    </xf>
    <xf numFmtId="10" fontId="23" fillId="0" borderId="39" xfId="1" applyNumberFormat="1" applyFont="1" applyFill="1" applyBorder="1" applyAlignment="1">
      <alignment horizontal="center" vertical="center"/>
    </xf>
    <xf numFmtId="0" fontId="24" fillId="0" borderId="7" xfId="0" applyFont="1" applyBorder="1"/>
    <xf numFmtId="0" fontId="23" fillId="0" borderId="0" xfId="0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65" fontId="23" fillId="0" borderId="25" xfId="1" applyNumberFormat="1" applyFont="1" applyFill="1" applyBorder="1"/>
    <xf numFmtId="0" fontId="23" fillId="0" borderId="26" xfId="0" applyFont="1" applyFill="1" applyBorder="1"/>
    <xf numFmtId="0" fontId="23" fillId="0" borderId="27" xfId="0" applyFont="1" applyFill="1" applyBorder="1" applyAlignment="1">
      <alignment horizontal="center"/>
    </xf>
    <xf numFmtId="165" fontId="23" fillId="0" borderId="2" xfId="1" applyNumberFormat="1" applyFont="1" applyFill="1" applyBorder="1" applyAlignment="1">
      <alignment horizontal="center" vertical="center"/>
    </xf>
    <xf numFmtId="165" fontId="23" fillId="0" borderId="28" xfId="1" applyNumberFormat="1" applyFont="1" applyFill="1" applyBorder="1" applyAlignment="1">
      <alignment horizontal="center" vertical="center"/>
    </xf>
    <xf numFmtId="165" fontId="23" fillId="0" borderId="29" xfId="1" applyNumberFormat="1" applyFont="1" applyFill="1" applyBorder="1" applyAlignment="1">
      <alignment horizontal="center" vertical="center"/>
    </xf>
    <xf numFmtId="165" fontId="23" fillId="0" borderId="3" xfId="1" applyNumberFormat="1" applyFont="1" applyFill="1" applyBorder="1" applyAlignment="1">
      <alignment horizontal="center" vertical="center"/>
    </xf>
    <xf numFmtId="165" fontId="23" fillId="0" borderId="30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center"/>
    </xf>
    <xf numFmtId="165" fontId="24" fillId="0" borderId="7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horizontal="center" vertical="center"/>
    </xf>
    <xf numFmtId="164" fontId="25" fillId="0" borderId="0" xfId="1" applyNumberFormat="1" applyFont="1" applyFill="1" applyBorder="1"/>
    <xf numFmtId="0" fontId="25" fillId="0" borderId="0" xfId="0" applyFont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64" fontId="25" fillId="0" borderId="0" xfId="1" applyNumberFormat="1" applyFont="1"/>
    <xf numFmtId="164" fontId="25" fillId="0" borderId="7" xfId="1" applyNumberFormat="1" applyFont="1" applyBorder="1" applyAlignment="1">
      <alignment horizontal="center" wrapText="1"/>
    </xf>
    <xf numFmtId="164" fontId="25" fillId="0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/>
    <xf numFmtId="43" fontId="25" fillId="0" borderId="7" xfId="1" applyFont="1" applyBorder="1" applyAlignment="1">
      <alignment horizontal="center" wrapText="1"/>
    </xf>
    <xf numFmtId="43" fontId="25" fillId="0" borderId="0" xfId="1" applyFont="1"/>
    <xf numFmtId="43" fontId="25" fillId="0" borderId="7" xfId="1" applyFont="1" applyFill="1" applyBorder="1" applyAlignment="1">
      <alignment horizontal="center" wrapText="1"/>
    </xf>
    <xf numFmtId="43" fontId="26" fillId="2" borderId="7" xfId="1" applyFont="1" applyFill="1" applyBorder="1" applyAlignment="1">
      <alignment horizontal="center" wrapText="1"/>
    </xf>
    <xf numFmtId="164" fontId="26" fillId="3" borderId="7" xfId="1" applyNumberFormat="1" applyFont="1" applyFill="1" applyBorder="1" applyAlignment="1">
      <alignment horizontal="center" wrapText="1"/>
    </xf>
    <xf numFmtId="43" fontId="25" fillId="3" borderId="7" xfId="1" applyFont="1" applyFill="1" applyBorder="1" applyAlignment="1">
      <alignment horizontal="center" wrapText="1"/>
    </xf>
    <xf numFmtId="165" fontId="25" fillId="0" borderId="7" xfId="1" applyNumberFormat="1" applyFont="1" applyBorder="1" applyAlignment="1">
      <alignment horizontal="center" wrapText="1"/>
    </xf>
    <xf numFmtId="165" fontId="25" fillId="0" borderId="0" xfId="1" applyNumberFormat="1" applyFont="1"/>
    <xf numFmtId="165" fontId="25" fillId="0" borderId="7" xfId="1" applyNumberFormat="1" applyFont="1" applyFill="1" applyBorder="1" applyAlignment="1">
      <alignment horizontal="center" wrapText="1"/>
    </xf>
    <xf numFmtId="165" fontId="25" fillId="3" borderId="7" xfId="1" applyNumberFormat="1" applyFont="1" applyFill="1" applyBorder="1" applyAlignment="1">
      <alignment horizontal="center" wrapText="1"/>
    </xf>
    <xf numFmtId="38" fontId="25" fillId="0" borderId="0" xfId="0" applyNumberFormat="1" applyFont="1"/>
    <xf numFmtId="38" fontId="25" fillId="0" borderId="0" xfId="1" applyNumberFormat="1" applyFont="1"/>
    <xf numFmtId="40" fontId="25" fillId="0" borderId="0" xfId="1" applyNumberFormat="1" applyFont="1"/>
    <xf numFmtId="0" fontId="25" fillId="0" borderId="0" xfId="0" applyFont="1" applyAlignment="1">
      <alignment vertical="center"/>
    </xf>
    <xf numFmtId="164" fontId="26" fillId="2" borderId="5" xfId="1" applyNumberFormat="1" applyFont="1" applyFill="1" applyBorder="1" applyAlignment="1">
      <alignment horizontal="center" wrapText="1"/>
    </xf>
    <xf numFmtId="0" fontId="25" fillId="0" borderId="0" xfId="0" applyFont="1" applyBorder="1"/>
    <xf numFmtId="0" fontId="26" fillId="0" borderId="0" xfId="0" applyFont="1" applyBorder="1"/>
    <xf numFmtId="164" fontId="25" fillId="0" borderId="0" xfId="0" applyNumberFormat="1" applyFont="1"/>
    <xf numFmtId="0" fontId="25" fillId="0" borderId="0" xfId="0" applyFont="1" applyAlignment="1">
      <alignment vertical="top"/>
    </xf>
    <xf numFmtId="165" fontId="25" fillId="0" borderId="7" xfId="1" applyNumberFormat="1" applyFont="1" applyFill="1" applyBorder="1" applyAlignment="1">
      <alignment horizontal="center" vertical="center"/>
    </xf>
    <xf numFmtId="165" fontId="25" fillId="0" borderId="7" xfId="1" applyNumberFormat="1" applyFont="1" applyFill="1" applyBorder="1" applyAlignment="1">
      <alignment horizontal="center" vertical="center" wrapText="1"/>
    </xf>
    <xf numFmtId="165" fontId="26" fillId="2" borderId="7" xfId="1" applyNumberFormat="1" applyFont="1" applyFill="1" applyBorder="1" applyAlignment="1">
      <alignment horizontal="center" vertical="center"/>
    </xf>
    <xf numFmtId="165" fontId="26" fillId="2" borderId="5" xfId="1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165" fontId="24" fillId="0" borderId="21" xfId="1" applyNumberFormat="1" applyFont="1" applyFill="1" applyBorder="1" applyAlignment="1">
      <alignment horizontal="left" vertical="center"/>
    </xf>
    <xf numFmtId="165" fontId="24" fillId="0" borderId="21" xfId="1" applyNumberFormat="1" applyFont="1" applyFill="1" applyBorder="1" applyAlignment="1">
      <alignment horizontal="center" vertical="center"/>
    </xf>
    <xf numFmtId="9" fontId="23" fillId="0" borderId="0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Alignment="1">
      <alignment horizontal="left"/>
    </xf>
    <xf numFmtId="165" fontId="24" fillId="0" borderId="0" xfId="1" applyNumberFormat="1" applyFont="1" applyFill="1" applyAlignment="1">
      <alignment horizontal="left"/>
    </xf>
    <xf numFmtId="165" fontId="24" fillId="0" borderId="1" xfId="1" applyNumberFormat="1" applyFont="1" applyFill="1" applyBorder="1" applyAlignment="1">
      <alignment horizontal="left" vertical="center" wrapText="1"/>
    </xf>
    <xf numFmtId="164" fontId="25" fillId="0" borderId="0" xfId="1" applyNumberFormat="1" applyFont="1" applyFill="1"/>
    <xf numFmtId="43" fontId="25" fillId="0" borderId="0" xfId="1" applyFont="1" applyFill="1"/>
    <xf numFmtId="43" fontId="21" fillId="0" borderId="0" xfId="0" applyNumberFormat="1" applyFont="1" applyFill="1" applyAlignment="1">
      <alignment vertical="center"/>
    </xf>
    <xf numFmtId="9" fontId="23" fillId="2" borderId="5" xfId="1" applyNumberFormat="1" applyFont="1" applyFill="1" applyBorder="1" applyAlignment="1">
      <alignment horizontal="center" vertical="center" wrapText="1"/>
    </xf>
    <xf numFmtId="165" fontId="24" fillId="0" borderId="35" xfId="1" applyNumberFormat="1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/>
    </xf>
    <xf numFmtId="0" fontId="24" fillId="0" borderId="37" xfId="0" applyFont="1" applyFill="1" applyBorder="1"/>
    <xf numFmtId="0" fontId="24" fillId="0" borderId="39" xfId="0" applyFont="1" applyFill="1" applyBorder="1" applyAlignment="1">
      <alignment horizontal="center"/>
    </xf>
    <xf numFmtId="0" fontId="24" fillId="0" borderId="6" xfId="0" applyFont="1" applyFill="1" applyBorder="1" applyAlignment="1">
      <alignment vertical="center"/>
    </xf>
    <xf numFmtId="165" fontId="24" fillId="0" borderId="21" xfId="1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5" fontId="24" fillId="0" borderId="2" xfId="1" applyNumberFormat="1" applyFont="1" applyFill="1" applyBorder="1" applyAlignment="1">
      <alignment horizontal="left" vertical="center"/>
    </xf>
    <xf numFmtId="165" fontId="24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5" fontId="24" fillId="5" borderId="20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vertical="center"/>
    </xf>
    <xf numFmtId="165" fontId="27" fillId="0" borderId="7" xfId="1" applyNumberFormat="1" applyFont="1" applyFill="1" applyBorder="1" applyAlignment="1">
      <alignment horizontal="center" vertical="center"/>
    </xf>
    <xf numFmtId="165" fontId="24" fillId="0" borderId="2" xfId="1" applyNumberFormat="1" applyFont="1" applyFill="1" applyBorder="1" applyAlignment="1">
      <alignment horizontal="center" vertical="center"/>
    </xf>
    <xf numFmtId="165" fontId="23" fillId="0" borderId="23" xfId="1" applyNumberFormat="1" applyFont="1" applyFill="1" applyBorder="1" applyAlignment="1">
      <alignment horizontal="center" vertical="center"/>
    </xf>
    <xf numFmtId="0" fontId="25" fillId="0" borderId="0" xfId="0" applyFont="1" applyFill="1"/>
    <xf numFmtId="165" fontId="25" fillId="2" borderId="7" xfId="1" applyNumberFormat="1" applyFont="1" applyFill="1" applyBorder="1" applyAlignment="1">
      <alignment horizontal="center" vertical="center" wrapText="1"/>
    </xf>
    <xf numFmtId="165" fontId="23" fillId="0" borderId="43" xfId="1" applyNumberFormat="1" applyFont="1" applyFill="1" applyBorder="1" applyAlignment="1">
      <alignment horizontal="center" vertical="center"/>
    </xf>
    <xf numFmtId="167" fontId="24" fillId="0" borderId="7" xfId="1" applyNumberFormat="1" applyFont="1" applyFill="1" applyBorder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  <xf numFmtId="167" fontId="24" fillId="2" borderId="18" xfId="1" applyNumberFormat="1" applyFont="1" applyFill="1" applyBorder="1" applyAlignment="1">
      <alignment horizontal="center" vertical="center"/>
    </xf>
    <xf numFmtId="167" fontId="24" fillId="0" borderId="37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65" fontId="23" fillId="2" borderId="5" xfId="1" applyNumberFormat="1" applyFont="1" applyFill="1" applyBorder="1" applyAlignment="1">
      <alignment vertical="center" wrapText="1"/>
    </xf>
    <xf numFmtId="167" fontId="24" fillId="0" borderId="5" xfId="1" applyNumberFormat="1" applyFont="1" applyFill="1" applyBorder="1" applyAlignment="1">
      <alignment horizontal="center" vertical="center"/>
    </xf>
    <xf numFmtId="165" fontId="24" fillId="0" borderId="5" xfId="1" applyNumberFormat="1" applyFont="1" applyFill="1" applyBorder="1" applyAlignment="1">
      <alignment horizontal="center" vertical="center"/>
    </xf>
    <xf numFmtId="167" fontId="24" fillId="0" borderId="26" xfId="1" applyNumberFormat="1" applyFont="1" applyFill="1" applyBorder="1" applyAlignment="1">
      <alignment horizontal="center" vertical="center"/>
    </xf>
    <xf numFmtId="0" fontId="28" fillId="0" borderId="0" xfId="0" applyFont="1"/>
    <xf numFmtId="9" fontId="23" fillId="28" borderId="5" xfId="1" applyNumberFormat="1" applyFont="1" applyFill="1" applyBorder="1" applyAlignment="1">
      <alignment horizontal="center" vertical="center" wrapText="1"/>
    </xf>
    <xf numFmtId="165" fontId="23" fillId="28" borderId="5" xfId="1" applyNumberFormat="1" applyFont="1" applyFill="1" applyBorder="1" applyAlignment="1">
      <alignment vertical="center" wrapText="1"/>
    </xf>
    <xf numFmtId="167" fontId="24" fillId="29" borderId="7" xfId="1" applyNumberFormat="1" applyFont="1" applyFill="1" applyBorder="1" applyAlignment="1">
      <alignment horizontal="center" vertical="center"/>
    </xf>
    <xf numFmtId="43" fontId="25" fillId="0" borderId="7" xfId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167" fontId="25" fillId="0" borderId="7" xfId="1" applyNumberFormat="1" applyFont="1" applyFill="1" applyBorder="1" applyAlignment="1">
      <alignment horizontal="center" vertical="center" wrapText="1"/>
    </xf>
    <xf numFmtId="167" fontId="25" fillId="0" borderId="7" xfId="1" applyNumberFormat="1" applyFont="1" applyFill="1" applyBorder="1" applyAlignment="1">
      <alignment horizontal="center" vertical="center"/>
    </xf>
    <xf numFmtId="167" fontId="25" fillId="2" borderId="7" xfId="1" applyNumberFormat="1" applyFont="1" applyFill="1" applyBorder="1" applyAlignment="1">
      <alignment horizontal="center" vertical="center" wrapText="1"/>
    </xf>
    <xf numFmtId="165" fontId="24" fillId="0" borderId="7" xfId="1" applyNumberFormat="1" applyFont="1" applyBorder="1" applyAlignment="1">
      <alignment horizontal="center" vertical="center"/>
    </xf>
    <xf numFmtId="167" fontId="24" fillId="0" borderId="7" xfId="1" applyNumberFormat="1" applyFont="1" applyBorder="1" applyAlignment="1">
      <alignment horizontal="center" vertical="center"/>
    </xf>
    <xf numFmtId="164" fontId="25" fillId="0" borderId="7" xfId="1" applyNumberFormat="1" applyFont="1" applyBorder="1" applyAlignment="1">
      <alignment horizontal="center" vertical="center" wrapText="1"/>
    </xf>
    <xf numFmtId="164" fontId="25" fillId="0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/>
    </xf>
    <xf numFmtId="43" fontId="25" fillId="0" borderId="7" xfId="1" applyFont="1" applyBorder="1" applyAlignment="1">
      <alignment horizontal="center" vertical="center" wrapText="1"/>
    </xf>
    <xf numFmtId="43" fontId="26" fillId="2" borderId="7" xfId="1" applyFont="1" applyFill="1" applyBorder="1" applyAlignment="1">
      <alignment horizontal="center" vertical="center" wrapText="1"/>
    </xf>
    <xf numFmtId="164" fontId="26" fillId="3" borderId="7" xfId="1" applyNumberFormat="1" applyFont="1" applyFill="1" applyBorder="1" applyAlignment="1">
      <alignment horizontal="center" vertical="center" wrapText="1"/>
    </xf>
    <xf numFmtId="43" fontId="25" fillId="3" borderId="7" xfId="1" applyFont="1" applyFill="1" applyBorder="1" applyAlignment="1">
      <alignment horizontal="center" vertical="center" wrapText="1"/>
    </xf>
    <xf numFmtId="165" fontId="25" fillId="0" borderId="7" xfId="1" applyNumberFormat="1" applyFont="1" applyBorder="1" applyAlignment="1">
      <alignment horizontal="center" vertical="center" wrapText="1"/>
    </xf>
    <xf numFmtId="165" fontId="25" fillId="3" borderId="7" xfId="1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left" vertical="center"/>
    </xf>
    <xf numFmtId="0" fontId="0" fillId="0" borderId="7" xfId="0" applyBorder="1"/>
    <xf numFmtId="43" fontId="0" fillId="0" borderId="0" xfId="1" applyFont="1"/>
    <xf numFmtId="165" fontId="23" fillId="0" borderId="44" xfId="1" applyNumberFormat="1" applyFont="1" applyFill="1" applyBorder="1" applyAlignment="1">
      <alignment vertical="center" wrapText="1"/>
    </xf>
    <xf numFmtId="165" fontId="23" fillId="0" borderId="23" xfId="1" applyNumberFormat="1" applyFont="1" applyFill="1" applyBorder="1" applyAlignment="1">
      <alignment vertical="center" wrapText="1"/>
    </xf>
    <xf numFmtId="165" fontId="24" fillId="0" borderId="7" xfId="1" applyNumberFormat="1" applyFont="1" applyFill="1" applyBorder="1" applyAlignment="1">
      <alignment horizontal="left" vertical="center"/>
    </xf>
    <xf numFmtId="165" fontId="0" fillId="0" borderId="7" xfId="1" applyNumberFormat="1" applyFont="1" applyBorder="1"/>
    <xf numFmtId="167" fontId="0" fillId="0" borderId="7" xfId="1" applyNumberFormat="1" applyFont="1" applyBorder="1"/>
    <xf numFmtId="0" fontId="23" fillId="0" borderId="7" xfId="0" applyFont="1" applyFill="1" applyBorder="1" applyAlignment="1">
      <alignment horizontal="left" vertical="center"/>
    </xf>
    <xf numFmtId="167" fontId="25" fillId="0" borderId="0" xfId="1" applyNumberFormat="1" applyFont="1" applyFill="1"/>
    <xf numFmtId="167" fontId="25" fillId="0" borderId="0" xfId="1" applyNumberFormat="1" applyFont="1"/>
    <xf numFmtId="0" fontId="23" fillId="0" borderId="0" xfId="0" applyFont="1" applyFill="1" applyBorder="1" applyAlignment="1">
      <alignment horizontal="center" vertical="center"/>
    </xf>
    <xf numFmtId="165" fontId="23" fillId="2" borderId="1" xfId="1" applyNumberFormat="1" applyFont="1" applyFill="1" applyBorder="1" applyAlignment="1">
      <alignment horizontal="center" vertical="center" wrapText="1"/>
    </xf>
    <xf numFmtId="165" fontId="23" fillId="2" borderId="4" xfId="1" applyNumberFormat="1" applyFont="1" applyFill="1" applyBorder="1" applyAlignment="1">
      <alignment horizontal="center" vertical="center" wrapText="1"/>
    </xf>
    <xf numFmtId="165" fontId="23" fillId="2" borderId="2" xfId="1" applyNumberFormat="1" applyFont="1" applyFill="1" applyBorder="1" applyAlignment="1">
      <alignment horizontal="center" vertical="center" wrapText="1"/>
    </xf>
    <xf numFmtId="165" fontId="23" fillId="2" borderId="5" xfId="1" applyNumberFormat="1" applyFont="1" applyFill="1" applyBorder="1" applyAlignment="1">
      <alignment horizontal="center" vertical="center" wrapText="1"/>
    </xf>
    <xf numFmtId="43" fontId="23" fillId="2" borderId="3" xfId="1" applyNumberFormat="1" applyFont="1" applyFill="1" applyBorder="1" applyAlignment="1">
      <alignment horizontal="center" vertical="center" wrapText="1"/>
    </xf>
    <xf numFmtId="43" fontId="23" fillId="2" borderId="22" xfId="1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164" fontId="26" fillId="0" borderId="6" xfId="1" applyNumberFormat="1" applyFont="1" applyBorder="1" applyAlignment="1">
      <alignment horizontal="left" vertical="top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64" fontId="26" fillId="0" borderId="1" xfId="1" applyNumberFormat="1" applyFont="1" applyFill="1" applyBorder="1" applyAlignment="1">
      <alignment horizontal="left"/>
    </xf>
    <xf numFmtId="164" fontId="26" fillId="0" borderId="2" xfId="1" applyNumberFormat="1" applyFont="1" applyFill="1" applyBorder="1" applyAlignment="1">
      <alignment horizontal="left"/>
    </xf>
    <xf numFmtId="164" fontId="26" fillId="0" borderId="6" xfId="1" applyNumberFormat="1" applyFont="1" applyFill="1" applyBorder="1" applyAlignment="1">
      <alignment horizontal="left"/>
    </xf>
    <xf numFmtId="164" fontId="26" fillId="0" borderId="7" xfId="1" applyNumberFormat="1" applyFont="1" applyFill="1" applyBorder="1" applyAlignment="1">
      <alignment horizontal="left"/>
    </xf>
    <xf numFmtId="38" fontId="26" fillId="5" borderId="6" xfId="0" applyNumberFormat="1" applyFont="1" applyFill="1" applyBorder="1" applyAlignment="1">
      <alignment horizontal="left" vertical="center" wrapText="1"/>
    </xf>
    <xf numFmtId="38" fontId="26" fillId="5" borderId="7" xfId="0" applyNumberFormat="1" applyFont="1" applyFill="1" applyBorder="1" applyAlignment="1">
      <alignment horizontal="left" vertical="center" wrapText="1"/>
    </xf>
    <xf numFmtId="43" fontId="26" fillId="0" borderId="6" xfId="1" applyFont="1" applyBorder="1" applyAlignment="1">
      <alignment horizontal="left" vertical="top" wrapText="1"/>
    </xf>
    <xf numFmtId="38" fontId="23" fillId="0" borderId="6" xfId="1" applyNumberFormat="1" applyFont="1" applyBorder="1" applyAlignment="1">
      <alignment horizontal="left" vertical="top" wrapText="1"/>
    </xf>
    <xf numFmtId="164" fontId="26" fillId="0" borderId="31" xfId="1" applyNumberFormat="1" applyFont="1" applyFill="1" applyBorder="1" applyAlignment="1">
      <alignment horizontal="left" vertical="top" wrapText="1"/>
    </xf>
    <xf numFmtId="164" fontId="26" fillId="0" borderId="41" xfId="1" applyNumberFormat="1" applyFont="1" applyFill="1" applyBorder="1" applyAlignment="1">
      <alignment horizontal="left" vertical="top" wrapText="1"/>
    </xf>
    <xf numFmtId="164" fontId="26" fillId="0" borderId="42" xfId="1" applyNumberFormat="1" applyFont="1" applyFill="1" applyBorder="1" applyAlignment="1">
      <alignment horizontal="left" vertical="top" wrapText="1"/>
    </xf>
    <xf numFmtId="43" fontId="26" fillId="4" borderId="6" xfId="1" applyFont="1" applyFill="1" applyBorder="1" applyAlignment="1">
      <alignment horizontal="left" vertical="top" wrapText="1"/>
    </xf>
    <xf numFmtId="165" fontId="26" fillId="4" borderId="6" xfId="1" applyNumberFormat="1" applyFont="1" applyFill="1" applyBorder="1" applyAlignment="1">
      <alignment horizontal="left" vertical="top" wrapText="1"/>
    </xf>
    <xf numFmtId="38" fontId="23" fillId="0" borderId="6" xfId="1" applyNumberFormat="1" applyFont="1" applyFill="1" applyBorder="1" applyAlignment="1">
      <alignment horizontal="left" vertical="top" wrapText="1"/>
    </xf>
    <xf numFmtId="40" fontId="26" fillId="5" borderId="6" xfId="1" applyNumberFormat="1" applyFont="1" applyFill="1" applyBorder="1" applyAlignment="1">
      <alignment horizontal="left" vertical="center" wrapText="1"/>
    </xf>
    <xf numFmtId="40" fontId="26" fillId="5" borderId="7" xfId="1" applyNumberFormat="1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164" fontId="23" fillId="0" borderId="6" xfId="1" applyNumberFormat="1" applyFont="1" applyBorder="1" applyAlignment="1">
      <alignment horizontal="left" vertical="top" wrapText="1"/>
    </xf>
    <xf numFmtId="164" fontId="26" fillId="0" borderId="4" xfId="1" applyNumberFormat="1" applyFont="1" applyBorder="1" applyAlignment="1">
      <alignment horizontal="left" vertical="top" wrapText="1"/>
    </xf>
    <xf numFmtId="164" fontId="26" fillId="0" borderId="40" xfId="1" applyNumberFormat="1" applyFont="1" applyFill="1" applyBorder="1" applyAlignment="1">
      <alignment horizontal="left" indent="5"/>
    </xf>
    <xf numFmtId="164" fontId="26" fillId="0" borderId="24" xfId="1" applyNumberFormat="1" applyFont="1" applyFill="1" applyBorder="1" applyAlignment="1">
      <alignment horizontal="left" indent="5"/>
    </xf>
    <xf numFmtId="165" fontId="23" fillId="28" borderId="2" xfId="1" applyNumberFormat="1" applyFont="1" applyFill="1" applyBorder="1" applyAlignment="1">
      <alignment horizontal="center" vertical="center" wrapText="1"/>
    </xf>
    <xf numFmtId="43" fontId="23" fillId="28" borderId="3" xfId="1" applyNumberFormat="1" applyFont="1" applyFill="1" applyBorder="1" applyAlignment="1">
      <alignment horizontal="center" vertical="center" wrapText="1"/>
    </xf>
    <xf numFmtId="43" fontId="23" fillId="28" borderId="22" xfId="1" applyNumberFormat="1" applyFont="1" applyFill="1" applyBorder="1" applyAlignment="1">
      <alignment horizontal="center" vertical="center" wrapText="1"/>
    </xf>
    <xf numFmtId="9" fontId="23" fillId="28" borderId="44" xfId="1" applyNumberFormat="1" applyFont="1" applyFill="1" applyBorder="1" applyAlignment="1">
      <alignment horizontal="center" vertical="center" wrapText="1"/>
    </xf>
    <xf numFmtId="9" fontId="23" fillId="28" borderId="38" xfId="1" applyNumberFormat="1" applyFont="1" applyFill="1" applyBorder="1" applyAlignment="1">
      <alignment horizontal="center" vertical="center" wrapText="1"/>
    </xf>
    <xf numFmtId="165" fontId="23" fillId="28" borderId="1" xfId="1" applyNumberFormat="1" applyFont="1" applyFill="1" applyBorder="1" applyAlignment="1">
      <alignment horizontal="center" vertical="center" wrapText="1"/>
    </xf>
    <xf numFmtId="165" fontId="23" fillId="28" borderId="4" xfId="1" applyNumberFormat="1" applyFont="1" applyFill="1" applyBorder="1" applyAlignment="1">
      <alignment horizontal="center" vertical="center" wrapText="1"/>
    </xf>
    <xf numFmtId="165" fontId="23" fillId="28" borderId="5" xfId="1" applyNumberFormat="1" applyFont="1" applyFill="1" applyBorder="1" applyAlignment="1">
      <alignment horizontal="center" vertical="center" wrapText="1"/>
    </xf>
    <xf numFmtId="0" fontId="23" fillId="28" borderId="2" xfId="0" applyFont="1" applyFill="1" applyBorder="1" applyAlignment="1">
      <alignment horizontal="center" vertical="center"/>
    </xf>
  </cellXfs>
  <cellStyles count="574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3" xfId="569"/>
    <cellStyle name="Normal 2 2 4" xfId="570"/>
    <cellStyle name="Normal 3" xfId="487"/>
    <cellStyle name="Normal 3 2" xfId="571"/>
    <cellStyle name="Normal 3 3" xfId="572"/>
    <cellStyle name="Normal 3 4" xfId="573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27520"/>
        <c:axId val="95637504"/>
        <c:axId val="0"/>
      </c:bar3DChart>
      <c:catAx>
        <c:axId val="95627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7504"/>
        <c:crosses val="autoZero"/>
        <c:auto val="1"/>
        <c:lblAlgn val="ctr"/>
        <c:lblOffset val="100"/>
        <c:tickLblSkip val="1"/>
        <c:noMultiLvlLbl val="0"/>
      </c:catAx>
      <c:valAx>
        <c:axId val="956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275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7995"/>
          <c:h val="0.64810729428052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335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245</c:v>
                </c:pt>
                <c:pt idx="1">
                  <c:v>524</c:v>
                </c:pt>
                <c:pt idx="2">
                  <c:v>602</c:v>
                </c:pt>
                <c:pt idx="3">
                  <c:v>1839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80384"/>
        <c:axId val="95681920"/>
        <c:axId val="0"/>
      </c:bar3DChart>
      <c:catAx>
        <c:axId val="95680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95681920"/>
        <c:crosses val="autoZero"/>
        <c:auto val="1"/>
        <c:lblAlgn val="ctr"/>
        <c:lblOffset val="100"/>
        <c:noMultiLvlLbl val="0"/>
      </c:catAx>
      <c:valAx>
        <c:axId val="95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80384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3018"/>
          <c:h val="4.9205206492045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4065E-2"/>
          <c:y val="0.17592550696834403"/>
          <c:w val="0.92707327479126678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42.955178480899413</c:v>
                </c:pt>
                <c:pt idx="1">
                  <c:v>40.894352817770645</c:v>
                </c:pt>
                <c:pt idx="2">
                  <c:v>30.424688454110907</c:v>
                </c:pt>
                <c:pt idx="3">
                  <c:v>35.14587172423068</c:v>
                </c:pt>
                <c:pt idx="4">
                  <c:v>57.706394219042458</c:v>
                </c:pt>
                <c:pt idx="5">
                  <c:v>69.747920669136846</c:v>
                </c:pt>
                <c:pt idx="6">
                  <c:v>12.079899196463613</c:v>
                </c:pt>
                <c:pt idx="7">
                  <c:v>36.147526595632442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75136"/>
        <c:axId val="112076672"/>
        <c:axId val="0"/>
      </c:bar3DChart>
      <c:catAx>
        <c:axId val="11207513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12076672"/>
        <c:crosses val="autoZero"/>
        <c:auto val="0"/>
        <c:lblAlgn val="ctr"/>
        <c:lblOffset val="100"/>
        <c:noMultiLvlLbl val="0"/>
      </c:catAx>
      <c:valAx>
        <c:axId val="11207667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1207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(As of June 2011)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95834112"/>
        <c:axId val="95835648"/>
        <c:axId val="0"/>
      </c:bar3DChart>
      <c:catAx>
        <c:axId val="958341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5835648"/>
        <c:crosses val="autoZero"/>
        <c:auto val="1"/>
        <c:lblAlgn val="ctr"/>
        <c:lblOffset val="100"/>
        <c:noMultiLvlLbl val="0"/>
      </c:catAx>
      <c:valAx>
        <c:axId val="9583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58341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</a:t>
            </a:r>
            <a:r>
              <a:rPr lang="en-US" baseline="0"/>
              <a:t>/Area wise number of union councils with RSP presence (As of June, 2011)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278</c:v>
                </c:pt>
                <c:pt idx="1">
                  <c:v>524</c:v>
                </c:pt>
                <c:pt idx="2">
                  <c:v>613</c:v>
                </c:pt>
                <c:pt idx="3">
                  <c:v>1835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5878144"/>
        <c:axId val="111682304"/>
      </c:barChart>
      <c:catAx>
        <c:axId val="9587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682304"/>
        <c:crosses val="autoZero"/>
        <c:auto val="1"/>
        <c:lblAlgn val="ctr"/>
        <c:lblOffset val="100"/>
        <c:noMultiLvlLbl val="0"/>
      </c:catAx>
      <c:valAx>
        <c:axId val="11168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5878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Province-wise organized households </a:t>
            </a:r>
            <a:endParaRPr lang="en-US"/>
          </a:p>
          <a:p>
            <a:pPr>
              <a:defRPr/>
            </a:pPr>
            <a:r>
              <a:rPr lang="en-US" sz="1800" b="0" i="0" baseline="0"/>
              <a:t>(% of total rural households based on 1998 census data ) </a:t>
            </a:r>
            <a:endParaRPr lang="en-US"/>
          </a:p>
          <a:p>
            <a:pPr>
              <a:defRPr/>
            </a:pPr>
            <a:r>
              <a:rPr lang="en-US" sz="1800" b="0" i="0" baseline="0"/>
              <a:t>(As of June 2011)  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June 2011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44.878251274863565</c:v>
                </c:pt>
                <c:pt idx="1">
                  <c:v>41.470705649459802</c:v>
                </c:pt>
                <c:pt idx="2">
                  <c:v>32.271113328591049</c:v>
                </c:pt>
                <c:pt idx="3">
                  <c:v>37.167151933482401</c:v>
                </c:pt>
                <c:pt idx="4">
                  <c:v>58.66962537811218</c:v>
                </c:pt>
                <c:pt idx="5">
                  <c:v>69.747920669136846</c:v>
                </c:pt>
                <c:pt idx="6">
                  <c:v>12.079899196463613</c:v>
                </c:pt>
                <c:pt idx="7">
                  <c:v>37.858686938120691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707648"/>
        <c:axId val="111709184"/>
      </c:barChart>
      <c:catAx>
        <c:axId val="11170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709184"/>
        <c:crosses val="autoZero"/>
        <c:auto val="1"/>
        <c:lblAlgn val="ctr"/>
        <c:lblOffset val="100"/>
        <c:noMultiLvlLbl val="0"/>
      </c:catAx>
      <c:valAx>
        <c:axId val="11170918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1170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17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27</xdr:row>
      <xdr:rowOff>0</xdr:rowOff>
    </xdr:from>
    <xdr:to>
      <xdr:col>16</xdr:col>
      <xdr:colOff>333375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152399</xdr:rowOff>
    </xdr:from>
    <xdr:to>
      <xdr:col>4</xdr:col>
      <xdr:colOff>333374</xdr:colOff>
      <xdr:row>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June__%20Outreach%20DATA%20Templet%20(16-08-2011)%20sent%20to%20RS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BRSP%20SM%20outreach%20data%20(19-09-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reach%20DATA%20Templet%20(16-08-2011)%20sent%20to%20RSPs-SRSP%20upda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DP-Outreac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SRSO_Outreach_DATA_as_of_June,2011%20fazal%20err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GA%20OUT%20REACH%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SP%20revised%20(19-09-201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reach%20AJKRSP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6">
          <cell r="E6">
            <v>12</v>
          </cell>
          <cell r="H6">
            <v>14029</v>
          </cell>
          <cell r="J6">
            <v>908</v>
          </cell>
        </row>
        <row r="10">
          <cell r="D10">
            <v>8</v>
          </cell>
          <cell r="H10">
            <v>9360</v>
          </cell>
          <cell r="J10">
            <v>566</v>
          </cell>
        </row>
        <row r="15">
          <cell r="D15">
            <v>13</v>
          </cell>
          <cell r="H15">
            <v>15882</v>
          </cell>
          <cell r="J15">
            <v>664</v>
          </cell>
        </row>
        <row r="20">
          <cell r="D20">
            <v>38</v>
          </cell>
          <cell r="H20">
            <v>38439</v>
          </cell>
          <cell r="J20">
            <v>1763</v>
          </cell>
        </row>
        <row r="26">
          <cell r="D26">
            <v>0</v>
          </cell>
          <cell r="H26">
            <v>0</v>
          </cell>
          <cell r="J26">
            <v>0</v>
          </cell>
        </row>
        <row r="32">
          <cell r="D32">
            <v>16</v>
          </cell>
          <cell r="H32">
            <v>14892</v>
          </cell>
          <cell r="J32">
            <v>908</v>
          </cell>
        </row>
        <row r="46">
          <cell r="D46">
            <v>5</v>
          </cell>
          <cell r="H46">
            <v>269</v>
          </cell>
          <cell r="J46">
            <v>19</v>
          </cell>
        </row>
        <row r="48">
          <cell r="D48">
            <v>28</v>
          </cell>
          <cell r="H48">
            <v>12926</v>
          </cell>
          <cell r="J48">
            <v>736</v>
          </cell>
        </row>
        <row r="62">
          <cell r="D62">
            <v>25</v>
          </cell>
          <cell r="H62">
            <v>20272</v>
          </cell>
          <cell r="J62">
            <v>1456</v>
          </cell>
        </row>
        <row r="64">
          <cell r="D64">
            <v>63</v>
          </cell>
          <cell r="H64">
            <v>30781</v>
          </cell>
          <cell r="J64">
            <v>2181</v>
          </cell>
        </row>
        <row r="70">
          <cell r="D70">
            <v>38</v>
          </cell>
          <cell r="H70">
            <v>23493</v>
          </cell>
          <cell r="J70">
            <v>1503</v>
          </cell>
        </row>
        <row r="71">
          <cell r="D71">
            <v>19</v>
          </cell>
          <cell r="H71">
            <v>6488</v>
          </cell>
          <cell r="J71">
            <v>298</v>
          </cell>
        </row>
        <row r="77">
          <cell r="D77">
            <v>46</v>
          </cell>
          <cell r="H77">
            <v>71904</v>
          </cell>
          <cell r="J77">
            <v>3640</v>
          </cell>
        </row>
        <row r="80">
          <cell r="D80">
            <v>10</v>
          </cell>
          <cell r="H80">
            <v>11473</v>
          </cell>
          <cell r="J80">
            <v>700</v>
          </cell>
        </row>
        <row r="87">
          <cell r="D87">
            <v>15</v>
          </cell>
          <cell r="H87">
            <v>23129</v>
          </cell>
          <cell r="J87">
            <v>1770</v>
          </cell>
        </row>
        <row r="88">
          <cell r="D88">
            <v>41</v>
          </cell>
          <cell r="H88">
            <v>43051</v>
          </cell>
          <cell r="J88">
            <v>2686</v>
          </cell>
        </row>
        <row r="90">
          <cell r="D90">
            <v>27</v>
          </cell>
          <cell r="H90">
            <v>3092</v>
          </cell>
          <cell r="J90">
            <v>564</v>
          </cell>
        </row>
        <row r="95">
          <cell r="D95">
            <v>12</v>
          </cell>
          <cell r="H95">
            <v>12702</v>
          </cell>
          <cell r="J95">
            <v>1025</v>
          </cell>
        </row>
        <row r="96">
          <cell r="D96">
            <v>11</v>
          </cell>
          <cell r="H96">
            <v>10095</v>
          </cell>
          <cell r="J96">
            <v>682</v>
          </cell>
        </row>
        <row r="98">
          <cell r="D98">
            <v>42</v>
          </cell>
          <cell r="H98">
            <v>27642</v>
          </cell>
          <cell r="J98">
            <v>1661</v>
          </cell>
        </row>
        <row r="104">
          <cell r="D104">
            <v>64</v>
          </cell>
          <cell r="H104">
            <v>52764</v>
          </cell>
          <cell r="J104">
            <v>3122</v>
          </cell>
        </row>
        <row r="105">
          <cell r="D105">
            <v>101</v>
          </cell>
          <cell r="H105">
            <v>195371</v>
          </cell>
          <cell r="J105">
            <v>14458</v>
          </cell>
        </row>
        <row r="106">
          <cell r="D106">
            <v>97</v>
          </cell>
          <cell r="H106">
            <v>226415</v>
          </cell>
          <cell r="J106">
            <v>15755</v>
          </cell>
        </row>
        <row r="107">
          <cell r="D107">
            <v>40</v>
          </cell>
          <cell r="H107">
            <v>117968</v>
          </cell>
          <cell r="J107">
            <v>7772</v>
          </cell>
        </row>
        <row r="108">
          <cell r="D108">
            <v>60</v>
          </cell>
          <cell r="H108">
            <v>48467</v>
          </cell>
          <cell r="J108">
            <v>2700</v>
          </cell>
        </row>
        <row r="110">
          <cell r="D110">
            <v>50</v>
          </cell>
          <cell r="H110">
            <v>114904</v>
          </cell>
          <cell r="J110">
            <v>8565</v>
          </cell>
        </row>
        <row r="117">
          <cell r="D117">
            <v>35</v>
          </cell>
          <cell r="H117">
            <v>22226</v>
          </cell>
          <cell r="J117">
            <v>1257</v>
          </cell>
        </row>
        <row r="120">
          <cell r="D120">
            <v>70</v>
          </cell>
          <cell r="H120">
            <v>17775</v>
          </cell>
          <cell r="J120">
            <v>1662</v>
          </cell>
        </row>
        <row r="121">
          <cell r="D121">
            <v>45</v>
          </cell>
          <cell r="H121">
            <v>107858</v>
          </cell>
          <cell r="J121">
            <v>6325</v>
          </cell>
        </row>
        <row r="124">
          <cell r="D124">
            <v>70</v>
          </cell>
          <cell r="H124">
            <v>46705</v>
          </cell>
          <cell r="J124">
            <v>3886</v>
          </cell>
        </row>
        <row r="126">
          <cell r="D126">
            <v>42</v>
          </cell>
          <cell r="H126">
            <v>54458</v>
          </cell>
          <cell r="J126">
            <v>3113</v>
          </cell>
        </row>
        <row r="128">
          <cell r="D128">
            <v>58</v>
          </cell>
          <cell r="H128">
            <v>17654</v>
          </cell>
          <cell r="J128">
            <v>1958</v>
          </cell>
        </row>
        <row r="130">
          <cell r="D130">
            <v>24</v>
          </cell>
          <cell r="H130">
            <v>0</v>
          </cell>
          <cell r="J130">
            <v>0</v>
          </cell>
        </row>
        <row r="135">
          <cell r="D135">
            <v>54</v>
          </cell>
          <cell r="H135">
            <v>12295</v>
          </cell>
          <cell r="J135">
            <v>1486</v>
          </cell>
        </row>
        <row r="136">
          <cell r="D136">
            <v>103</v>
          </cell>
          <cell r="H136">
            <v>65089</v>
          </cell>
          <cell r="J136">
            <v>6260</v>
          </cell>
        </row>
        <row r="137">
          <cell r="D137">
            <v>43</v>
          </cell>
          <cell r="H137">
            <v>84263</v>
          </cell>
          <cell r="J137">
            <v>5866</v>
          </cell>
        </row>
        <row r="139">
          <cell r="D139">
            <v>58</v>
          </cell>
          <cell r="H139">
            <v>65601</v>
          </cell>
          <cell r="J139">
            <v>4189</v>
          </cell>
        </row>
        <row r="141">
          <cell r="D141">
            <v>52</v>
          </cell>
          <cell r="H141">
            <v>12414</v>
          </cell>
          <cell r="J141">
            <v>1201</v>
          </cell>
        </row>
        <row r="146">
          <cell r="D146">
            <v>61</v>
          </cell>
          <cell r="H146">
            <v>13594</v>
          </cell>
          <cell r="J146">
            <v>1545</v>
          </cell>
        </row>
        <row r="147">
          <cell r="D147">
            <v>80</v>
          </cell>
          <cell r="H147">
            <v>39089</v>
          </cell>
          <cell r="J147">
            <v>3149</v>
          </cell>
        </row>
        <row r="151">
          <cell r="D151">
            <v>19</v>
          </cell>
          <cell r="H151">
            <v>20324</v>
          </cell>
          <cell r="J151">
            <v>1066</v>
          </cell>
        </row>
        <row r="153">
          <cell r="D153">
            <v>5</v>
          </cell>
          <cell r="H153">
            <v>12914</v>
          </cell>
          <cell r="J153">
            <v>593</v>
          </cell>
        </row>
        <row r="155">
          <cell r="D155">
            <v>33</v>
          </cell>
          <cell r="H155">
            <v>36581</v>
          </cell>
          <cell r="J155">
            <v>2121</v>
          </cell>
        </row>
        <row r="157">
          <cell r="D157">
            <v>18</v>
          </cell>
          <cell r="H157">
            <v>21364</v>
          </cell>
          <cell r="J157">
            <v>992</v>
          </cell>
        </row>
        <row r="159">
          <cell r="D159">
            <v>9</v>
          </cell>
          <cell r="H159">
            <v>7213</v>
          </cell>
          <cell r="J159">
            <v>331</v>
          </cell>
        </row>
        <row r="161">
          <cell r="D161">
            <v>25</v>
          </cell>
          <cell r="H161">
            <v>37016</v>
          </cell>
          <cell r="J161">
            <v>1905</v>
          </cell>
        </row>
        <row r="163">
          <cell r="D163">
            <v>13</v>
          </cell>
          <cell r="H163">
            <v>10603</v>
          </cell>
          <cell r="J163">
            <v>613</v>
          </cell>
        </row>
        <row r="165">
          <cell r="D165">
            <v>8</v>
          </cell>
          <cell r="H165">
            <v>10130</v>
          </cell>
          <cell r="J165">
            <v>545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12">
          <cell r="E12">
            <v>1</v>
          </cell>
          <cell r="H12">
            <v>2434</v>
          </cell>
          <cell r="J12">
            <v>109</v>
          </cell>
        </row>
        <row r="17">
          <cell r="E17">
            <v>9</v>
          </cell>
          <cell r="H17">
            <v>6885</v>
          </cell>
          <cell r="J17">
            <v>459</v>
          </cell>
        </row>
        <row r="18">
          <cell r="E18">
            <v>22</v>
          </cell>
          <cell r="H18">
            <v>5659</v>
          </cell>
          <cell r="J18">
            <v>128</v>
          </cell>
        </row>
        <row r="19">
          <cell r="E19">
            <v>15</v>
          </cell>
          <cell r="H19">
            <v>28829</v>
          </cell>
          <cell r="J19">
            <v>1869</v>
          </cell>
        </row>
        <row r="21">
          <cell r="E21">
            <v>7</v>
          </cell>
          <cell r="H21">
            <v>10515</v>
          </cell>
          <cell r="J21">
            <v>701</v>
          </cell>
        </row>
        <row r="22">
          <cell r="E22">
            <v>27</v>
          </cell>
          <cell r="H22">
            <v>24896</v>
          </cell>
          <cell r="J22">
            <v>1421</v>
          </cell>
        </row>
        <row r="24">
          <cell r="E24">
            <v>13</v>
          </cell>
          <cell r="H24">
            <v>19117</v>
          </cell>
          <cell r="J24">
            <v>1220</v>
          </cell>
        </row>
        <row r="27">
          <cell r="E27">
            <v>16</v>
          </cell>
          <cell r="H27">
            <v>705</v>
          </cell>
          <cell r="J27">
            <v>47</v>
          </cell>
        </row>
        <row r="28">
          <cell r="E28">
            <v>13</v>
          </cell>
          <cell r="H28">
            <v>18831</v>
          </cell>
          <cell r="J28">
            <v>1389</v>
          </cell>
        </row>
        <row r="33">
          <cell r="E33">
            <v>35</v>
          </cell>
          <cell r="H33">
            <v>17828</v>
          </cell>
          <cell r="J33">
            <v>1136</v>
          </cell>
        </row>
        <row r="34">
          <cell r="E34">
            <v>5</v>
          </cell>
          <cell r="H34">
            <v>255</v>
          </cell>
          <cell r="J34">
            <v>17</v>
          </cell>
        </row>
        <row r="35">
          <cell r="E35">
            <v>7</v>
          </cell>
          <cell r="H35">
            <v>2520</v>
          </cell>
          <cell r="J35">
            <v>118</v>
          </cell>
        </row>
        <row r="38">
          <cell r="E38">
            <v>21</v>
          </cell>
          <cell r="H38">
            <v>18094</v>
          </cell>
          <cell r="J38">
            <v>1030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43">
          <cell r="E43">
            <v>43</v>
          </cell>
          <cell r="H43">
            <v>46600</v>
          </cell>
          <cell r="J43">
            <v>1538</v>
          </cell>
        </row>
        <row r="45">
          <cell r="E45">
            <v>20</v>
          </cell>
          <cell r="H45">
            <v>33042</v>
          </cell>
          <cell r="J45">
            <v>1236</v>
          </cell>
        </row>
        <row r="47">
          <cell r="E47">
            <v>10</v>
          </cell>
          <cell r="H47">
            <v>975</v>
          </cell>
          <cell r="J47">
            <v>50</v>
          </cell>
        </row>
        <row r="49">
          <cell r="E49">
            <v>37</v>
          </cell>
          <cell r="H49">
            <v>22187</v>
          </cell>
          <cell r="J49">
            <v>863</v>
          </cell>
        </row>
        <row r="51">
          <cell r="E51">
            <v>24</v>
          </cell>
          <cell r="H51">
            <v>22718</v>
          </cell>
          <cell r="J51">
            <v>704</v>
          </cell>
        </row>
        <row r="52">
          <cell r="E52">
            <v>19</v>
          </cell>
          <cell r="H52">
            <v>26976</v>
          </cell>
          <cell r="J52">
            <v>1351</v>
          </cell>
        </row>
        <row r="55">
          <cell r="E55">
            <v>17</v>
          </cell>
          <cell r="H55">
            <v>14204</v>
          </cell>
          <cell r="J55">
            <v>505</v>
          </cell>
        </row>
        <row r="57">
          <cell r="E57">
            <v>37</v>
          </cell>
          <cell r="H57">
            <v>39747</v>
          </cell>
          <cell r="J57">
            <v>1255</v>
          </cell>
        </row>
        <row r="58">
          <cell r="E58">
            <v>21</v>
          </cell>
          <cell r="H58">
            <v>44954</v>
          </cell>
          <cell r="J58">
            <v>1785</v>
          </cell>
        </row>
        <row r="59">
          <cell r="E59">
            <v>29</v>
          </cell>
          <cell r="H59">
            <v>56592</v>
          </cell>
          <cell r="J59">
            <v>2213</v>
          </cell>
        </row>
        <row r="60">
          <cell r="E60">
            <v>35</v>
          </cell>
          <cell r="H60">
            <v>28488</v>
          </cell>
          <cell r="J60">
            <v>1743</v>
          </cell>
        </row>
        <row r="63">
          <cell r="E63">
            <v>54</v>
          </cell>
          <cell r="H63">
            <v>99118</v>
          </cell>
          <cell r="J63">
            <v>3416</v>
          </cell>
        </row>
        <row r="65">
          <cell r="E65">
            <v>20</v>
          </cell>
          <cell r="H65">
            <v>30114</v>
          </cell>
          <cell r="J65">
            <v>1425</v>
          </cell>
        </row>
        <row r="66">
          <cell r="E66">
            <v>10</v>
          </cell>
          <cell r="H66">
            <v>14209</v>
          </cell>
          <cell r="J66">
            <v>608</v>
          </cell>
        </row>
        <row r="67">
          <cell r="E67">
            <v>10</v>
          </cell>
          <cell r="H67">
            <v>10016</v>
          </cell>
          <cell r="J67">
            <v>457</v>
          </cell>
        </row>
        <row r="68">
          <cell r="E68">
            <v>18</v>
          </cell>
          <cell r="H68">
            <v>20982</v>
          </cell>
          <cell r="J68">
            <v>1228</v>
          </cell>
        </row>
        <row r="72">
          <cell r="E72">
            <v>14</v>
          </cell>
          <cell r="H72">
            <v>3705</v>
          </cell>
          <cell r="J72">
            <v>152</v>
          </cell>
        </row>
        <row r="181">
          <cell r="E181">
            <v>3</v>
          </cell>
          <cell r="H181">
            <v>4110</v>
          </cell>
          <cell r="J181">
            <v>117</v>
          </cell>
        </row>
        <row r="190">
          <cell r="E190">
            <v>3</v>
          </cell>
          <cell r="H190">
            <v>1738</v>
          </cell>
          <cell r="J190">
            <v>106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78">
          <cell r="E78">
            <v>30</v>
          </cell>
          <cell r="H78">
            <v>32563</v>
          </cell>
          <cell r="J78">
            <v>1307</v>
          </cell>
        </row>
        <row r="82">
          <cell r="E82">
            <v>11</v>
          </cell>
          <cell r="H82">
            <v>20448</v>
          </cell>
          <cell r="J82">
            <v>241</v>
          </cell>
        </row>
        <row r="97">
          <cell r="E97">
            <v>44</v>
          </cell>
          <cell r="H97">
            <v>158881</v>
          </cell>
          <cell r="J97">
            <v>11424</v>
          </cell>
        </row>
        <row r="99">
          <cell r="E99">
            <v>27</v>
          </cell>
          <cell r="H99">
            <v>40243</v>
          </cell>
          <cell r="J99">
            <v>2517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79">
          <cell r="E79">
            <v>35</v>
          </cell>
          <cell r="H79">
            <v>70291</v>
          </cell>
          <cell r="J79">
            <v>4298</v>
          </cell>
        </row>
        <row r="81">
          <cell r="E81">
            <v>29</v>
          </cell>
          <cell r="H81">
            <v>57753</v>
          </cell>
          <cell r="J81">
            <v>3479</v>
          </cell>
        </row>
        <row r="84">
          <cell r="E84">
            <v>37</v>
          </cell>
          <cell r="H84">
            <v>80708</v>
          </cell>
          <cell r="J84">
            <v>4787</v>
          </cell>
        </row>
        <row r="85">
          <cell r="H85">
            <v>63164</v>
          </cell>
          <cell r="J85">
            <v>3602</v>
          </cell>
        </row>
        <row r="86">
          <cell r="E86">
            <v>31</v>
          </cell>
          <cell r="H86">
            <v>17018</v>
          </cell>
          <cell r="J86">
            <v>1379</v>
          </cell>
        </row>
        <row r="89">
          <cell r="E89">
            <v>21</v>
          </cell>
          <cell r="H89">
            <v>11864</v>
          </cell>
          <cell r="J89">
            <v>922</v>
          </cell>
        </row>
        <row r="91">
          <cell r="E91">
            <v>32</v>
          </cell>
          <cell r="H91">
            <v>16181</v>
          </cell>
          <cell r="J91">
            <v>1392</v>
          </cell>
        </row>
        <row r="93">
          <cell r="E93">
            <v>50</v>
          </cell>
          <cell r="H93">
            <v>104557</v>
          </cell>
          <cell r="J93">
            <v>5997</v>
          </cell>
        </row>
        <row r="94">
          <cell r="E94">
            <v>19</v>
          </cell>
          <cell r="H94">
            <v>21787</v>
          </cell>
          <cell r="J94">
            <v>1867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92">
          <cell r="D92">
            <v>11</v>
          </cell>
          <cell r="H92">
            <v>10500</v>
          </cell>
          <cell r="J92">
            <v>718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109">
          <cell r="E109">
            <v>4</v>
          </cell>
          <cell r="H109">
            <v>1069</v>
          </cell>
          <cell r="J109">
            <v>60</v>
          </cell>
        </row>
        <row r="111">
          <cell r="E111">
            <v>35</v>
          </cell>
          <cell r="H111">
            <v>20260</v>
          </cell>
          <cell r="J111">
            <v>1302</v>
          </cell>
        </row>
        <row r="112">
          <cell r="E112">
            <v>71</v>
          </cell>
          <cell r="H112">
            <v>47399</v>
          </cell>
          <cell r="J112">
            <v>3145</v>
          </cell>
        </row>
        <row r="113">
          <cell r="E113">
            <v>68</v>
          </cell>
          <cell r="H113">
            <v>43391</v>
          </cell>
          <cell r="J113">
            <v>2525</v>
          </cell>
        </row>
        <row r="114">
          <cell r="E114">
            <v>37</v>
          </cell>
          <cell r="H114">
            <v>40152</v>
          </cell>
          <cell r="J114">
            <v>2621</v>
          </cell>
        </row>
        <row r="115">
          <cell r="E115">
            <v>15</v>
          </cell>
          <cell r="H115">
            <v>19628</v>
          </cell>
          <cell r="J115">
            <v>1252</v>
          </cell>
        </row>
        <row r="116">
          <cell r="E116">
            <v>21</v>
          </cell>
          <cell r="H116">
            <v>21962</v>
          </cell>
          <cell r="J116">
            <v>1534</v>
          </cell>
        </row>
        <row r="118">
          <cell r="E118">
            <v>7</v>
          </cell>
          <cell r="H118">
            <v>9259</v>
          </cell>
          <cell r="J118">
            <v>736</v>
          </cell>
        </row>
        <row r="119">
          <cell r="E119">
            <v>11</v>
          </cell>
          <cell r="H119">
            <v>21131</v>
          </cell>
          <cell r="J119">
            <v>1280</v>
          </cell>
        </row>
        <row r="122">
          <cell r="E122">
            <v>27</v>
          </cell>
          <cell r="H122">
            <v>34458</v>
          </cell>
          <cell r="J122">
            <v>2188</v>
          </cell>
        </row>
        <row r="123">
          <cell r="E123">
            <v>31</v>
          </cell>
          <cell r="H123">
            <v>84776</v>
          </cell>
          <cell r="J123">
            <v>5764</v>
          </cell>
        </row>
        <row r="125">
          <cell r="E125">
            <v>2</v>
          </cell>
          <cell r="H125">
            <v>302</v>
          </cell>
          <cell r="J125">
            <v>23</v>
          </cell>
        </row>
        <row r="126">
          <cell r="E126">
            <v>46</v>
          </cell>
          <cell r="H126">
            <v>26605</v>
          </cell>
          <cell r="J126">
            <v>1781</v>
          </cell>
        </row>
        <row r="128">
          <cell r="E128">
            <v>22</v>
          </cell>
          <cell r="H128">
            <v>35212</v>
          </cell>
          <cell r="J128">
            <v>2382</v>
          </cell>
        </row>
        <row r="130">
          <cell r="E130">
            <v>80</v>
          </cell>
          <cell r="H130">
            <v>102416</v>
          </cell>
          <cell r="J130">
            <v>7101</v>
          </cell>
        </row>
        <row r="132">
          <cell r="E132">
            <v>4</v>
          </cell>
          <cell r="H132">
            <v>695</v>
          </cell>
          <cell r="J132">
            <v>45</v>
          </cell>
        </row>
        <row r="133">
          <cell r="E133">
            <v>61</v>
          </cell>
          <cell r="H133">
            <v>85022</v>
          </cell>
          <cell r="J133">
            <v>4294</v>
          </cell>
        </row>
        <row r="134">
          <cell r="E134">
            <v>25</v>
          </cell>
          <cell r="H134">
            <v>25630</v>
          </cell>
          <cell r="J134">
            <v>1631</v>
          </cell>
        </row>
        <row r="135">
          <cell r="E135">
            <v>17</v>
          </cell>
          <cell r="H135">
            <v>17868</v>
          </cell>
          <cell r="J135">
            <v>1149</v>
          </cell>
        </row>
        <row r="139">
          <cell r="E139">
            <v>33</v>
          </cell>
          <cell r="H139">
            <v>18650</v>
          </cell>
          <cell r="J139">
            <v>1218</v>
          </cell>
        </row>
        <row r="141">
          <cell r="E141">
            <v>39</v>
          </cell>
          <cell r="H141">
            <v>34330</v>
          </cell>
          <cell r="J141">
            <v>2128</v>
          </cell>
        </row>
        <row r="143">
          <cell r="E143">
            <v>57</v>
          </cell>
          <cell r="H143">
            <v>38002</v>
          </cell>
          <cell r="J143">
            <v>2415</v>
          </cell>
        </row>
        <row r="144">
          <cell r="E144">
            <v>9</v>
          </cell>
          <cell r="H144">
            <v>17061</v>
          </cell>
          <cell r="J144">
            <v>1141</v>
          </cell>
        </row>
        <row r="145">
          <cell r="E145">
            <v>89</v>
          </cell>
          <cell r="H145">
            <v>119722</v>
          </cell>
          <cell r="J145">
            <v>5628</v>
          </cell>
        </row>
        <row r="146">
          <cell r="E146">
            <v>22</v>
          </cell>
          <cell r="H146">
            <v>28737</v>
          </cell>
          <cell r="J146">
            <v>1950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152">
          <cell r="E152">
            <v>1</v>
          </cell>
          <cell r="H152">
            <v>672</v>
          </cell>
          <cell r="J152">
            <v>32</v>
          </cell>
        </row>
        <row r="154">
          <cell r="E154">
            <v>10</v>
          </cell>
          <cell r="H154">
            <v>15972</v>
          </cell>
          <cell r="J154">
            <v>762</v>
          </cell>
        </row>
        <row r="156">
          <cell r="E156">
            <v>36</v>
          </cell>
          <cell r="H156">
            <v>4554</v>
          </cell>
          <cell r="J156">
            <v>207</v>
          </cell>
        </row>
        <row r="158">
          <cell r="E158">
            <v>26</v>
          </cell>
          <cell r="H158">
            <v>39809</v>
          </cell>
          <cell r="J158">
            <v>1995</v>
          </cell>
        </row>
        <row r="160">
          <cell r="E160">
            <v>9</v>
          </cell>
          <cell r="H160">
            <v>5102</v>
          </cell>
          <cell r="J160">
            <v>213</v>
          </cell>
        </row>
        <row r="162">
          <cell r="E162">
            <v>18</v>
          </cell>
          <cell r="H162">
            <v>5028</v>
          </cell>
          <cell r="J162">
            <v>215</v>
          </cell>
        </row>
        <row r="164">
          <cell r="E164">
            <v>15</v>
          </cell>
          <cell r="H164">
            <v>6792</v>
          </cell>
          <cell r="J164">
            <v>355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tabSelected="1" view="pageBreakPreview" zoomScaleNormal="87" zoomScaleSheetLayoutView="100" workbookViewId="0">
      <pane xSplit="2" ySplit="3" topLeftCell="H212" activePane="bottomRight" state="frozen"/>
      <selection activeCell="E4" sqref="E4"/>
      <selection pane="topRight" activeCell="E4" sqref="E4"/>
      <selection pane="bottomLeft" activeCell="E4" sqref="E4"/>
      <selection pane="bottomRight" activeCell="K225" sqref="K225"/>
    </sheetView>
  </sheetViews>
  <sheetFormatPr defaultColWidth="9.109375" defaultRowHeight="13.8" x14ac:dyDescent="0.25"/>
  <cols>
    <col min="1" max="1" width="13.44140625" style="2" customWidth="1"/>
    <col min="2" max="2" width="28.88671875" style="1" bestFit="1" customWidth="1"/>
    <col min="3" max="3" width="17.6640625" style="3" bestFit="1" customWidth="1"/>
    <col min="4" max="4" width="11.5546875" style="3" customWidth="1"/>
    <col min="5" max="7" width="15.5546875" style="3" customWidth="1"/>
    <col min="8" max="8" width="13.5546875" style="12" bestFit="1" customWidth="1"/>
    <col min="9" max="9" width="15.88671875" style="10" customWidth="1"/>
    <col min="10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180" t="s">
        <v>255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17" ht="53.25" customHeight="1" x14ac:dyDescent="0.25">
      <c r="A2" s="181" t="s">
        <v>40</v>
      </c>
      <c r="B2" s="183" t="s">
        <v>41</v>
      </c>
      <c r="C2" s="183" t="s">
        <v>226</v>
      </c>
      <c r="D2" s="187" t="s">
        <v>42</v>
      </c>
      <c r="E2" s="187"/>
      <c r="F2" s="187"/>
      <c r="G2" s="187"/>
      <c r="H2" s="183" t="s">
        <v>45</v>
      </c>
      <c r="I2" s="187" t="s">
        <v>43</v>
      </c>
      <c r="J2" s="187"/>
      <c r="K2" s="187"/>
      <c r="L2" s="187"/>
      <c r="M2" s="183" t="s">
        <v>278</v>
      </c>
      <c r="N2" s="183"/>
      <c r="O2" s="183"/>
      <c r="P2" s="185" t="s">
        <v>44</v>
      </c>
    </row>
    <row r="3" spans="1:17" ht="37.5" customHeight="1" thickBot="1" x14ac:dyDescent="0.3">
      <c r="A3" s="182"/>
      <c r="B3" s="184"/>
      <c r="C3" s="184"/>
      <c r="D3" s="115" t="s">
        <v>232</v>
      </c>
      <c r="E3" s="115" t="s">
        <v>247</v>
      </c>
      <c r="F3" s="115" t="s">
        <v>275</v>
      </c>
      <c r="G3" s="115" t="s">
        <v>276</v>
      </c>
      <c r="H3" s="184"/>
      <c r="I3" s="115" t="s">
        <v>232</v>
      </c>
      <c r="J3" s="115" t="s">
        <v>247</v>
      </c>
      <c r="K3" s="115" t="s">
        <v>275</v>
      </c>
      <c r="L3" s="115" t="s">
        <v>276</v>
      </c>
      <c r="M3" s="144" t="s">
        <v>279</v>
      </c>
      <c r="N3" s="144" t="s">
        <v>277</v>
      </c>
      <c r="O3" s="115" t="s">
        <v>275</v>
      </c>
      <c r="P3" s="186"/>
    </row>
    <row r="4" spans="1:17" ht="10.5" customHeight="1" thickBot="1" x14ac:dyDescent="0.35">
      <c r="A4" s="14"/>
      <c r="B4" s="15"/>
      <c r="C4" s="16"/>
      <c r="D4" s="16"/>
      <c r="E4" s="16"/>
      <c r="F4" s="16"/>
      <c r="G4" s="16"/>
      <c r="H4" s="17"/>
      <c r="I4" s="18"/>
      <c r="J4" s="18"/>
      <c r="K4" s="18"/>
      <c r="L4" s="18"/>
      <c r="M4" s="17"/>
      <c r="N4" s="17"/>
      <c r="O4" s="17"/>
      <c r="P4" s="16"/>
    </row>
    <row r="5" spans="1:17" ht="21.75" customHeight="1" x14ac:dyDescent="0.25">
      <c r="A5" s="19" t="s">
        <v>46</v>
      </c>
      <c r="B5" s="20"/>
      <c r="C5" s="21"/>
      <c r="D5" s="21"/>
      <c r="E5" s="21"/>
      <c r="F5" s="21"/>
      <c r="G5" s="21"/>
      <c r="H5" s="21"/>
      <c r="I5" s="22"/>
      <c r="J5" s="22"/>
      <c r="K5" s="22"/>
      <c r="L5" s="22"/>
      <c r="M5" s="21"/>
      <c r="N5" s="21"/>
      <c r="O5" s="21"/>
      <c r="P5" s="23"/>
    </row>
    <row r="6" spans="1:17" x14ac:dyDescent="0.25">
      <c r="A6" s="24">
        <v>1</v>
      </c>
      <c r="B6" s="25" t="s">
        <v>47</v>
      </c>
      <c r="C6" s="26">
        <v>12</v>
      </c>
      <c r="D6" s="26">
        <v>12</v>
      </c>
      <c r="E6" s="26">
        <f>'[1]1.RSP Districts '!E6</f>
        <v>12</v>
      </c>
      <c r="F6" s="138">
        <f>(E6-D6)/D6%</f>
        <v>0</v>
      </c>
      <c r="G6" s="138">
        <f>E6/C6%</f>
        <v>100</v>
      </c>
      <c r="H6" s="26">
        <v>43884</v>
      </c>
      <c r="I6" s="26">
        <v>13848</v>
      </c>
      <c r="J6" s="26">
        <f>'[1]1.RSP Districts '!H6</f>
        <v>14029</v>
      </c>
      <c r="K6" s="138">
        <f>(J6-I6)/I6%</f>
        <v>1.3070479491623339</v>
      </c>
      <c r="L6" s="138">
        <f>J6/H6%</f>
        <v>31.968371160331785</v>
      </c>
      <c r="M6" s="27">
        <v>896</v>
      </c>
      <c r="N6" s="26">
        <f>'[1]1.RSP Districts '!J6</f>
        <v>908</v>
      </c>
      <c r="O6" s="138">
        <f>(N6-M6)/M6%</f>
        <v>1.3392857142857142</v>
      </c>
      <c r="P6" s="28" t="s">
        <v>6</v>
      </c>
      <c r="Q6" s="13"/>
    </row>
    <row r="7" spans="1:17" s="5" customFormat="1" ht="14.4" thickBot="1" x14ac:dyDescent="0.3">
      <c r="A7" s="29">
        <f>A6</f>
        <v>1</v>
      </c>
      <c r="B7" s="30" t="s">
        <v>48</v>
      </c>
      <c r="C7" s="31">
        <f t="shared" ref="C7" si="0">SUM(C6:C6)</f>
        <v>12</v>
      </c>
      <c r="D7" s="31">
        <f>D6</f>
        <v>12</v>
      </c>
      <c r="E7" s="31">
        <f>E6</f>
        <v>12</v>
      </c>
      <c r="F7" s="145">
        <f>(E7-D7)/D7%</f>
        <v>0</v>
      </c>
      <c r="G7" s="145">
        <f>E7/C7%</f>
        <v>100</v>
      </c>
      <c r="H7" s="31">
        <f t="shared" ref="H7" si="1">SUM(H6:H6)</f>
        <v>43884</v>
      </c>
      <c r="I7" s="31">
        <f>I6</f>
        <v>13848</v>
      </c>
      <c r="J7" s="31">
        <f>J6</f>
        <v>14029</v>
      </c>
      <c r="K7" s="145">
        <f>(J7-I7)/I7%</f>
        <v>1.3070479491623339</v>
      </c>
      <c r="L7" s="145">
        <f>J7/H7%</f>
        <v>31.968371160331785</v>
      </c>
      <c r="M7" s="31">
        <f>M6</f>
        <v>896</v>
      </c>
      <c r="N7" s="31">
        <f>N6</f>
        <v>908</v>
      </c>
      <c r="O7" s="145">
        <f>(N7-M7)/M7%</f>
        <v>1.3392857142857142</v>
      </c>
      <c r="P7" s="32"/>
    </row>
    <row r="8" spans="1:17" ht="4.5" customHeight="1" thickBot="1" x14ac:dyDescent="0.35">
      <c r="A8" s="14"/>
      <c r="B8" s="15"/>
      <c r="C8" s="71"/>
      <c r="D8" s="33"/>
      <c r="E8" s="33"/>
      <c r="F8" s="139"/>
      <c r="G8" s="139"/>
      <c r="H8" s="71"/>
      <c r="I8" s="33"/>
      <c r="J8" s="34"/>
      <c r="K8" s="34"/>
      <c r="L8" s="34"/>
      <c r="M8" s="34"/>
      <c r="N8" s="34"/>
      <c r="O8" s="34"/>
      <c r="P8" s="16"/>
    </row>
    <row r="9" spans="1:17" x14ac:dyDescent="0.25">
      <c r="A9" s="19" t="s">
        <v>49</v>
      </c>
      <c r="B9" s="20"/>
      <c r="C9" s="21"/>
      <c r="D9" s="35"/>
      <c r="E9" s="35"/>
      <c r="F9" s="140"/>
      <c r="G9" s="140"/>
      <c r="H9" s="21"/>
      <c r="I9" s="35"/>
      <c r="J9" s="36"/>
      <c r="K9" s="36"/>
      <c r="L9" s="36"/>
      <c r="M9" s="36"/>
      <c r="N9" s="36"/>
      <c r="O9" s="36"/>
      <c r="P9" s="23"/>
    </row>
    <row r="10" spans="1:17" x14ac:dyDescent="0.25">
      <c r="A10" s="24">
        <v>1</v>
      </c>
      <c r="B10" s="25" t="s">
        <v>50</v>
      </c>
      <c r="C10" s="26">
        <v>8</v>
      </c>
      <c r="D10" s="26">
        <v>8</v>
      </c>
      <c r="E10" s="26">
        <f>'[1]1.RSP Districts '!D10</f>
        <v>8</v>
      </c>
      <c r="F10" s="138">
        <f t="shared" ref="F10:F40" si="2">(E10-D10)/D10%</f>
        <v>0</v>
      </c>
      <c r="G10" s="138">
        <f t="shared" ref="G10:G40" si="3">E10/C10%</f>
        <v>100</v>
      </c>
      <c r="H10" s="26">
        <v>22144</v>
      </c>
      <c r="I10" s="26">
        <v>9345</v>
      </c>
      <c r="J10" s="26">
        <f>'[1]1.RSP Districts '!H10</f>
        <v>9360</v>
      </c>
      <c r="K10" s="138">
        <f t="shared" ref="K10:K40" si="4">(J10-I10)/I10%</f>
        <v>0.16051364365971107</v>
      </c>
      <c r="L10" s="138">
        <f t="shared" ref="L10:L40" si="5">J10/H10%</f>
        <v>42.26878612716763</v>
      </c>
      <c r="M10" s="27">
        <v>565</v>
      </c>
      <c r="N10" s="26">
        <f>'[1]1.RSP Districts '!J10</f>
        <v>566</v>
      </c>
      <c r="O10" s="138">
        <f t="shared" ref="O10:O40" si="6">(N10-M10)/M10%</f>
        <v>0.17699115044247787</v>
      </c>
      <c r="P10" s="28" t="s">
        <v>6</v>
      </c>
      <c r="Q10" s="13"/>
    </row>
    <row r="11" spans="1:17" x14ac:dyDescent="0.25">
      <c r="A11" s="24">
        <v>2</v>
      </c>
      <c r="B11" s="25" t="s">
        <v>192</v>
      </c>
      <c r="C11" s="26">
        <v>8</v>
      </c>
      <c r="D11" s="26">
        <v>0</v>
      </c>
      <c r="E11" s="26">
        <v>0</v>
      </c>
      <c r="F11" s="138">
        <v>0</v>
      </c>
      <c r="G11" s="138">
        <f t="shared" si="3"/>
        <v>0</v>
      </c>
      <c r="H11" s="26">
        <v>0</v>
      </c>
      <c r="I11" s="26">
        <v>0</v>
      </c>
      <c r="J11" s="26">
        <v>0</v>
      </c>
      <c r="K11" s="138">
        <v>0</v>
      </c>
      <c r="L11" s="138">
        <v>0</v>
      </c>
      <c r="M11" s="27">
        <v>0</v>
      </c>
      <c r="N11" s="27">
        <v>0</v>
      </c>
      <c r="O11" s="138">
        <v>0</v>
      </c>
      <c r="P11" s="107">
        <v>0</v>
      </c>
      <c r="Q11" s="13"/>
    </row>
    <row r="12" spans="1:17" x14ac:dyDescent="0.25">
      <c r="A12" s="24">
        <v>3</v>
      </c>
      <c r="B12" s="25" t="s">
        <v>51</v>
      </c>
      <c r="C12" s="26">
        <v>27</v>
      </c>
      <c r="D12" s="26">
        <v>1</v>
      </c>
      <c r="E12" s="26">
        <f>'[2]1.RSP Districts '!E12</f>
        <v>1</v>
      </c>
      <c r="F12" s="138">
        <f t="shared" si="2"/>
        <v>0</v>
      </c>
      <c r="G12" s="138">
        <f t="shared" si="3"/>
        <v>3.7037037037037033</v>
      </c>
      <c r="H12" s="26">
        <v>35003</v>
      </c>
      <c r="I12" s="26">
        <v>2434</v>
      </c>
      <c r="J12" s="26">
        <f>'[2]1.RSP Districts '!H12</f>
        <v>2434</v>
      </c>
      <c r="K12" s="138">
        <f t="shared" si="4"/>
        <v>0</v>
      </c>
      <c r="L12" s="138">
        <f t="shared" si="5"/>
        <v>6.953689683741394</v>
      </c>
      <c r="M12" s="26">
        <f>162-53</f>
        <v>109</v>
      </c>
      <c r="N12" s="26">
        <f>'[2]1.RSP Districts '!J12</f>
        <v>109</v>
      </c>
      <c r="O12" s="138">
        <f t="shared" si="6"/>
        <v>0</v>
      </c>
      <c r="P12" s="28" t="s">
        <v>4</v>
      </c>
      <c r="Q12" s="13"/>
    </row>
    <row r="13" spans="1:17" x14ac:dyDescent="0.25">
      <c r="A13" s="24">
        <v>4</v>
      </c>
      <c r="B13" s="25" t="s">
        <v>193</v>
      </c>
      <c r="C13" s="26">
        <v>10</v>
      </c>
      <c r="D13" s="26">
        <v>0</v>
      </c>
      <c r="E13" s="26">
        <v>0</v>
      </c>
      <c r="F13" s="138">
        <v>0</v>
      </c>
      <c r="G13" s="138">
        <f t="shared" si="3"/>
        <v>0</v>
      </c>
      <c r="H13" s="26">
        <v>0</v>
      </c>
      <c r="I13" s="26">
        <v>0</v>
      </c>
      <c r="J13" s="26">
        <v>0</v>
      </c>
      <c r="K13" s="138">
        <v>0</v>
      </c>
      <c r="L13" s="138">
        <v>0</v>
      </c>
      <c r="M13" s="27">
        <v>0</v>
      </c>
      <c r="N13" s="27">
        <v>0</v>
      </c>
      <c r="O13" s="138">
        <v>0</v>
      </c>
      <c r="P13" s="107">
        <v>0</v>
      </c>
      <c r="Q13" s="13"/>
    </row>
    <row r="14" spans="1:17" x14ac:dyDescent="0.25">
      <c r="A14" s="24">
        <v>5</v>
      </c>
      <c r="B14" s="25" t="s">
        <v>194</v>
      </c>
      <c r="C14" s="26">
        <v>12</v>
      </c>
      <c r="D14" s="26">
        <v>0</v>
      </c>
      <c r="E14" s="26">
        <v>0</v>
      </c>
      <c r="F14" s="138">
        <v>0</v>
      </c>
      <c r="G14" s="138">
        <f t="shared" si="3"/>
        <v>0</v>
      </c>
      <c r="H14" s="26">
        <v>0</v>
      </c>
      <c r="I14" s="26">
        <v>0</v>
      </c>
      <c r="J14" s="26">
        <v>0</v>
      </c>
      <c r="K14" s="138">
        <v>0</v>
      </c>
      <c r="L14" s="138">
        <v>0</v>
      </c>
      <c r="M14" s="27">
        <v>0</v>
      </c>
      <c r="N14" s="27">
        <v>0</v>
      </c>
      <c r="O14" s="138">
        <v>0</v>
      </c>
      <c r="P14" s="107">
        <v>0</v>
      </c>
      <c r="Q14" s="13"/>
    </row>
    <row r="15" spans="1:17" x14ac:dyDescent="0.25">
      <c r="A15" s="24">
        <v>6</v>
      </c>
      <c r="B15" s="25" t="s">
        <v>52</v>
      </c>
      <c r="C15" s="26">
        <v>13</v>
      </c>
      <c r="D15" s="26">
        <v>13</v>
      </c>
      <c r="E15" s="26">
        <f>'[1]1.RSP Districts '!D15</f>
        <v>13</v>
      </c>
      <c r="F15" s="138">
        <f t="shared" si="2"/>
        <v>0</v>
      </c>
      <c r="G15" s="138">
        <f t="shared" si="3"/>
        <v>100</v>
      </c>
      <c r="H15" s="26">
        <v>16691</v>
      </c>
      <c r="I15" s="26">
        <v>13053</v>
      </c>
      <c r="J15" s="26">
        <f>'[1]1.RSP Districts '!H15</f>
        <v>15882</v>
      </c>
      <c r="K15" s="138">
        <f t="shared" si="4"/>
        <v>21.673178579636865</v>
      </c>
      <c r="L15" s="138">
        <f t="shared" si="5"/>
        <v>95.153076508297886</v>
      </c>
      <c r="M15" s="27">
        <v>633</v>
      </c>
      <c r="N15" s="26">
        <f>'[1]1.RSP Districts '!J15</f>
        <v>664</v>
      </c>
      <c r="O15" s="138">
        <f t="shared" si="6"/>
        <v>4.8973143759873619</v>
      </c>
      <c r="P15" s="28" t="s">
        <v>6</v>
      </c>
      <c r="Q15" s="13"/>
    </row>
    <row r="16" spans="1:17" x14ac:dyDescent="0.25">
      <c r="A16" s="24">
        <v>7</v>
      </c>
      <c r="B16" s="25" t="s">
        <v>195</v>
      </c>
      <c r="C16" s="26">
        <v>10</v>
      </c>
      <c r="D16" s="26">
        <v>0</v>
      </c>
      <c r="E16" s="26">
        <v>0</v>
      </c>
      <c r="F16" s="138">
        <v>0</v>
      </c>
      <c r="G16" s="138">
        <f t="shared" si="3"/>
        <v>0</v>
      </c>
      <c r="H16" s="26">
        <v>0</v>
      </c>
      <c r="I16" s="26">
        <v>0</v>
      </c>
      <c r="J16" s="26">
        <v>0</v>
      </c>
      <c r="K16" s="138">
        <v>0</v>
      </c>
      <c r="L16" s="138">
        <v>0</v>
      </c>
      <c r="M16" s="27">
        <v>0</v>
      </c>
      <c r="N16" s="27">
        <v>0</v>
      </c>
      <c r="O16" s="138">
        <v>0</v>
      </c>
      <c r="P16" s="107">
        <v>0</v>
      </c>
      <c r="Q16" s="13"/>
    </row>
    <row r="17" spans="1:17" x14ac:dyDescent="0.25">
      <c r="A17" s="24">
        <v>8</v>
      </c>
      <c r="B17" s="25" t="s">
        <v>53</v>
      </c>
      <c r="C17" s="26">
        <v>9</v>
      </c>
      <c r="D17" s="26">
        <v>9</v>
      </c>
      <c r="E17" s="26">
        <f>'[2]1.RSP Districts '!E17</f>
        <v>9</v>
      </c>
      <c r="F17" s="138">
        <f t="shared" si="2"/>
        <v>0</v>
      </c>
      <c r="G17" s="138">
        <f t="shared" si="3"/>
        <v>100</v>
      </c>
      <c r="H17" s="26">
        <v>16184</v>
      </c>
      <c r="I17" s="26">
        <v>6090</v>
      </c>
      <c r="J17" s="26">
        <f>'[2]1.RSP Districts '!H17</f>
        <v>6885</v>
      </c>
      <c r="K17" s="138">
        <f t="shared" si="4"/>
        <v>13.054187192118228</v>
      </c>
      <c r="L17" s="138">
        <f t="shared" si="5"/>
        <v>42.542016806722685</v>
      </c>
      <c r="M17" s="26">
        <f>459-53</f>
        <v>406</v>
      </c>
      <c r="N17" s="26">
        <f>'[2]1.RSP Districts '!J17</f>
        <v>459</v>
      </c>
      <c r="O17" s="138">
        <f t="shared" si="6"/>
        <v>13.054187192118228</v>
      </c>
      <c r="P17" s="28" t="s">
        <v>4</v>
      </c>
      <c r="Q17" s="13"/>
    </row>
    <row r="18" spans="1:17" x14ac:dyDescent="0.25">
      <c r="A18" s="24">
        <v>9</v>
      </c>
      <c r="B18" s="25" t="s">
        <v>54</v>
      </c>
      <c r="C18" s="26">
        <v>46</v>
      </c>
      <c r="D18" s="26">
        <v>22</v>
      </c>
      <c r="E18" s="26">
        <f>'[2]1.RSP Districts '!E18</f>
        <v>22</v>
      </c>
      <c r="F18" s="138">
        <f t="shared" si="2"/>
        <v>0</v>
      </c>
      <c r="G18" s="138">
        <f t="shared" si="3"/>
        <v>47.826086956521735</v>
      </c>
      <c r="H18" s="26">
        <v>52664</v>
      </c>
      <c r="I18" s="26">
        <v>5659</v>
      </c>
      <c r="J18" s="26">
        <f>'[2]1.RSP Districts '!H18</f>
        <v>5659</v>
      </c>
      <c r="K18" s="138">
        <f t="shared" si="4"/>
        <v>0</v>
      </c>
      <c r="L18" s="138">
        <f t="shared" si="5"/>
        <v>10.745480783837156</v>
      </c>
      <c r="M18" s="26">
        <v>128</v>
      </c>
      <c r="N18" s="26">
        <f>'[2]1.RSP Districts '!J18</f>
        <v>128</v>
      </c>
      <c r="O18" s="138">
        <f t="shared" si="6"/>
        <v>0</v>
      </c>
      <c r="P18" s="28" t="s">
        <v>4</v>
      </c>
      <c r="Q18" s="13"/>
    </row>
    <row r="19" spans="1:17" x14ac:dyDescent="0.25">
      <c r="A19" s="24">
        <v>10</v>
      </c>
      <c r="B19" s="25" t="s">
        <v>55</v>
      </c>
      <c r="C19" s="26">
        <v>18</v>
      </c>
      <c r="D19" s="26">
        <v>15</v>
      </c>
      <c r="E19" s="26">
        <f>'[2]1.RSP Districts '!E19</f>
        <v>15</v>
      </c>
      <c r="F19" s="138">
        <f t="shared" si="2"/>
        <v>0</v>
      </c>
      <c r="G19" s="138">
        <f t="shared" si="3"/>
        <v>83.333333333333343</v>
      </c>
      <c r="H19" s="26">
        <v>31396</v>
      </c>
      <c r="I19" s="26">
        <v>28829</v>
      </c>
      <c r="J19" s="26">
        <f>'[2]1.RSP Districts '!H19</f>
        <v>28829</v>
      </c>
      <c r="K19" s="138">
        <f t="shared" si="4"/>
        <v>0</v>
      </c>
      <c r="L19" s="138">
        <f t="shared" si="5"/>
        <v>91.823799210090456</v>
      </c>
      <c r="M19" s="26">
        <f>1922-53</f>
        <v>1869</v>
      </c>
      <c r="N19" s="26">
        <f>'[2]1.RSP Districts '!J19</f>
        <v>1869</v>
      </c>
      <c r="O19" s="138">
        <f t="shared" si="6"/>
        <v>0</v>
      </c>
      <c r="P19" s="28" t="s">
        <v>4</v>
      </c>
      <c r="Q19" s="13"/>
    </row>
    <row r="20" spans="1:17" x14ac:dyDescent="0.25">
      <c r="A20" s="24">
        <v>11</v>
      </c>
      <c r="B20" s="25" t="s">
        <v>56</v>
      </c>
      <c r="C20" s="26">
        <v>38</v>
      </c>
      <c r="D20" s="26">
        <v>38</v>
      </c>
      <c r="E20" s="26">
        <f>'[1]1.RSP Districts '!D20</f>
        <v>38</v>
      </c>
      <c r="F20" s="138">
        <f t="shared" si="2"/>
        <v>0</v>
      </c>
      <c r="G20" s="138">
        <f t="shared" si="3"/>
        <v>100</v>
      </c>
      <c r="H20" s="26">
        <v>70164</v>
      </c>
      <c r="I20" s="26">
        <v>38239</v>
      </c>
      <c r="J20" s="26">
        <f>'[1]1.RSP Districts '!H20</f>
        <v>38439</v>
      </c>
      <c r="K20" s="138">
        <f t="shared" si="4"/>
        <v>0.52302622976542279</v>
      </c>
      <c r="L20" s="138">
        <f t="shared" si="5"/>
        <v>54.784504874294512</v>
      </c>
      <c r="M20" s="27">
        <v>1751</v>
      </c>
      <c r="N20" s="26">
        <f>'[1]1.RSP Districts '!J20</f>
        <v>1763</v>
      </c>
      <c r="O20" s="138">
        <f t="shared" si="6"/>
        <v>0.68532267275842373</v>
      </c>
      <c r="P20" s="28" t="s">
        <v>6</v>
      </c>
      <c r="Q20" s="13"/>
    </row>
    <row r="21" spans="1:17" x14ac:dyDescent="0.25">
      <c r="A21" s="24">
        <v>12</v>
      </c>
      <c r="B21" s="25" t="s">
        <v>57</v>
      </c>
      <c r="C21" s="26">
        <v>7</v>
      </c>
      <c r="D21" s="26">
        <v>7</v>
      </c>
      <c r="E21" s="26">
        <f>'[2]1.RSP Districts '!E21</f>
        <v>7</v>
      </c>
      <c r="F21" s="138">
        <f t="shared" si="2"/>
        <v>0</v>
      </c>
      <c r="G21" s="138">
        <f t="shared" si="3"/>
        <v>99.999999999999986</v>
      </c>
      <c r="H21" s="26">
        <v>14328.125</v>
      </c>
      <c r="I21" s="26">
        <v>9540</v>
      </c>
      <c r="J21" s="26">
        <f>'[2]1.RSP Districts '!H21</f>
        <v>10515</v>
      </c>
      <c r="K21" s="138">
        <f t="shared" si="4"/>
        <v>10.220125786163521</v>
      </c>
      <c r="L21" s="138">
        <f t="shared" si="5"/>
        <v>73.387131952017455</v>
      </c>
      <c r="M21" s="26">
        <f>689-53</f>
        <v>636</v>
      </c>
      <c r="N21" s="26">
        <f>'[2]1.RSP Districts '!J21</f>
        <v>701</v>
      </c>
      <c r="O21" s="138">
        <f t="shared" si="6"/>
        <v>10.220125786163521</v>
      </c>
      <c r="P21" s="28" t="s">
        <v>4</v>
      </c>
      <c r="Q21" s="13"/>
    </row>
    <row r="22" spans="1:17" x14ac:dyDescent="0.25">
      <c r="A22" s="24">
        <v>13</v>
      </c>
      <c r="B22" s="25" t="s">
        <v>58</v>
      </c>
      <c r="C22" s="26">
        <v>35</v>
      </c>
      <c r="D22" s="26">
        <v>27</v>
      </c>
      <c r="E22" s="26">
        <f>'[2]1.RSP Districts '!E22</f>
        <v>27</v>
      </c>
      <c r="F22" s="138">
        <f t="shared" si="2"/>
        <v>0</v>
      </c>
      <c r="G22" s="138">
        <f t="shared" si="3"/>
        <v>77.142857142857153</v>
      </c>
      <c r="H22" s="26">
        <v>60032</v>
      </c>
      <c r="I22" s="26">
        <v>23871</v>
      </c>
      <c r="J22" s="26">
        <f>'[2]1.RSP Districts '!H22</f>
        <v>24896</v>
      </c>
      <c r="K22" s="138">
        <f t="shared" si="4"/>
        <v>4.2939131163336262</v>
      </c>
      <c r="L22" s="138">
        <f t="shared" si="5"/>
        <v>41.471215351812361</v>
      </c>
      <c r="M22" s="26">
        <f>1415-53</f>
        <v>1362</v>
      </c>
      <c r="N22" s="26">
        <f>'[2]1.RSP Districts '!J22</f>
        <v>1421</v>
      </c>
      <c r="O22" s="138">
        <f t="shared" si="6"/>
        <v>4.3318649045521296</v>
      </c>
      <c r="P22" s="28" t="s">
        <v>4</v>
      </c>
      <c r="Q22" s="13"/>
    </row>
    <row r="23" spans="1:17" x14ac:dyDescent="0.25">
      <c r="A23" s="24">
        <v>14</v>
      </c>
      <c r="B23" s="25" t="s">
        <v>196</v>
      </c>
      <c r="C23" s="26">
        <v>25</v>
      </c>
      <c r="D23" s="26">
        <v>0</v>
      </c>
      <c r="E23" s="26">
        <v>0</v>
      </c>
      <c r="F23" s="138">
        <v>0</v>
      </c>
      <c r="G23" s="138">
        <f t="shared" si="3"/>
        <v>0</v>
      </c>
      <c r="H23" s="26">
        <v>0</v>
      </c>
      <c r="I23" s="26">
        <v>0</v>
      </c>
      <c r="J23" s="26">
        <v>0</v>
      </c>
      <c r="K23" s="138">
        <v>0</v>
      </c>
      <c r="L23" s="138">
        <v>0</v>
      </c>
      <c r="M23" s="26">
        <v>0</v>
      </c>
      <c r="N23" s="27">
        <v>0</v>
      </c>
      <c r="O23" s="138">
        <v>0</v>
      </c>
      <c r="P23" s="107">
        <v>0</v>
      </c>
      <c r="Q23" s="13"/>
    </row>
    <row r="24" spans="1:17" x14ac:dyDescent="0.25">
      <c r="A24" s="24">
        <v>15</v>
      </c>
      <c r="B24" s="25" t="s">
        <v>59</v>
      </c>
      <c r="C24" s="26">
        <v>15</v>
      </c>
      <c r="D24" s="26">
        <v>13</v>
      </c>
      <c r="E24" s="26">
        <f>'[2]1.RSP Districts '!E24</f>
        <v>13</v>
      </c>
      <c r="F24" s="138">
        <f t="shared" si="2"/>
        <v>0</v>
      </c>
      <c r="G24" s="138">
        <f t="shared" si="3"/>
        <v>86.666666666666671</v>
      </c>
      <c r="H24" s="26">
        <v>28796</v>
      </c>
      <c r="I24" s="26">
        <v>18542</v>
      </c>
      <c r="J24" s="26">
        <f>'[2]1.RSP Districts '!H24</f>
        <v>19117</v>
      </c>
      <c r="K24" s="138">
        <f t="shared" si="4"/>
        <v>3.1010678459713086</v>
      </c>
      <c r="L24" s="138">
        <f t="shared" si="5"/>
        <v>66.387692735102107</v>
      </c>
      <c r="M24" s="26">
        <f>1236-53</f>
        <v>1183</v>
      </c>
      <c r="N24" s="26">
        <f>'[2]1.RSP Districts '!J24</f>
        <v>1220</v>
      </c>
      <c r="O24" s="138">
        <f t="shared" si="6"/>
        <v>3.1276415891800506</v>
      </c>
      <c r="P24" s="28" t="s">
        <v>4</v>
      </c>
      <c r="Q24" s="13"/>
    </row>
    <row r="25" spans="1:17" x14ac:dyDescent="0.25">
      <c r="A25" s="24">
        <v>16</v>
      </c>
      <c r="B25" s="25" t="s">
        <v>197</v>
      </c>
      <c r="C25" s="26">
        <v>8</v>
      </c>
      <c r="D25" s="26">
        <v>0</v>
      </c>
      <c r="E25" s="26">
        <v>0</v>
      </c>
      <c r="F25" s="138">
        <v>0</v>
      </c>
      <c r="G25" s="138">
        <f t="shared" si="3"/>
        <v>0</v>
      </c>
      <c r="H25" s="26">
        <v>0</v>
      </c>
      <c r="I25" s="26">
        <v>0</v>
      </c>
      <c r="J25" s="26">
        <v>0</v>
      </c>
      <c r="K25" s="138">
        <v>0</v>
      </c>
      <c r="L25" s="138">
        <v>0</v>
      </c>
      <c r="M25" s="27">
        <v>0</v>
      </c>
      <c r="N25" s="27">
        <v>0</v>
      </c>
      <c r="O25" s="138">
        <v>0</v>
      </c>
      <c r="P25" s="107">
        <v>0</v>
      </c>
      <c r="Q25" s="13"/>
    </row>
    <row r="26" spans="1:17" x14ac:dyDescent="0.25">
      <c r="A26" s="24">
        <v>17</v>
      </c>
      <c r="B26" s="25" t="s">
        <v>60</v>
      </c>
      <c r="C26" s="26">
        <v>22</v>
      </c>
      <c r="D26" s="26">
        <v>0</v>
      </c>
      <c r="E26" s="26">
        <f>'[1]1.RSP Districts '!D26</f>
        <v>0</v>
      </c>
      <c r="F26" s="138">
        <v>0</v>
      </c>
      <c r="G26" s="138">
        <f t="shared" si="3"/>
        <v>0</v>
      </c>
      <c r="H26" s="26">
        <v>34637</v>
      </c>
      <c r="I26" s="26">
        <v>0</v>
      </c>
      <c r="J26" s="26">
        <f>'[1]1.RSP Districts '!H26</f>
        <v>0</v>
      </c>
      <c r="K26" s="138">
        <v>0</v>
      </c>
      <c r="L26" s="138">
        <f t="shared" si="5"/>
        <v>0</v>
      </c>
      <c r="M26" s="27">
        <v>0</v>
      </c>
      <c r="N26" s="26">
        <f>'[1]1.RSP Districts '!J26</f>
        <v>0</v>
      </c>
      <c r="O26" s="138">
        <v>0</v>
      </c>
      <c r="P26" s="28" t="s">
        <v>6</v>
      </c>
      <c r="Q26" s="13"/>
    </row>
    <row r="27" spans="1:17" x14ac:dyDescent="0.25">
      <c r="A27" s="24">
        <v>18</v>
      </c>
      <c r="B27" s="25" t="s">
        <v>198</v>
      </c>
      <c r="C27" s="26">
        <v>20</v>
      </c>
      <c r="D27" s="26">
        <v>0</v>
      </c>
      <c r="E27" s="26">
        <f>'[2]1.RSP Districts '!E27</f>
        <v>16</v>
      </c>
      <c r="F27" s="138">
        <v>0</v>
      </c>
      <c r="G27" s="138">
        <f t="shared" si="3"/>
        <v>80</v>
      </c>
      <c r="H27" s="26">
        <v>0</v>
      </c>
      <c r="I27" s="26">
        <v>0</v>
      </c>
      <c r="J27" s="26">
        <f>'[2]1.RSP Districts '!H27</f>
        <v>705</v>
      </c>
      <c r="K27" s="138">
        <v>0</v>
      </c>
      <c r="L27" s="138">
        <v>0</v>
      </c>
      <c r="M27" s="27">
        <v>0</v>
      </c>
      <c r="N27" s="26">
        <f>'[2]1.RSP Districts '!J27</f>
        <v>47</v>
      </c>
      <c r="O27" s="138">
        <v>0</v>
      </c>
      <c r="P27" s="107" t="s">
        <v>4</v>
      </c>
      <c r="Q27" s="13"/>
    </row>
    <row r="28" spans="1:17" x14ac:dyDescent="0.25">
      <c r="A28" s="24">
        <v>19</v>
      </c>
      <c r="B28" s="25" t="s">
        <v>61</v>
      </c>
      <c r="C28" s="26">
        <v>13</v>
      </c>
      <c r="D28" s="26">
        <v>13</v>
      </c>
      <c r="E28" s="26">
        <f>'[2]1.RSP Districts '!E28</f>
        <v>13</v>
      </c>
      <c r="F28" s="138">
        <f t="shared" si="2"/>
        <v>0</v>
      </c>
      <c r="G28" s="138">
        <f t="shared" si="3"/>
        <v>100</v>
      </c>
      <c r="H28" s="26">
        <v>18831</v>
      </c>
      <c r="I28" s="26">
        <v>18831</v>
      </c>
      <c r="J28" s="26">
        <f>'[2]1.RSP Districts '!H28</f>
        <v>18831</v>
      </c>
      <c r="K28" s="138">
        <f t="shared" si="4"/>
        <v>0</v>
      </c>
      <c r="L28" s="138">
        <f t="shared" si="5"/>
        <v>100</v>
      </c>
      <c r="M28" s="26">
        <f>1255-53</f>
        <v>1202</v>
      </c>
      <c r="N28" s="26">
        <f>'[2]1.RSP Districts '!J28</f>
        <v>1389</v>
      </c>
      <c r="O28" s="138">
        <f t="shared" si="6"/>
        <v>15.557404326123129</v>
      </c>
      <c r="P28" s="28" t="s">
        <v>4</v>
      </c>
      <c r="Q28" s="13"/>
    </row>
    <row r="29" spans="1:17" x14ac:dyDescent="0.25">
      <c r="A29" s="24">
        <v>20</v>
      </c>
      <c r="B29" s="25" t="s">
        <v>199</v>
      </c>
      <c r="C29" s="26">
        <v>10</v>
      </c>
      <c r="D29" s="26">
        <v>0</v>
      </c>
      <c r="E29" s="26">
        <v>0</v>
      </c>
      <c r="F29" s="138">
        <v>0</v>
      </c>
      <c r="G29" s="138">
        <f t="shared" si="3"/>
        <v>0</v>
      </c>
      <c r="H29" s="26">
        <v>0</v>
      </c>
      <c r="I29" s="26">
        <v>0</v>
      </c>
      <c r="J29" s="26">
        <v>0</v>
      </c>
      <c r="K29" s="138">
        <v>0</v>
      </c>
      <c r="L29" s="138">
        <v>0</v>
      </c>
      <c r="M29" s="27">
        <v>0</v>
      </c>
      <c r="N29" s="27">
        <v>0</v>
      </c>
      <c r="O29" s="138">
        <v>0</v>
      </c>
      <c r="P29" s="107">
        <v>0</v>
      </c>
      <c r="Q29" s="13"/>
    </row>
    <row r="30" spans="1:17" x14ac:dyDescent="0.25">
      <c r="A30" s="24">
        <v>21</v>
      </c>
      <c r="B30" s="25" t="s">
        <v>200</v>
      </c>
      <c r="C30" s="26">
        <v>24</v>
      </c>
      <c r="D30" s="26">
        <v>0</v>
      </c>
      <c r="E30" s="26">
        <v>0</v>
      </c>
      <c r="F30" s="138">
        <v>0</v>
      </c>
      <c r="G30" s="138">
        <f t="shared" si="3"/>
        <v>0</v>
      </c>
      <c r="H30" s="26">
        <v>0</v>
      </c>
      <c r="I30" s="26">
        <v>0</v>
      </c>
      <c r="J30" s="26">
        <v>0</v>
      </c>
      <c r="K30" s="138">
        <v>0</v>
      </c>
      <c r="L30" s="138">
        <v>0</v>
      </c>
      <c r="M30" s="27">
        <v>0</v>
      </c>
      <c r="N30" s="27">
        <v>0</v>
      </c>
      <c r="O30" s="138">
        <v>0</v>
      </c>
      <c r="P30" s="107">
        <v>0</v>
      </c>
      <c r="Q30" s="13"/>
    </row>
    <row r="31" spans="1:17" x14ac:dyDescent="0.25">
      <c r="A31" s="24">
        <v>22</v>
      </c>
      <c r="B31" s="25" t="s">
        <v>201</v>
      </c>
      <c r="C31" s="26">
        <v>10</v>
      </c>
      <c r="D31" s="26">
        <v>0</v>
      </c>
      <c r="E31" s="26">
        <v>0</v>
      </c>
      <c r="F31" s="138">
        <v>0</v>
      </c>
      <c r="G31" s="138">
        <f t="shared" si="3"/>
        <v>0</v>
      </c>
      <c r="H31" s="26">
        <v>0</v>
      </c>
      <c r="I31" s="26">
        <v>0</v>
      </c>
      <c r="J31" s="26">
        <v>0</v>
      </c>
      <c r="K31" s="138">
        <v>0</v>
      </c>
      <c r="L31" s="138">
        <v>0</v>
      </c>
      <c r="M31" s="27">
        <v>0</v>
      </c>
      <c r="N31" s="27">
        <v>0</v>
      </c>
      <c r="O31" s="138">
        <v>0</v>
      </c>
      <c r="P31" s="107">
        <v>0</v>
      </c>
      <c r="Q31" s="13"/>
    </row>
    <row r="32" spans="1:17" x14ac:dyDescent="0.25">
      <c r="A32" s="24">
        <v>23</v>
      </c>
      <c r="B32" s="25" t="s">
        <v>62</v>
      </c>
      <c r="C32" s="26">
        <v>16</v>
      </c>
      <c r="D32" s="26">
        <v>16</v>
      </c>
      <c r="E32" s="26">
        <f>'[1]1.RSP Districts '!D32</f>
        <v>16</v>
      </c>
      <c r="F32" s="138">
        <f t="shared" si="2"/>
        <v>0</v>
      </c>
      <c r="G32" s="138">
        <f t="shared" si="3"/>
        <v>100</v>
      </c>
      <c r="H32" s="26">
        <v>35703</v>
      </c>
      <c r="I32" s="26">
        <v>14878</v>
      </c>
      <c r="J32" s="26">
        <f>'[1]1.RSP Districts '!H32</f>
        <v>14892</v>
      </c>
      <c r="K32" s="138">
        <f t="shared" si="4"/>
        <v>9.4098669175964517E-2</v>
      </c>
      <c r="L32" s="138">
        <f t="shared" si="5"/>
        <v>41.710780606671712</v>
      </c>
      <c r="M32" s="27">
        <v>907</v>
      </c>
      <c r="N32" s="26">
        <f>'[1]1.RSP Districts '!J32</f>
        <v>908</v>
      </c>
      <c r="O32" s="138">
        <f t="shared" si="6"/>
        <v>0.11025358324145534</v>
      </c>
      <c r="P32" s="28" t="s">
        <v>6</v>
      </c>
      <c r="Q32" s="13"/>
    </row>
    <row r="33" spans="1:17" x14ac:dyDescent="0.25">
      <c r="A33" s="24">
        <v>24</v>
      </c>
      <c r="B33" s="25" t="s">
        <v>63</v>
      </c>
      <c r="C33" s="26">
        <v>38</v>
      </c>
      <c r="D33" s="26">
        <v>35</v>
      </c>
      <c r="E33" s="26">
        <f>'[2]1.RSP Districts '!E33</f>
        <v>35</v>
      </c>
      <c r="F33" s="138">
        <f t="shared" si="2"/>
        <v>0</v>
      </c>
      <c r="G33" s="138">
        <f t="shared" si="3"/>
        <v>92.10526315789474</v>
      </c>
      <c r="H33" s="26">
        <v>55654</v>
      </c>
      <c r="I33" s="26">
        <v>17828</v>
      </c>
      <c r="J33" s="26">
        <f>'[2]1.RSP Districts '!H33</f>
        <v>17828</v>
      </c>
      <c r="K33" s="138">
        <f t="shared" si="4"/>
        <v>0</v>
      </c>
      <c r="L33" s="138">
        <f t="shared" si="5"/>
        <v>32.033636396305745</v>
      </c>
      <c r="M33" s="26">
        <f>1189-53</f>
        <v>1136</v>
      </c>
      <c r="N33" s="26">
        <f>'[2]1.RSP Districts '!J33</f>
        <v>1136</v>
      </c>
      <c r="O33" s="138">
        <f t="shared" si="6"/>
        <v>0</v>
      </c>
      <c r="P33" s="28" t="s">
        <v>4</v>
      </c>
      <c r="Q33" s="13"/>
    </row>
    <row r="34" spans="1:17" x14ac:dyDescent="0.25">
      <c r="A34" s="24">
        <v>25</v>
      </c>
      <c r="B34" s="25" t="s">
        <v>205</v>
      </c>
      <c r="C34" s="26">
        <v>47</v>
      </c>
      <c r="D34" s="26">
        <v>0</v>
      </c>
      <c r="E34" s="26">
        <f>'[2]1.RSP Districts '!E34</f>
        <v>5</v>
      </c>
      <c r="F34" s="138">
        <v>0</v>
      </c>
      <c r="G34" s="138">
        <f t="shared" si="3"/>
        <v>10.638297872340425</v>
      </c>
      <c r="H34" s="26">
        <v>0</v>
      </c>
      <c r="I34" s="26">
        <v>0</v>
      </c>
      <c r="J34" s="26">
        <f>'[2]1.RSP Districts '!H34</f>
        <v>255</v>
      </c>
      <c r="K34" s="138">
        <v>0</v>
      </c>
      <c r="L34" s="138">
        <v>0</v>
      </c>
      <c r="M34" s="26">
        <v>0</v>
      </c>
      <c r="N34" s="26">
        <f>'[2]1.RSP Districts '!J34</f>
        <v>17</v>
      </c>
      <c r="O34" s="138">
        <v>0</v>
      </c>
      <c r="P34" s="107" t="s">
        <v>4</v>
      </c>
      <c r="Q34" s="13"/>
    </row>
    <row r="35" spans="1:17" x14ac:dyDescent="0.25">
      <c r="A35" s="24">
        <v>26</v>
      </c>
      <c r="B35" s="25" t="s">
        <v>64</v>
      </c>
      <c r="C35" s="26">
        <v>7</v>
      </c>
      <c r="D35" s="26">
        <v>7</v>
      </c>
      <c r="E35" s="26">
        <f>'[2]1.RSP Districts '!E35</f>
        <v>7</v>
      </c>
      <c r="F35" s="138">
        <f t="shared" si="2"/>
        <v>0</v>
      </c>
      <c r="G35" s="138">
        <f t="shared" si="3"/>
        <v>99.999999999999986</v>
      </c>
      <c r="H35" s="26">
        <v>10608.311688311687</v>
      </c>
      <c r="I35" s="26">
        <v>2520</v>
      </c>
      <c r="J35" s="26">
        <f>'[2]1.RSP Districts '!H35</f>
        <v>2520</v>
      </c>
      <c r="K35" s="138">
        <f t="shared" si="4"/>
        <v>0</v>
      </c>
      <c r="L35" s="138">
        <f t="shared" si="5"/>
        <v>23.754958131335393</v>
      </c>
      <c r="M35" s="26">
        <f>168-55</f>
        <v>113</v>
      </c>
      <c r="N35" s="26">
        <f>'[2]1.RSP Districts '!J35</f>
        <v>118</v>
      </c>
      <c r="O35" s="138">
        <f t="shared" si="6"/>
        <v>4.4247787610619476</v>
      </c>
      <c r="P35" s="28" t="s">
        <v>4</v>
      </c>
      <c r="Q35" s="13"/>
    </row>
    <row r="36" spans="1:17" x14ac:dyDescent="0.25">
      <c r="A36" s="24">
        <v>27</v>
      </c>
      <c r="B36" s="25" t="s">
        <v>202</v>
      </c>
      <c r="C36" s="26">
        <v>11</v>
      </c>
      <c r="D36" s="26">
        <v>0</v>
      </c>
      <c r="E36" s="26">
        <v>0</v>
      </c>
      <c r="F36" s="138">
        <v>0</v>
      </c>
      <c r="G36" s="138">
        <f t="shared" si="3"/>
        <v>0</v>
      </c>
      <c r="H36" s="26">
        <v>0</v>
      </c>
      <c r="I36" s="26">
        <v>0</v>
      </c>
      <c r="J36" s="26">
        <v>0</v>
      </c>
      <c r="K36" s="138">
        <v>0</v>
      </c>
      <c r="L36" s="138">
        <v>0</v>
      </c>
      <c r="M36" s="26">
        <v>0</v>
      </c>
      <c r="N36" s="27">
        <v>0</v>
      </c>
      <c r="O36" s="138">
        <v>0</v>
      </c>
      <c r="P36" s="107">
        <v>0</v>
      </c>
      <c r="Q36" s="13"/>
    </row>
    <row r="37" spans="1:17" x14ac:dyDescent="0.25">
      <c r="A37" s="24">
        <v>28</v>
      </c>
      <c r="B37" s="25" t="s">
        <v>203</v>
      </c>
      <c r="C37" s="26">
        <v>9</v>
      </c>
      <c r="D37" s="26">
        <v>0</v>
      </c>
      <c r="E37" s="26">
        <v>0</v>
      </c>
      <c r="F37" s="138">
        <v>0</v>
      </c>
      <c r="G37" s="138">
        <f t="shared" si="3"/>
        <v>0</v>
      </c>
      <c r="H37" s="26">
        <v>0</v>
      </c>
      <c r="I37" s="26">
        <v>0</v>
      </c>
      <c r="J37" s="26">
        <v>0</v>
      </c>
      <c r="K37" s="138">
        <v>0</v>
      </c>
      <c r="L37" s="138">
        <v>0</v>
      </c>
      <c r="M37" s="26">
        <v>0</v>
      </c>
      <c r="N37" s="27">
        <v>0</v>
      </c>
      <c r="O37" s="138">
        <v>0</v>
      </c>
      <c r="P37" s="107">
        <v>0</v>
      </c>
      <c r="Q37" s="13"/>
    </row>
    <row r="38" spans="1:17" x14ac:dyDescent="0.25">
      <c r="A38" s="24">
        <v>29</v>
      </c>
      <c r="B38" s="25" t="s">
        <v>65</v>
      </c>
      <c r="C38" s="26">
        <v>21</v>
      </c>
      <c r="D38" s="26">
        <v>21</v>
      </c>
      <c r="E38" s="26">
        <f>'[2]1.RSP Districts '!E38</f>
        <v>21</v>
      </c>
      <c r="F38" s="138">
        <f t="shared" si="2"/>
        <v>0</v>
      </c>
      <c r="G38" s="138">
        <f t="shared" si="3"/>
        <v>100</v>
      </c>
      <c r="H38" s="26">
        <v>21117.688311688311</v>
      </c>
      <c r="I38" s="26">
        <v>15406</v>
      </c>
      <c r="J38" s="26">
        <f>'[2]1.RSP Districts '!H38</f>
        <v>18094</v>
      </c>
      <c r="K38" s="138">
        <f t="shared" si="4"/>
        <v>17.447747630793199</v>
      </c>
      <c r="L38" s="138">
        <f t="shared" si="5"/>
        <v>85.681726773025872</v>
      </c>
      <c r="M38" s="26">
        <f>1027-54</f>
        <v>973</v>
      </c>
      <c r="N38" s="26">
        <f>'[2]1.RSP Districts '!J38</f>
        <v>1030</v>
      </c>
      <c r="O38" s="138">
        <f t="shared" si="6"/>
        <v>5.8581706063720453</v>
      </c>
      <c r="P38" s="28" t="s">
        <v>4</v>
      </c>
      <c r="Q38" s="13"/>
    </row>
    <row r="39" spans="1:17" x14ac:dyDescent="0.25">
      <c r="A39" s="24">
        <v>30</v>
      </c>
      <c r="B39" s="45" t="s">
        <v>204</v>
      </c>
      <c r="C39" s="46">
        <v>10</v>
      </c>
      <c r="D39" s="46">
        <v>0</v>
      </c>
      <c r="E39" s="46">
        <v>0</v>
      </c>
      <c r="F39" s="138">
        <v>0</v>
      </c>
      <c r="G39" s="138">
        <f t="shared" si="3"/>
        <v>0</v>
      </c>
      <c r="H39" s="46">
        <v>0</v>
      </c>
      <c r="I39" s="46">
        <v>0</v>
      </c>
      <c r="J39" s="46">
        <v>0</v>
      </c>
      <c r="K39" s="138">
        <v>0</v>
      </c>
      <c r="L39" s="138">
        <v>0</v>
      </c>
      <c r="M39" s="46">
        <v>0</v>
      </c>
      <c r="N39" s="48">
        <v>0</v>
      </c>
      <c r="O39" s="138">
        <v>0</v>
      </c>
      <c r="P39" s="116">
        <v>0</v>
      </c>
      <c r="Q39" s="13"/>
    </row>
    <row r="40" spans="1:17" s="5" customFormat="1" ht="14.4" thickBot="1" x14ac:dyDescent="0.3">
      <c r="A40" s="29">
        <f>COUNTIF(P10:P39,"*")</f>
        <v>18</v>
      </c>
      <c r="B40" s="30" t="s">
        <v>48</v>
      </c>
      <c r="C40" s="31">
        <f t="shared" ref="C40:N40" si="7">SUM(C10:C39)</f>
        <v>547</v>
      </c>
      <c r="D40" s="31">
        <f t="shared" si="7"/>
        <v>245</v>
      </c>
      <c r="E40" s="31">
        <f t="shared" si="7"/>
        <v>266</v>
      </c>
      <c r="F40" s="145">
        <f t="shared" si="2"/>
        <v>8.5714285714285712</v>
      </c>
      <c r="G40" s="145">
        <f t="shared" si="3"/>
        <v>48.628884826325411</v>
      </c>
      <c r="H40" s="31">
        <f t="shared" si="7"/>
        <v>523953.125</v>
      </c>
      <c r="I40" s="31">
        <f t="shared" si="7"/>
        <v>225065</v>
      </c>
      <c r="J40" s="31">
        <f t="shared" si="7"/>
        <v>235141</v>
      </c>
      <c r="K40" s="145">
        <f t="shared" si="4"/>
        <v>4.4769288872103612</v>
      </c>
      <c r="L40" s="145">
        <f t="shared" si="5"/>
        <v>44.878251274863565</v>
      </c>
      <c r="M40" s="31">
        <f t="shared" si="7"/>
        <v>12973</v>
      </c>
      <c r="N40" s="31">
        <f t="shared" si="7"/>
        <v>13545</v>
      </c>
      <c r="O40" s="145">
        <f t="shared" si="6"/>
        <v>4.4091574809219152</v>
      </c>
      <c r="P40" s="32"/>
      <c r="Q40" s="13"/>
    </row>
    <row r="41" spans="1:17" ht="5.25" customHeight="1" thickBot="1" x14ac:dyDescent="0.35">
      <c r="A41" s="117"/>
      <c r="B41" s="118"/>
      <c r="C41" s="54"/>
      <c r="D41" s="53"/>
      <c r="E41" s="53"/>
      <c r="F41" s="141"/>
      <c r="G41" s="141"/>
      <c r="H41" s="54"/>
      <c r="I41" s="53"/>
      <c r="J41" s="54"/>
      <c r="K41" s="54"/>
      <c r="L41" s="54"/>
      <c r="M41" s="54"/>
      <c r="N41" s="54"/>
      <c r="O41" s="54"/>
      <c r="P41" s="119"/>
      <c r="Q41" s="13"/>
    </row>
    <row r="42" spans="1:17" s="6" customFormat="1" x14ac:dyDescent="0.25">
      <c r="A42" s="19" t="s">
        <v>66</v>
      </c>
      <c r="B42" s="20"/>
      <c r="C42" s="21"/>
      <c r="D42" s="35"/>
      <c r="E42" s="35"/>
      <c r="F42" s="140"/>
      <c r="G42" s="140"/>
      <c r="H42" s="21"/>
      <c r="I42" s="35"/>
      <c r="J42" s="36"/>
      <c r="K42" s="36"/>
      <c r="L42" s="36"/>
      <c r="M42" s="36"/>
      <c r="N42" s="36"/>
      <c r="O42" s="36"/>
      <c r="P42" s="23"/>
      <c r="Q42" s="13"/>
    </row>
    <row r="43" spans="1:17" x14ac:dyDescent="0.25">
      <c r="A43" s="24">
        <v>1</v>
      </c>
      <c r="B43" s="25" t="s">
        <v>67</v>
      </c>
      <c r="C43" s="26">
        <v>51</v>
      </c>
      <c r="D43" s="26">
        <v>43</v>
      </c>
      <c r="E43" s="26">
        <f>'[3]1.RSP Districts '!E43</f>
        <v>43</v>
      </c>
      <c r="F43" s="138">
        <f t="shared" ref="F43:F74" si="8">(E43-D43)/D43%</f>
        <v>0</v>
      </c>
      <c r="G43" s="138">
        <f t="shared" ref="G43:G74" si="9">E43/C43%</f>
        <v>84.313725490196077</v>
      </c>
      <c r="H43" s="26">
        <v>115585</v>
      </c>
      <c r="I43" s="26">
        <v>46600</v>
      </c>
      <c r="J43" s="26">
        <f>'[3]1.RSP Districts '!H43</f>
        <v>46600</v>
      </c>
      <c r="K43" s="138">
        <f t="shared" ref="K43:K74" si="10">(J43-I43)/I43%</f>
        <v>0</v>
      </c>
      <c r="L43" s="138">
        <f t="shared" ref="L43:L74" si="11">J43/H43%</f>
        <v>40.316650084353512</v>
      </c>
      <c r="M43" s="26">
        <f>1538-12</f>
        <v>1526</v>
      </c>
      <c r="N43" s="26">
        <f>'[3]1.RSP Districts '!J43</f>
        <v>1538</v>
      </c>
      <c r="O43" s="138">
        <f t="shared" ref="O43:O72" si="12">(N43-M43)/M43%</f>
        <v>0.78636959370904325</v>
      </c>
      <c r="P43" s="28" t="s">
        <v>10</v>
      </c>
      <c r="Q43" s="13"/>
    </row>
    <row r="44" spans="1:17" x14ac:dyDescent="0.25">
      <c r="A44" s="24">
        <v>2</v>
      </c>
      <c r="B44" s="25" t="s">
        <v>218</v>
      </c>
      <c r="C44" s="26">
        <v>49</v>
      </c>
      <c r="D44" s="26">
        <v>0</v>
      </c>
      <c r="E44" s="26">
        <v>0</v>
      </c>
      <c r="F44" s="138">
        <v>0</v>
      </c>
      <c r="G44" s="138">
        <f t="shared" si="9"/>
        <v>0</v>
      </c>
      <c r="H44" s="26">
        <v>0</v>
      </c>
      <c r="I44" s="41">
        <v>0</v>
      </c>
      <c r="J44" s="26">
        <v>0</v>
      </c>
      <c r="K44" s="138">
        <v>0</v>
      </c>
      <c r="L44" s="138">
        <v>0</v>
      </c>
      <c r="M44" s="26">
        <v>0</v>
      </c>
      <c r="N44" s="27">
        <v>0</v>
      </c>
      <c r="O44" s="138">
        <v>0</v>
      </c>
      <c r="P44" s="107">
        <v>0</v>
      </c>
      <c r="Q44" s="13"/>
    </row>
    <row r="45" spans="1:17" x14ac:dyDescent="0.25">
      <c r="A45" s="24">
        <v>3</v>
      </c>
      <c r="B45" s="25" t="s">
        <v>68</v>
      </c>
      <c r="C45" s="26">
        <v>20</v>
      </c>
      <c r="D45" s="26">
        <v>20</v>
      </c>
      <c r="E45" s="26">
        <f>'[3]1.RSP Districts '!E45</f>
        <v>20</v>
      </c>
      <c r="F45" s="138">
        <f t="shared" si="8"/>
        <v>0</v>
      </c>
      <c r="G45" s="138">
        <f t="shared" si="9"/>
        <v>100</v>
      </c>
      <c r="H45" s="26">
        <v>46053</v>
      </c>
      <c r="I45" s="26">
        <v>33042</v>
      </c>
      <c r="J45" s="26">
        <f>'[3]1.RSP Districts '!H45</f>
        <v>33042</v>
      </c>
      <c r="K45" s="138">
        <f t="shared" si="10"/>
        <v>0</v>
      </c>
      <c r="L45" s="138">
        <f t="shared" si="11"/>
        <v>71.747768874991863</v>
      </c>
      <c r="M45" s="26">
        <f>1236-12</f>
        <v>1224</v>
      </c>
      <c r="N45" s="26">
        <f>'[3]1.RSP Districts '!J45</f>
        <v>1236</v>
      </c>
      <c r="O45" s="138">
        <f t="shared" si="12"/>
        <v>0.98039215686274506</v>
      </c>
      <c r="P45" s="28" t="s">
        <v>10</v>
      </c>
      <c r="Q45" s="13"/>
    </row>
    <row r="46" spans="1:17" x14ac:dyDescent="0.25">
      <c r="A46" s="24">
        <v>4</v>
      </c>
      <c r="B46" s="25" t="s">
        <v>69</v>
      </c>
      <c r="C46" s="26">
        <v>27</v>
      </c>
      <c r="D46" s="26">
        <v>5</v>
      </c>
      <c r="E46" s="26">
        <f>'[1]1.RSP Districts '!D46</f>
        <v>5</v>
      </c>
      <c r="F46" s="138">
        <f t="shared" si="8"/>
        <v>0</v>
      </c>
      <c r="G46" s="138">
        <f t="shared" si="9"/>
        <v>18.518518518518519</v>
      </c>
      <c r="H46" s="26">
        <v>56591</v>
      </c>
      <c r="I46" s="26">
        <v>269</v>
      </c>
      <c r="J46" s="26">
        <f>'[1]1.RSP Districts '!H46</f>
        <v>269</v>
      </c>
      <c r="K46" s="138">
        <f t="shared" si="10"/>
        <v>0</v>
      </c>
      <c r="L46" s="138">
        <f t="shared" si="11"/>
        <v>0.475340601862487</v>
      </c>
      <c r="M46" s="27">
        <v>19</v>
      </c>
      <c r="N46" s="26">
        <f>'[1]1.RSP Districts '!J46</f>
        <v>19</v>
      </c>
      <c r="O46" s="138">
        <f t="shared" si="12"/>
        <v>0</v>
      </c>
      <c r="P46" s="28" t="s">
        <v>6</v>
      </c>
      <c r="Q46" s="13"/>
    </row>
    <row r="47" spans="1:17" x14ac:dyDescent="0.25">
      <c r="A47" s="24">
        <v>4</v>
      </c>
      <c r="B47" s="25" t="s">
        <v>70</v>
      </c>
      <c r="C47" s="26">
        <v>27</v>
      </c>
      <c r="D47" s="26">
        <v>10</v>
      </c>
      <c r="E47" s="26">
        <f>'[3]1.RSP Districts '!E47</f>
        <v>10</v>
      </c>
      <c r="F47" s="138">
        <f t="shared" si="8"/>
        <v>0</v>
      </c>
      <c r="G47" s="138">
        <f t="shared" si="9"/>
        <v>37.037037037037038</v>
      </c>
      <c r="H47" s="26">
        <v>56591</v>
      </c>
      <c r="I47" s="26">
        <v>975</v>
      </c>
      <c r="J47" s="26">
        <f>'[3]1.RSP Districts '!H47</f>
        <v>975</v>
      </c>
      <c r="K47" s="138">
        <f t="shared" si="10"/>
        <v>0</v>
      </c>
      <c r="L47" s="138">
        <f t="shared" si="11"/>
        <v>1.7228887985722112</v>
      </c>
      <c r="M47" s="26">
        <v>50</v>
      </c>
      <c r="N47" s="26">
        <f>'[3]1.RSP Districts '!J47</f>
        <v>50</v>
      </c>
      <c r="O47" s="138">
        <f t="shared" si="12"/>
        <v>0</v>
      </c>
      <c r="P47" s="28" t="s">
        <v>10</v>
      </c>
      <c r="Q47" s="13"/>
    </row>
    <row r="48" spans="1:17" x14ac:dyDescent="0.25">
      <c r="A48" s="24">
        <v>5</v>
      </c>
      <c r="B48" s="25" t="s">
        <v>71</v>
      </c>
      <c r="C48" s="26">
        <v>49</v>
      </c>
      <c r="D48" s="26">
        <v>28</v>
      </c>
      <c r="E48" s="26">
        <f>'[1]1.RSP Districts '!D48</f>
        <v>28</v>
      </c>
      <c r="F48" s="138">
        <f t="shared" si="8"/>
        <v>0</v>
      </c>
      <c r="G48" s="138">
        <f t="shared" si="9"/>
        <v>57.142857142857146</v>
      </c>
      <c r="H48" s="26">
        <v>102361</v>
      </c>
      <c r="I48" s="26">
        <v>12926</v>
      </c>
      <c r="J48" s="26">
        <f>'[1]1.RSP Districts '!H48</f>
        <v>12926</v>
      </c>
      <c r="K48" s="138">
        <f t="shared" si="10"/>
        <v>0</v>
      </c>
      <c r="L48" s="138">
        <f t="shared" si="11"/>
        <v>12.627856312462754</v>
      </c>
      <c r="M48" s="27">
        <v>736</v>
      </c>
      <c r="N48" s="26">
        <f>'[1]1.RSP Districts '!J48</f>
        <v>736</v>
      </c>
      <c r="O48" s="138">
        <f t="shared" si="12"/>
        <v>0</v>
      </c>
      <c r="P48" s="28" t="s">
        <v>6</v>
      </c>
      <c r="Q48" s="13"/>
    </row>
    <row r="49" spans="1:17" x14ac:dyDescent="0.25">
      <c r="A49" s="24">
        <v>5</v>
      </c>
      <c r="B49" s="25" t="s">
        <v>72</v>
      </c>
      <c r="C49" s="26">
        <v>49</v>
      </c>
      <c r="D49" s="26">
        <v>37</v>
      </c>
      <c r="E49" s="26">
        <f>'[3]1.RSP Districts '!E49</f>
        <v>37</v>
      </c>
      <c r="F49" s="138">
        <f t="shared" si="8"/>
        <v>0</v>
      </c>
      <c r="G49" s="138">
        <f t="shared" si="9"/>
        <v>75.510204081632651</v>
      </c>
      <c r="H49" s="26">
        <v>102361</v>
      </c>
      <c r="I49" s="26">
        <v>20550</v>
      </c>
      <c r="J49" s="26">
        <f>'[3]1.RSP Districts '!H49</f>
        <v>22187</v>
      </c>
      <c r="K49" s="138">
        <f t="shared" si="10"/>
        <v>7.9659367396593677</v>
      </c>
      <c r="L49" s="138">
        <f t="shared" si="11"/>
        <v>21.675247408681042</v>
      </c>
      <c r="M49" s="26">
        <f>791-12</f>
        <v>779</v>
      </c>
      <c r="N49" s="26">
        <f>'[3]1.RSP Districts '!J49</f>
        <v>863</v>
      </c>
      <c r="O49" s="138">
        <f t="shared" si="12"/>
        <v>10.783055198973042</v>
      </c>
      <c r="P49" s="28" t="s">
        <v>10</v>
      </c>
      <c r="Q49" s="13"/>
    </row>
    <row r="50" spans="1:17" x14ac:dyDescent="0.25">
      <c r="A50" s="24">
        <v>6</v>
      </c>
      <c r="B50" s="25" t="s">
        <v>73</v>
      </c>
      <c r="C50" s="26">
        <v>24</v>
      </c>
      <c r="D50" s="26">
        <v>24</v>
      </c>
      <c r="E50" s="26">
        <f>D50</f>
        <v>24</v>
      </c>
      <c r="F50" s="138">
        <f t="shared" si="8"/>
        <v>0</v>
      </c>
      <c r="G50" s="138">
        <f t="shared" si="9"/>
        <v>100</v>
      </c>
      <c r="H50" s="26">
        <v>36879</v>
      </c>
      <c r="I50" s="26">
        <v>33188</v>
      </c>
      <c r="J50" s="26">
        <f>I50</f>
        <v>33188</v>
      </c>
      <c r="K50" s="138">
        <f t="shared" si="10"/>
        <v>0</v>
      </c>
      <c r="L50" s="138">
        <f t="shared" si="11"/>
        <v>89.991594132161936</v>
      </c>
      <c r="M50" s="27">
        <v>1439</v>
      </c>
      <c r="N50" s="27">
        <f>M50</f>
        <v>1439</v>
      </c>
      <c r="O50" s="138">
        <f t="shared" si="12"/>
        <v>0</v>
      </c>
      <c r="P50" s="28" t="s">
        <v>3</v>
      </c>
      <c r="Q50" s="13"/>
    </row>
    <row r="51" spans="1:17" x14ac:dyDescent="0.25">
      <c r="A51" s="24">
        <v>6</v>
      </c>
      <c r="B51" s="25" t="s">
        <v>74</v>
      </c>
      <c r="C51" s="26">
        <v>24</v>
      </c>
      <c r="D51" s="26">
        <v>24</v>
      </c>
      <c r="E51" s="26">
        <f>'[3]1.RSP Districts '!E51</f>
        <v>24</v>
      </c>
      <c r="F51" s="138">
        <f t="shared" si="8"/>
        <v>0</v>
      </c>
      <c r="G51" s="138">
        <f t="shared" si="9"/>
        <v>100</v>
      </c>
      <c r="H51" s="26">
        <v>36879</v>
      </c>
      <c r="I51" s="26">
        <v>22572</v>
      </c>
      <c r="J51" s="26">
        <f>'[3]1.RSP Districts '!H51</f>
        <v>22718</v>
      </c>
      <c r="K51" s="138">
        <f t="shared" si="10"/>
        <v>0.6468190678716994</v>
      </c>
      <c r="L51" s="138">
        <f t="shared" si="11"/>
        <v>61.601453401664898</v>
      </c>
      <c r="M51" s="26">
        <f>699-12</f>
        <v>687</v>
      </c>
      <c r="N51" s="26">
        <f>'[3]1.RSP Districts '!J51</f>
        <v>704</v>
      </c>
      <c r="O51" s="138">
        <f t="shared" si="12"/>
        <v>2.4745269286754001</v>
      </c>
      <c r="P51" s="28" t="s">
        <v>10</v>
      </c>
      <c r="Q51" s="13"/>
    </row>
    <row r="52" spans="1:17" x14ac:dyDescent="0.25">
      <c r="A52" s="24">
        <v>7</v>
      </c>
      <c r="B52" s="25" t="s">
        <v>75</v>
      </c>
      <c r="C52" s="26">
        <v>28</v>
      </c>
      <c r="D52" s="26">
        <v>19</v>
      </c>
      <c r="E52" s="26">
        <f>'[3]1.RSP Districts '!E52</f>
        <v>19</v>
      </c>
      <c r="F52" s="138">
        <f t="shared" si="8"/>
        <v>0</v>
      </c>
      <c r="G52" s="138">
        <f t="shared" si="9"/>
        <v>67.857142857142847</v>
      </c>
      <c r="H52" s="26">
        <v>70230</v>
      </c>
      <c r="I52" s="26">
        <v>26244</v>
      </c>
      <c r="J52" s="26">
        <f>'[3]1.RSP Districts '!H52</f>
        <v>26976</v>
      </c>
      <c r="K52" s="138">
        <f t="shared" si="10"/>
        <v>2.7892089620484684</v>
      </c>
      <c r="L52" s="138">
        <f t="shared" si="11"/>
        <v>38.410935497650577</v>
      </c>
      <c r="M52" s="26">
        <f>1337-15</f>
        <v>1322</v>
      </c>
      <c r="N52" s="26">
        <f>'[3]1.RSP Districts '!J52</f>
        <v>1351</v>
      </c>
      <c r="O52" s="138">
        <f t="shared" si="12"/>
        <v>2.1936459909228443</v>
      </c>
      <c r="P52" s="28" t="s">
        <v>10</v>
      </c>
      <c r="Q52" s="13"/>
    </row>
    <row r="53" spans="1:17" x14ac:dyDescent="0.25">
      <c r="A53" s="24">
        <v>8</v>
      </c>
      <c r="B53" s="25" t="s">
        <v>219</v>
      </c>
      <c r="C53" s="26">
        <v>37</v>
      </c>
      <c r="D53" s="26">
        <v>0</v>
      </c>
      <c r="E53" s="26">
        <v>0</v>
      </c>
      <c r="F53" s="138">
        <v>0</v>
      </c>
      <c r="G53" s="138">
        <f t="shared" si="9"/>
        <v>0</v>
      </c>
      <c r="H53" s="26">
        <v>0</v>
      </c>
      <c r="I53" s="41">
        <v>0</v>
      </c>
      <c r="J53" s="26">
        <v>0</v>
      </c>
      <c r="K53" s="138">
        <v>0</v>
      </c>
      <c r="L53" s="138">
        <v>0</v>
      </c>
      <c r="M53" s="26">
        <v>0</v>
      </c>
      <c r="N53" s="27">
        <v>0</v>
      </c>
      <c r="O53" s="138">
        <v>0</v>
      </c>
      <c r="P53" s="107">
        <v>0</v>
      </c>
      <c r="Q53" s="13"/>
    </row>
    <row r="54" spans="1:17" x14ac:dyDescent="0.25">
      <c r="A54" s="24">
        <v>9</v>
      </c>
      <c r="B54" s="25" t="s">
        <v>220</v>
      </c>
      <c r="C54" s="26">
        <v>47</v>
      </c>
      <c r="D54" s="26">
        <v>0</v>
      </c>
      <c r="E54" s="26">
        <v>0</v>
      </c>
      <c r="F54" s="138">
        <v>0</v>
      </c>
      <c r="G54" s="138">
        <f t="shared" si="9"/>
        <v>0</v>
      </c>
      <c r="H54" s="26">
        <v>0</v>
      </c>
      <c r="I54" s="41">
        <v>0</v>
      </c>
      <c r="J54" s="26">
        <v>0</v>
      </c>
      <c r="K54" s="138">
        <v>0</v>
      </c>
      <c r="L54" s="138">
        <v>0</v>
      </c>
      <c r="M54" s="26">
        <v>0</v>
      </c>
      <c r="N54" s="27">
        <v>0</v>
      </c>
      <c r="O54" s="138">
        <v>0</v>
      </c>
      <c r="P54" s="107">
        <v>0</v>
      </c>
      <c r="Q54" s="13"/>
    </row>
    <row r="55" spans="1:17" x14ac:dyDescent="0.25">
      <c r="A55" s="24">
        <v>10</v>
      </c>
      <c r="B55" s="25" t="s">
        <v>76</v>
      </c>
      <c r="C55" s="26">
        <v>19</v>
      </c>
      <c r="D55" s="26">
        <v>17</v>
      </c>
      <c r="E55" s="26">
        <f>'[3]1.RSP Districts '!E55</f>
        <v>17</v>
      </c>
      <c r="F55" s="138">
        <f t="shared" si="8"/>
        <v>0</v>
      </c>
      <c r="G55" s="138">
        <f t="shared" si="9"/>
        <v>89.473684210526315</v>
      </c>
      <c r="H55" s="26">
        <v>24536</v>
      </c>
      <c r="I55" s="26">
        <v>14204</v>
      </c>
      <c r="J55" s="26">
        <f>'[3]1.RSP Districts '!H55</f>
        <v>14204</v>
      </c>
      <c r="K55" s="138">
        <f t="shared" si="10"/>
        <v>0</v>
      </c>
      <c r="L55" s="138">
        <f t="shared" si="11"/>
        <v>57.890446690577107</v>
      </c>
      <c r="M55" s="26">
        <f>505-12</f>
        <v>493</v>
      </c>
      <c r="N55" s="26">
        <f>'[3]1.RSP Districts '!J55</f>
        <v>505</v>
      </c>
      <c r="O55" s="138">
        <f t="shared" si="12"/>
        <v>2.4340770791075053</v>
      </c>
      <c r="P55" s="28" t="s">
        <v>10</v>
      </c>
      <c r="Q55" s="13"/>
    </row>
    <row r="56" spans="1:17" x14ac:dyDescent="0.25">
      <c r="A56" s="24">
        <v>11</v>
      </c>
      <c r="B56" s="25" t="s">
        <v>77</v>
      </c>
      <c r="C56" s="26">
        <v>45</v>
      </c>
      <c r="D56" s="26">
        <v>4</v>
      </c>
      <c r="E56" s="26">
        <v>4</v>
      </c>
      <c r="F56" s="138">
        <f t="shared" si="8"/>
        <v>0</v>
      </c>
      <c r="G56" s="138">
        <f t="shared" si="9"/>
        <v>8.8888888888888893</v>
      </c>
      <c r="H56" s="26">
        <v>94383</v>
      </c>
      <c r="I56" s="26">
        <v>6306</v>
      </c>
      <c r="J56" s="26">
        <v>6346</v>
      </c>
      <c r="K56" s="138">
        <f t="shared" si="10"/>
        <v>0.6343165239454488</v>
      </c>
      <c r="L56" s="138">
        <f t="shared" si="11"/>
        <v>6.7236684572433596</v>
      </c>
      <c r="M56" s="26">
        <v>611</v>
      </c>
      <c r="N56" s="26">
        <v>619</v>
      </c>
      <c r="O56" s="138">
        <f t="shared" si="12"/>
        <v>1.3093289689034369</v>
      </c>
      <c r="P56" s="28" t="s">
        <v>5</v>
      </c>
      <c r="Q56" s="13"/>
    </row>
    <row r="57" spans="1:17" x14ac:dyDescent="0.25">
      <c r="A57" s="24">
        <v>11</v>
      </c>
      <c r="B57" s="25" t="s">
        <v>78</v>
      </c>
      <c r="C57" s="26">
        <v>45</v>
      </c>
      <c r="D57" s="26">
        <v>37</v>
      </c>
      <c r="E57" s="26">
        <f>'[3]1.RSP Districts '!E57</f>
        <v>37</v>
      </c>
      <c r="F57" s="138">
        <f t="shared" si="8"/>
        <v>0</v>
      </c>
      <c r="G57" s="138">
        <f t="shared" si="9"/>
        <v>82.222222222222214</v>
      </c>
      <c r="H57" s="26">
        <v>94383</v>
      </c>
      <c r="I57" s="26">
        <v>39747</v>
      </c>
      <c r="J57" s="26">
        <f>'[3]1.RSP Districts '!H57</f>
        <v>39747</v>
      </c>
      <c r="K57" s="138">
        <f t="shared" si="10"/>
        <v>0</v>
      </c>
      <c r="L57" s="138">
        <f t="shared" si="11"/>
        <v>42.112456692412827</v>
      </c>
      <c r="M57" s="26">
        <f>1220-12</f>
        <v>1208</v>
      </c>
      <c r="N57" s="26">
        <f>'[3]1.RSP Districts '!J57</f>
        <v>1255</v>
      </c>
      <c r="O57" s="138">
        <f t="shared" si="12"/>
        <v>3.8907284768211921</v>
      </c>
      <c r="P57" s="28" t="s">
        <v>10</v>
      </c>
      <c r="Q57" s="13"/>
    </row>
    <row r="58" spans="1:17" x14ac:dyDescent="0.25">
      <c r="A58" s="24">
        <v>12</v>
      </c>
      <c r="B58" s="25" t="s">
        <v>79</v>
      </c>
      <c r="C58" s="26">
        <v>21</v>
      </c>
      <c r="D58" s="26">
        <v>21</v>
      </c>
      <c r="E58" s="26">
        <f>'[3]1.RSP Districts '!E58</f>
        <v>21</v>
      </c>
      <c r="F58" s="138">
        <f t="shared" si="8"/>
        <v>0</v>
      </c>
      <c r="G58" s="138">
        <f t="shared" si="9"/>
        <v>100</v>
      </c>
      <c r="H58" s="26">
        <v>40734</v>
      </c>
      <c r="I58" s="26">
        <v>44954</v>
      </c>
      <c r="J58" s="26">
        <f>'[3]1.RSP Districts '!H58</f>
        <v>44954</v>
      </c>
      <c r="K58" s="138">
        <f t="shared" si="10"/>
        <v>0</v>
      </c>
      <c r="L58" s="138">
        <f t="shared" si="11"/>
        <v>110.35989591005058</v>
      </c>
      <c r="M58" s="26">
        <f>1785-15</f>
        <v>1770</v>
      </c>
      <c r="N58" s="26">
        <f>'[3]1.RSP Districts '!J58</f>
        <v>1785</v>
      </c>
      <c r="O58" s="138">
        <f t="shared" si="12"/>
        <v>0.84745762711864414</v>
      </c>
      <c r="P58" s="28" t="s">
        <v>10</v>
      </c>
      <c r="Q58" s="13"/>
    </row>
    <row r="59" spans="1:17" x14ac:dyDescent="0.25">
      <c r="A59" s="24">
        <v>13</v>
      </c>
      <c r="B59" s="25" t="s">
        <v>80</v>
      </c>
      <c r="C59" s="26">
        <v>32</v>
      </c>
      <c r="D59" s="26">
        <v>29</v>
      </c>
      <c r="E59" s="26">
        <f>'[3]1.RSP Districts '!E59</f>
        <v>29</v>
      </c>
      <c r="F59" s="138">
        <f t="shared" si="8"/>
        <v>0</v>
      </c>
      <c r="G59" s="138">
        <f t="shared" si="9"/>
        <v>90.625</v>
      </c>
      <c r="H59" s="26">
        <v>55911</v>
      </c>
      <c r="I59" s="26">
        <v>56592</v>
      </c>
      <c r="J59" s="26">
        <f>'[3]1.RSP Districts '!H59</f>
        <v>56592</v>
      </c>
      <c r="K59" s="138">
        <f t="shared" si="10"/>
        <v>0</v>
      </c>
      <c r="L59" s="138">
        <f t="shared" si="11"/>
        <v>101.21800718999839</v>
      </c>
      <c r="M59" s="26">
        <f>2211-20</f>
        <v>2191</v>
      </c>
      <c r="N59" s="26">
        <f>'[3]1.RSP Districts '!J59</f>
        <v>2213</v>
      </c>
      <c r="O59" s="138">
        <f t="shared" si="12"/>
        <v>1.0041077133728891</v>
      </c>
      <c r="P59" s="28" t="s">
        <v>10</v>
      </c>
      <c r="Q59" s="13"/>
    </row>
    <row r="60" spans="1:17" x14ac:dyDescent="0.25">
      <c r="A60" s="24">
        <v>14</v>
      </c>
      <c r="B60" s="25" t="s">
        <v>81</v>
      </c>
      <c r="C60" s="26">
        <v>38</v>
      </c>
      <c r="D60" s="26">
        <v>35</v>
      </c>
      <c r="E60" s="26">
        <f>'[3]1.RSP Districts '!E60</f>
        <v>35</v>
      </c>
      <c r="F60" s="138">
        <f t="shared" si="8"/>
        <v>0</v>
      </c>
      <c r="G60" s="138">
        <f t="shared" si="9"/>
        <v>92.10526315789474</v>
      </c>
      <c r="H60" s="26">
        <v>74041</v>
      </c>
      <c r="I60" s="26">
        <v>28488</v>
      </c>
      <c r="J60" s="26">
        <f>'[3]1.RSP Districts '!H60</f>
        <v>28488</v>
      </c>
      <c r="K60" s="138">
        <f t="shared" si="10"/>
        <v>0</v>
      </c>
      <c r="L60" s="138">
        <f t="shared" si="11"/>
        <v>38.475979524857848</v>
      </c>
      <c r="M60" s="26">
        <f>1743-24</f>
        <v>1719</v>
      </c>
      <c r="N60" s="26">
        <f>'[3]1.RSP Districts '!J60</f>
        <v>1743</v>
      </c>
      <c r="O60" s="138">
        <f t="shared" si="12"/>
        <v>1.3961605584642234</v>
      </c>
      <c r="P60" s="28" t="s">
        <v>10</v>
      </c>
      <c r="Q60" s="13"/>
    </row>
    <row r="61" spans="1:17" x14ac:dyDescent="0.25">
      <c r="A61" s="24">
        <v>15</v>
      </c>
      <c r="B61" s="25" t="s">
        <v>222</v>
      </c>
      <c r="C61" s="26">
        <v>33</v>
      </c>
      <c r="D61" s="26">
        <v>0</v>
      </c>
      <c r="E61" s="26">
        <v>0</v>
      </c>
      <c r="F61" s="138">
        <v>0</v>
      </c>
      <c r="G61" s="138">
        <f t="shared" si="9"/>
        <v>0</v>
      </c>
      <c r="H61" s="26">
        <v>0</v>
      </c>
      <c r="I61" s="26">
        <v>0</v>
      </c>
      <c r="J61" s="26">
        <v>0</v>
      </c>
      <c r="K61" s="138">
        <v>0</v>
      </c>
      <c r="L61" s="138">
        <v>0</v>
      </c>
      <c r="M61" s="27">
        <v>0</v>
      </c>
      <c r="N61" s="27">
        <v>0</v>
      </c>
      <c r="O61" s="138">
        <v>0</v>
      </c>
      <c r="P61" s="107">
        <v>0</v>
      </c>
      <c r="Q61" s="13"/>
    </row>
    <row r="62" spans="1:17" x14ac:dyDescent="0.25">
      <c r="A62" s="24">
        <v>16</v>
      </c>
      <c r="B62" s="25" t="s">
        <v>82</v>
      </c>
      <c r="C62" s="26">
        <v>28</v>
      </c>
      <c r="D62" s="26">
        <v>25</v>
      </c>
      <c r="E62" s="26">
        <f>'[1]1.RSP Districts '!D62</f>
        <v>25</v>
      </c>
      <c r="F62" s="138">
        <f t="shared" si="8"/>
        <v>0</v>
      </c>
      <c r="G62" s="138">
        <f t="shared" si="9"/>
        <v>89.285714285714278</v>
      </c>
      <c r="H62" s="26">
        <v>45731</v>
      </c>
      <c r="I62" s="26">
        <v>20272</v>
      </c>
      <c r="J62" s="26">
        <f>'[1]1.RSP Districts '!H62</f>
        <v>20272</v>
      </c>
      <c r="K62" s="138">
        <f t="shared" si="10"/>
        <v>0</v>
      </c>
      <c r="L62" s="138">
        <f t="shared" si="11"/>
        <v>44.328792285320681</v>
      </c>
      <c r="M62" s="27">
        <v>1456</v>
      </c>
      <c r="N62" s="26">
        <f>'[1]1.RSP Districts '!J62</f>
        <v>1456</v>
      </c>
      <c r="O62" s="138">
        <f t="shared" si="12"/>
        <v>0</v>
      </c>
      <c r="P62" s="28" t="s">
        <v>6</v>
      </c>
      <c r="Q62" s="13"/>
    </row>
    <row r="63" spans="1:17" x14ac:dyDescent="0.25">
      <c r="A63" s="24">
        <v>17</v>
      </c>
      <c r="B63" s="25" t="s">
        <v>83</v>
      </c>
      <c r="C63" s="26">
        <v>59</v>
      </c>
      <c r="D63" s="26">
        <v>54</v>
      </c>
      <c r="E63" s="26">
        <f>'[3]1.RSP Districts '!E63</f>
        <v>54</v>
      </c>
      <c r="F63" s="138">
        <f t="shared" si="8"/>
        <v>0</v>
      </c>
      <c r="G63" s="138">
        <f t="shared" si="9"/>
        <v>91.525423728813564</v>
      </c>
      <c r="H63" s="26">
        <v>167833</v>
      </c>
      <c r="I63" s="26">
        <v>98993</v>
      </c>
      <c r="J63" s="26">
        <f>'[3]1.RSP Districts '!H63</f>
        <v>99118</v>
      </c>
      <c r="K63" s="138">
        <f t="shared" si="10"/>
        <v>0.12627155455436243</v>
      </c>
      <c r="L63" s="138">
        <f t="shared" si="11"/>
        <v>59.057515506485615</v>
      </c>
      <c r="M63" s="26">
        <f>3411-18</f>
        <v>3393</v>
      </c>
      <c r="N63" s="26">
        <f>'[3]1.RSP Districts '!J63</f>
        <v>3416</v>
      </c>
      <c r="O63" s="138">
        <f t="shared" si="12"/>
        <v>0.6778661951075744</v>
      </c>
      <c r="P63" s="28" t="s">
        <v>10</v>
      </c>
      <c r="Q63" s="13"/>
    </row>
    <row r="64" spans="1:17" x14ac:dyDescent="0.25">
      <c r="A64" s="24">
        <v>18</v>
      </c>
      <c r="B64" s="25" t="s">
        <v>84</v>
      </c>
      <c r="C64" s="26">
        <v>75</v>
      </c>
      <c r="D64" s="26">
        <v>63</v>
      </c>
      <c r="E64" s="26">
        <f>'[1]1.RSP Districts '!D64</f>
        <v>63</v>
      </c>
      <c r="F64" s="138">
        <f t="shared" si="8"/>
        <v>0</v>
      </c>
      <c r="G64" s="138">
        <f t="shared" si="9"/>
        <v>84</v>
      </c>
      <c r="H64" s="26">
        <v>141386</v>
      </c>
      <c r="I64" s="26">
        <v>30781</v>
      </c>
      <c r="J64" s="26">
        <f>'[1]1.RSP Districts '!H64</f>
        <v>30781</v>
      </c>
      <c r="K64" s="138">
        <f t="shared" si="10"/>
        <v>0</v>
      </c>
      <c r="L64" s="138">
        <f t="shared" si="11"/>
        <v>21.770896694156423</v>
      </c>
      <c r="M64" s="27">
        <v>2181</v>
      </c>
      <c r="N64" s="26">
        <f>'[1]1.RSP Districts '!J64</f>
        <v>2181</v>
      </c>
      <c r="O64" s="138">
        <f t="shared" si="12"/>
        <v>0</v>
      </c>
      <c r="P64" s="28" t="s">
        <v>6</v>
      </c>
      <c r="Q64" s="13"/>
    </row>
    <row r="65" spans="1:17" x14ac:dyDescent="0.25">
      <c r="A65" s="24">
        <v>18</v>
      </c>
      <c r="B65" s="25" t="s">
        <v>85</v>
      </c>
      <c r="C65" s="26">
        <v>75</v>
      </c>
      <c r="D65" s="26">
        <v>20</v>
      </c>
      <c r="E65" s="26">
        <f>'[3]1.RSP Districts '!E65</f>
        <v>20</v>
      </c>
      <c r="F65" s="138">
        <f t="shared" si="8"/>
        <v>0</v>
      </c>
      <c r="G65" s="138">
        <f t="shared" si="9"/>
        <v>26.666666666666668</v>
      </c>
      <c r="H65" s="26">
        <v>141386</v>
      </c>
      <c r="I65" s="26">
        <v>30114</v>
      </c>
      <c r="J65" s="26">
        <f>'[3]1.RSP Districts '!H65</f>
        <v>30114</v>
      </c>
      <c r="K65" s="138">
        <f t="shared" si="10"/>
        <v>0</v>
      </c>
      <c r="L65" s="138">
        <f t="shared" si="11"/>
        <v>21.299138528567187</v>
      </c>
      <c r="M65" s="26">
        <f>1437-12</f>
        <v>1425</v>
      </c>
      <c r="N65" s="26">
        <f>'[3]1.RSP Districts '!J65</f>
        <v>1425</v>
      </c>
      <c r="O65" s="138">
        <f t="shared" si="12"/>
        <v>0</v>
      </c>
      <c r="P65" s="28" t="s">
        <v>10</v>
      </c>
      <c r="Q65" s="13"/>
    </row>
    <row r="66" spans="1:17" x14ac:dyDescent="0.25">
      <c r="A66" s="24">
        <v>19</v>
      </c>
      <c r="B66" s="25" t="s">
        <v>86</v>
      </c>
      <c r="C66" s="26">
        <v>48</v>
      </c>
      <c r="D66" s="26">
        <v>10</v>
      </c>
      <c r="E66" s="26">
        <f>'[3]1.RSP Districts '!E66</f>
        <v>10</v>
      </c>
      <c r="F66" s="138">
        <f t="shared" si="8"/>
        <v>0</v>
      </c>
      <c r="G66" s="138">
        <f t="shared" si="9"/>
        <v>20.833333333333336</v>
      </c>
      <c r="H66" s="26">
        <v>84851</v>
      </c>
      <c r="I66" s="26">
        <v>10872</v>
      </c>
      <c r="J66" s="26">
        <f>'[3]1.RSP Districts '!H66</f>
        <v>14209</v>
      </c>
      <c r="K66" s="138">
        <f t="shared" si="10"/>
        <v>30.693524650478292</v>
      </c>
      <c r="L66" s="138">
        <f t="shared" si="11"/>
        <v>16.745825034472194</v>
      </c>
      <c r="M66" s="26">
        <f>466-10</f>
        <v>456</v>
      </c>
      <c r="N66" s="26">
        <f>'[3]1.RSP Districts '!J66</f>
        <v>608</v>
      </c>
      <c r="O66" s="138">
        <f t="shared" si="12"/>
        <v>33.333333333333336</v>
      </c>
      <c r="P66" s="28" t="s">
        <v>10</v>
      </c>
      <c r="Q66" s="13"/>
    </row>
    <row r="67" spans="1:17" x14ac:dyDescent="0.25">
      <c r="A67" s="24">
        <v>20</v>
      </c>
      <c r="B67" s="25" t="s">
        <v>87</v>
      </c>
      <c r="C67" s="26">
        <v>67</v>
      </c>
      <c r="D67" s="26">
        <v>10</v>
      </c>
      <c r="E67" s="26">
        <f>'[3]1.RSP Districts '!E67</f>
        <v>10</v>
      </c>
      <c r="F67" s="138">
        <f t="shared" si="8"/>
        <v>0</v>
      </c>
      <c r="G67" s="138">
        <f t="shared" si="9"/>
        <v>14.925373134328357</v>
      </c>
      <c r="H67" s="26">
        <v>132070</v>
      </c>
      <c r="I67" s="26">
        <v>6927</v>
      </c>
      <c r="J67" s="26">
        <f>'[3]1.RSP Districts '!H67</f>
        <v>10016</v>
      </c>
      <c r="K67" s="138">
        <f t="shared" si="10"/>
        <v>44.593619171358455</v>
      </c>
      <c r="L67" s="138">
        <f t="shared" si="11"/>
        <v>7.5838570455061705</v>
      </c>
      <c r="M67" s="26">
        <f>337-12</f>
        <v>325</v>
      </c>
      <c r="N67" s="26">
        <f>'[3]1.RSP Districts '!J67</f>
        <v>457</v>
      </c>
      <c r="O67" s="138">
        <f t="shared" si="12"/>
        <v>40.615384615384613</v>
      </c>
      <c r="P67" s="28" t="s">
        <v>10</v>
      </c>
      <c r="Q67" s="13"/>
    </row>
    <row r="68" spans="1:17" x14ac:dyDescent="0.25">
      <c r="A68" s="24">
        <v>21</v>
      </c>
      <c r="B68" s="25" t="s">
        <v>88</v>
      </c>
      <c r="C68" s="26">
        <v>28</v>
      </c>
      <c r="D68" s="26">
        <v>18</v>
      </c>
      <c r="E68" s="26">
        <f>'[3]1.RSP Districts '!E68</f>
        <v>18</v>
      </c>
      <c r="F68" s="138">
        <f t="shared" si="8"/>
        <v>0</v>
      </c>
      <c r="G68" s="138">
        <f t="shared" si="9"/>
        <v>64.285714285714278</v>
      </c>
      <c r="H68" s="26">
        <v>53994</v>
      </c>
      <c r="I68" s="26">
        <v>20982</v>
      </c>
      <c r="J68" s="26">
        <f>'[3]1.RSP Districts '!H68</f>
        <v>20982</v>
      </c>
      <c r="K68" s="138">
        <f t="shared" si="10"/>
        <v>0</v>
      </c>
      <c r="L68" s="138">
        <f t="shared" si="11"/>
        <v>38.859873319257694</v>
      </c>
      <c r="M68" s="26">
        <f>1228-15</f>
        <v>1213</v>
      </c>
      <c r="N68" s="26">
        <f>'[3]1.RSP Districts '!J68</f>
        <v>1228</v>
      </c>
      <c r="O68" s="138">
        <f t="shared" si="12"/>
        <v>1.2366034624896949</v>
      </c>
      <c r="P68" s="28" t="s">
        <v>10</v>
      </c>
      <c r="Q68" s="13"/>
    </row>
    <row r="69" spans="1:17" x14ac:dyDescent="0.25">
      <c r="A69" s="24">
        <v>22</v>
      </c>
      <c r="B69" s="25" t="s">
        <v>89</v>
      </c>
      <c r="C69" s="26">
        <v>55</v>
      </c>
      <c r="D69" s="26">
        <v>4</v>
      </c>
      <c r="E69" s="26">
        <v>4</v>
      </c>
      <c r="F69" s="138">
        <f t="shared" si="8"/>
        <v>0</v>
      </c>
      <c r="G69" s="138">
        <f t="shared" si="9"/>
        <v>7.2727272727272725</v>
      </c>
      <c r="H69" s="26">
        <v>112083</v>
      </c>
      <c r="I69" s="26">
        <v>7104</v>
      </c>
      <c r="J69" s="26">
        <v>7108</v>
      </c>
      <c r="K69" s="138">
        <f t="shared" si="10"/>
        <v>5.63063063063063E-2</v>
      </c>
      <c r="L69" s="138">
        <f t="shared" si="11"/>
        <v>6.3417288973350114</v>
      </c>
      <c r="M69" s="26">
        <v>540</v>
      </c>
      <c r="N69" s="26">
        <v>541</v>
      </c>
      <c r="O69" s="138">
        <f t="shared" si="12"/>
        <v>0.18518518518518517</v>
      </c>
      <c r="P69" s="28" t="s">
        <v>5</v>
      </c>
      <c r="Q69" s="13"/>
    </row>
    <row r="70" spans="1:17" x14ac:dyDescent="0.25">
      <c r="A70" s="24">
        <v>22</v>
      </c>
      <c r="B70" s="25" t="s">
        <v>90</v>
      </c>
      <c r="C70" s="26">
        <v>55</v>
      </c>
      <c r="D70" s="26">
        <v>38</v>
      </c>
      <c r="E70" s="26">
        <f>'[1]1.RSP Districts '!D70</f>
        <v>38</v>
      </c>
      <c r="F70" s="138">
        <f t="shared" si="8"/>
        <v>0</v>
      </c>
      <c r="G70" s="138">
        <f t="shared" si="9"/>
        <v>69.090909090909079</v>
      </c>
      <c r="H70" s="26">
        <v>112083</v>
      </c>
      <c r="I70" s="26">
        <v>23493</v>
      </c>
      <c r="J70" s="26">
        <f>'[1]1.RSP Districts '!H70</f>
        <v>23493</v>
      </c>
      <c r="K70" s="138">
        <f t="shared" si="10"/>
        <v>0</v>
      </c>
      <c r="L70" s="138">
        <f t="shared" si="11"/>
        <v>20.960359733411849</v>
      </c>
      <c r="M70" s="27">
        <v>1503</v>
      </c>
      <c r="N70" s="26">
        <f>'[1]1.RSP Districts '!J70</f>
        <v>1503</v>
      </c>
      <c r="O70" s="138">
        <f t="shared" si="12"/>
        <v>0</v>
      </c>
      <c r="P70" s="28" t="s">
        <v>6</v>
      </c>
      <c r="Q70" s="13"/>
    </row>
    <row r="71" spans="1:17" x14ac:dyDescent="0.25">
      <c r="A71" s="24">
        <v>23</v>
      </c>
      <c r="B71" s="25" t="s">
        <v>91</v>
      </c>
      <c r="C71" s="26">
        <v>65</v>
      </c>
      <c r="D71" s="26">
        <v>19</v>
      </c>
      <c r="E71" s="26">
        <f>'[1]1.RSP Districts '!D71</f>
        <v>19</v>
      </c>
      <c r="F71" s="138">
        <f t="shared" si="8"/>
        <v>0</v>
      </c>
      <c r="G71" s="138">
        <f t="shared" si="9"/>
        <v>29.23076923076923</v>
      </c>
      <c r="H71" s="26">
        <v>125377</v>
      </c>
      <c r="I71" s="26">
        <v>6488</v>
      </c>
      <c r="J71" s="26">
        <f>'[1]1.RSP Districts '!H71</f>
        <v>6488</v>
      </c>
      <c r="K71" s="138">
        <f t="shared" si="10"/>
        <v>0</v>
      </c>
      <c r="L71" s="138">
        <f t="shared" si="11"/>
        <v>5.1747928248402815</v>
      </c>
      <c r="M71" s="27">
        <v>298</v>
      </c>
      <c r="N71" s="26">
        <f>'[1]1.RSP Districts '!J71</f>
        <v>298</v>
      </c>
      <c r="O71" s="138">
        <f t="shared" si="12"/>
        <v>0</v>
      </c>
      <c r="P71" s="28" t="s">
        <v>6</v>
      </c>
      <c r="Q71" s="13"/>
    </row>
    <row r="72" spans="1:17" x14ac:dyDescent="0.25">
      <c r="A72" s="24">
        <v>23</v>
      </c>
      <c r="B72" s="25" t="s">
        <v>92</v>
      </c>
      <c r="C72" s="26">
        <v>65</v>
      </c>
      <c r="D72" s="26">
        <v>14</v>
      </c>
      <c r="E72" s="26">
        <f>'[3]1.RSP Districts '!E72</f>
        <v>14</v>
      </c>
      <c r="F72" s="138">
        <f t="shared" si="8"/>
        <v>0</v>
      </c>
      <c r="G72" s="138">
        <f t="shared" si="9"/>
        <v>21.538461538461537</v>
      </c>
      <c r="H72" s="26">
        <v>125377</v>
      </c>
      <c r="I72" s="26">
        <v>3705</v>
      </c>
      <c r="J72" s="26">
        <f>'[3]1.RSP Districts '!H72</f>
        <v>3705</v>
      </c>
      <c r="K72" s="138">
        <f t="shared" si="10"/>
        <v>0</v>
      </c>
      <c r="L72" s="138">
        <f t="shared" si="11"/>
        <v>2.9550874562320044</v>
      </c>
      <c r="M72" s="26">
        <f>152-10</f>
        <v>142</v>
      </c>
      <c r="N72" s="26">
        <f>'[3]1.RSP Districts '!J72</f>
        <v>152</v>
      </c>
      <c r="O72" s="138">
        <f t="shared" si="12"/>
        <v>7.042253521126761</v>
      </c>
      <c r="P72" s="28" t="s">
        <v>10</v>
      </c>
      <c r="Q72" s="13"/>
    </row>
    <row r="73" spans="1:17" x14ac:dyDescent="0.25">
      <c r="A73" s="44">
        <v>24</v>
      </c>
      <c r="B73" s="45" t="s">
        <v>221</v>
      </c>
      <c r="C73" s="46">
        <v>16</v>
      </c>
      <c r="D73" s="46">
        <v>0</v>
      </c>
      <c r="E73" s="46">
        <v>0</v>
      </c>
      <c r="F73" s="138">
        <v>0</v>
      </c>
      <c r="G73" s="138">
        <f t="shared" si="9"/>
        <v>0</v>
      </c>
      <c r="H73" s="46">
        <v>0</v>
      </c>
      <c r="I73" s="46">
        <v>0</v>
      </c>
      <c r="J73" s="46">
        <v>0</v>
      </c>
      <c r="K73" s="138">
        <v>0</v>
      </c>
      <c r="L73" s="138">
        <v>0</v>
      </c>
      <c r="M73" s="46">
        <v>0</v>
      </c>
      <c r="N73" s="48">
        <v>0</v>
      </c>
      <c r="O73" s="138">
        <v>0</v>
      </c>
      <c r="P73" s="116">
        <v>0</v>
      </c>
      <c r="Q73" s="13"/>
    </row>
    <row r="74" spans="1:17" s="5" customFormat="1" ht="14.4" thickBot="1" x14ac:dyDescent="0.3">
      <c r="A74" s="29">
        <f>A73-5</f>
        <v>19</v>
      </c>
      <c r="B74" s="30" t="s">
        <v>93</v>
      </c>
      <c r="C74" s="31">
        <f>SUM(C43:C73)-(C47+C48+C51+C56+C65+C69+C72)</f>
        <v>961</v>
      </c>
      <c r="D74" s="31">
        <f>SUM(D43:D73)-(D47+D48+D51+D56+D65+D69+D72)</f>
        <v>524</v>
      </c>
      <c r="E74" s="31">
        <f>SUM(E43:E73)-(E47+E48+E51+E56+E65+E69+E72)</f>
        <v>524</v>
      </c>
      <c r="F74" s="145">
        <f t="shared" si="8"/>
        <v>0</v>
      </c>
      <c r="G74" s="145">
        <f t="shared" si="9"/>
        <v>54.526534859521334</v>
      </c>
      <c r="H74" s="31">
        <f>SUM(H43:H73)-(H47+H48+H51+H56+H65+H69+H72)</f>
        <v>1580629</v>
      </c>
      <c r="I74" s="31">
        <f>SUM(I43:I73)</f>
        <v>646388</v>
      </c>
      <c r="J74" s="31">
        <f>SUM(J43:J73)</f>
        <v>655498</v>
      </c>
      <c r="K74" s="145">
        <f t="shared" si="10"/>
        <v>1.4093702234571186</v>
      </c>
      <c r="L74" s="145">
        <f t="shared" si="11"/>
        <v>41.470705649459802</v>
      </c>
      <c r="M74" s="31">
        <f>SUM(M43:M73)</f>
        <v>28706</v>
      </c>
      <c r="N74" s="31">
        <f>SUM(N43:N73)</f>
        <v>29321</v>
      </c>
      <c r="O74" s="137"/>
      <c r="P74" s="32"/>
      <c r="Q74" s="13"/>
    </row>
    <row r="75" spans="1:17" ht="8.25" customHeight="1" thickBot="1" x14ac:dyDescent="0.35">
      <c r="A75" s="14"/>
      <c r="B75" s="15"/>
      <c r="C75" s="71"/>
      <c r="D75" s="33"/>
      <c r="E75" s="33"/>
      <c r="F75" s="139"/>
      <c r="G75" s="139"/>
      <c r="H75" s="71"/>
      <c r="I75" s="33"/>
      <c r="J75" s="34"/>
      <c r="K75" s="34"/>
      <c r="L75" s="34"/>
      <c r="M75" s="34"/>
      <c r="N75" s="34"/>
      <c r="O75" s="34"/>
      <c r="P75" s="16"/>
      <c r="Q75" s="13"/>
    </row>
    <row r="76" spans="1:17" s="6" customFormat="1" x14ac:dyDescent="0.25">
      <c r="A76" s="19" t="s">
        <v>94</v>
      </c>
      <c r="B76" s="20"/>
      <c r="C76" s="21"/>
      <c r="D76" s="35"/>
      <c r="E76" s="35"/>
      <c r="F76" s="140"/>
      <c r="G76" s="140"/>
      <c r="H76" s="21"/>
      <c r="I76" s="35"/>
      <c r="J76" s="36"/>
      <c r="K76" s="36"/>
      <c r="L76" s="36"/>
      <c r="M76" s="36"/>
      <c r="N76" s="36"/>
      <c r="O76" s="36"/>
      <c r="P76" s="23"/>
      <c r="Q76" s="13"/>
    </row>
    <row r="77" spans="1:17" ht="14.4" x14ac:dyDescent="0.3">
      <c r="A77" s="24">
        <v>1</v>
      </c>
      <c r="B77" s="25" t="s">
        <v>95</v>
      </c>
      <c r="C77" s="26">
        <v>46</v>
      </c>
      <c r="D77" s="26">
        <v>46</v>
      </c>
      <c r="E77" s="26">
        <f>'[1]1.RSP Districts '!D77</f>
        <v>46</v>
      </c>
      <c r="F77" s="138">
        <f t="shared" ref="F77:F100" si="13">(E77-D77)/D77%</f>
        <v>0</v>
      </c>
      <c r="G77" s="138">
        <f t="shared" ref="G77:G100" si="14">E77/C77%</f>
        <v>100</v>
      </c>
      <c r="H77" s="37">
        <v>185266</v>
      </c>
      <c r="I77" s="26">
        <v>71070</v>
      </c>
      <c r="J77" s="26">
        <f>'[1]1.RSP Districts '!H77</f>
        <v>71904</v>
      </c>
      <c r="K77" s="138">
        <f t="shared" ref="K77:K100" si="15">(J77-I77)/I77%</f>
        <v>1.1734909244406921</v>
      </c>
      <c r="L77" s="138">
        <f t="shared" ref="L77:L100" si="16">J77/H77%</f>
        <v>38.811222782377769</v>
      </c>
      <c r="M77" s="27">
        <v>3589</v>
      </c>
      <c r="N77" s="26">
        <f>'[1]1.RSP Districts '!J77</f>
        <v>3640</v>
      </c>
      <c r="O77" s="138">
        <f t="shared" ref="O77:O100" si="17">(N77-M77)/M77%</f>
        <v>1.4210086375034829</v>
      </c>
      <c r="P77" s="38" t="s">
        <v>6</v>
      </c>
      <c r="Q77" s="13"/>
    </row>
    <row r="78" spans="1:17" x14ac:dyDescent="0.25">
      <c r="A78" s="24">
        <v>2</v>
      </c>
      <c r="B78" s="25" t="s">
        <v>96</v>
      </c>
      <c r="C78" s="26">
        <v>52</v>
      </c>
      <c r="D78" s="26">
        <v>30</v>
      </c>
      <c r="E78" s="26">
        <f>'[4]1.RSP Districts '!E78</f>
        <v>30</v>
      </c>
      <c r="F78" s="138">
        <f t="shared" si="13"/>
        <v>0</v>
      </c>
      <c r="G78" s="138">
        <f t="shared" si="14"/>
        <v>57.692307692307693</v>
      </c>
      <c r="H78" s="26">
        <v>164849</v>
      </c>
      <c r="I78" s="26">
        <v>32363</v>
      </c>
      <c r="J78" s="26">
        <f>'[4]1.RSP Districts '!H78</f>
        <v>32563</v>
      </c>
      <c r="K78" s="138">
        <f t="shared" si="15"/>
        <v>0.61798967957235118</v>
      </c>
      <c r="L78" s="138">
        <f t="shared" si="16"/>
        <v>19.753228712336746</v>
      </c>
      <c r="M78" s="26">
        <v>1207</v>
      </c>
      <c r="N78" s="26">
        <f>'[4]1.RSP Districts '!J78</f>
        <v>1307</v>
      </c>
      <c r="O78" s="138">
        <f t="shared" si="17"/>
        <v>8.2850041425020713</v>
      </c>
      <c r="P78" s="39" t="s">
        <v>11</v>
      </c>
      <c r="Q78" s="13"/>
    </row>
    <row r="79" spans="1:17" ht="14.4" x14ac:dyDescent="0.3">
      <c r="A79" s="24">
        <v>3</v>
      </c>
      <c r="B79" s="25" t="s">
        <v>97</v>
      </c>
      <c r="C79" s="41">
        <v>46</v>
      </c>
      <c r="D79" s="26">
        <v>35</v>
      </c>
      <c r="E79" s="26">
        <f>'[5]1.RSP Districts '!E79</f>
        <v>35</v>
      </c>
      <c r="F79" s="138">
        <f t="shared" si="13"/>
        <v>0</v>
      </c>
      <c r="G79" s="138">
        <f t="shared" si="14"/>
        <v>76.086956521739125</v>
      </c>
      <c r="H79" s="26">
        <v>158489</v>
      </c>
      <c r="I79" s="26">
        <v>70291</v>
      </c>
      <c r="J79" s="26">
        <f>'[5]1.RSP Districts '!H79</f>
        <v>70291</v>
      </c>
      <c r="K79" s="138">
        <f t="shared" si="15"/>
        <v>0</v>
      </c>
      <c r="L79" s="138">
        <f t="shared" si="16"/>
        <v>44.350712036797503</v>
      </c>
      <c r="M79" s="26">
        <v>3757</v>
      </c>
      <c r="N79" s="26">
        <f>'[5]1.RSP Districts '!J79</f>
        <v>4298</v>
      </c>
      <c r="O79" s="138">
        <f t="shared" si="17"/>
        <v>14.399787064146926</v>
      </c>
      <c r="P79" s="38" t="s">
        <v>9</v>
      </c>
      <c r="Q79" s="13"/>
    </row>
    <row r="80" spans="1:17" ht="14.4" x14ac:dyDescent="0.3">
      <c r="A80" s="24">
        <v>4</v>
      </c>
      <c r="B80" s="25" t="s">
        <v>98</v>
      </c>
      <c r="C80" s="26">
        <v>37</v>
      </c>
      <c r="D80" s="26">
        <v>10</v>
      </c>
      <c r="E80" s="26">
        <f>'[1]1.RSP Districts '!D80</f>
        <v>10</v>
      </c>
      <c r="F80" s="138">
        <f t="shared" si="13"/>
        <v>0</v>
      </c>
      <c r="G80" s="138">
        <f t="shared" si="14"/>
        <v>27.027027027027028</v>
      </c>
      <c r="H80" s="37">
        <v>128856</v>
      </c>
      <c r="I80" s="26">
        <v>6412</v>
      </c>
      <c r="J80" s="26">
        <f>'[1]1.RSP Districts '!H80</f>
        <v>11473</v>
      </c>
      <c r="K80" s="138">
        <f t="shared" si="15"/>
        <v>78.9301310043668</v>
      </c>
      <c r="L80" s="138">
        <f t="shared" si="16"/>
        <v>8.9037375054324208</v>
      </c>
      <c r="M80" s="27">
        <v>444</v>
      </c>
      <c r="N80" s="26">
        <f>'[1]1.RSP Districts '!J80</f>
        <v>700</v>
      </c>
      <c r="O80" s="138">
        <f t="shared" si="17"/>
        <v>57.657657657657651</v>
      </c>
      <c r="P80" s="38" t="s">
        <v>6</v>
      </c>
      <c r="Q80" s="13"/>
    </row>
    <row r="81" spans="1:17" ht="14.4" x14ac:dyDescent="0.3">
      <c r="A81" s="24">
        <v>5</v>
      </c>
      <c r="B81" s="25" t="s">
        <v>99</v>
      </c>
      <c r="C81" s="26">
        <v>40</v>
      </c>
      <c r="D81" s="26">
        <v>18</v>
      </c>
      <c r="E81" s="26">
        <f>'[5]1.RSP Districts '!E81</f>
        <v>29</v>
      </c>
      <c r="F81" s="138">
        <f t="shared" si="13"/>
        <v>61.111111111111114</v>
      </c>
      <c r="G81" s="138">
        <f t="shared" si="14"/>
        <v>72.5</v>
      </c>
      <c r="H81" s="26">
        <v>90682.077922077922</v>
      </c>
      <c r="I81" s="26">
        <v>39787</v>
      </c>
      <c r="J81" s="26">
        <f>'[5]1.RSP Districts '!H81</f>
        <v>57753</v>
      </c>
      <c r="K81" s="138">
        <f t="shared" si="15"/>
        <v>45.15545278608591</v>
      </c>
      <c r="L81" s="138">
        <f t="shared" si="16"/>
        <v>63.687336377124595</v>
      </c>
      <c r="M81" s="26">
        <v>2977</v>
      </c>
      <c r="N81" s="26">
        <f>'[5]1.RSP Districts '!J81</f>
        <v>3479</v>
      </c>
      <c r="O81" s="138">
        <f t="shared" si="17"/>
        <v>16.862613369163586</v>
      </c>
      <c r="P81" s="38" t="s">
        <v>9</v>
      </c>
      <c r="Q81" s="13"/>
    </row>
    <row r="82" spans="1:17" x14ac:dyDescent="0.25">
      <c r="A82" s="24">
        <v>6</v>
      </c>
      <c r="B82" s="25" t="s">
        <v>100</v>
      </c>
      <c r="C82" s="26">
        <v>28</v>
      </c>
      <c r="D82" s="26">
        <v>11</v>
      </c>
      <c r="E82" s="26">
        <f>'[4]1.RSP Districts '!E82</f>
        <v>11</v>
      </c>
      <c r="F82" s="138">
        <f t="shared" si="13"/>
        <v>0</v>
      </c>
      <c r="G82" s="138">
        <f t="shared" si="14"/>
        <v>39.285714285714285</v>
      </c>
      <c r="H82" s="26">
        <v>88816</v>
      </c>
      <c r="I82" s="26">
        <v>20148</v>
      </c>
      <c r="J82" s="26">
        <f>'[4]1.RSP Districts '!H82</f>
        <v>20448</v>
      </c>
      <c r="K82" s="138">
        <f t="shared" si="15"/>
        <v>1.4889815366289458</v>
      </c>
      <c r="L82" s="138">
        <f t="shared" si="16"/>
        <v>23.02287876058368</v>
      </c>
      <c r="M82" s="26">
        <v>227</v>
      </c>
      <c r="N82" s="26">
        <f>'[4]1.RSP Districts '!J82</f>
        <v>241</v>
      </c>
      <c r="O82" s="138">
        <f t="shared" si="17"/>
        <v>6.1674008810572687</v>
      </c>
      <c r="P82" s="39" t="s">
        <v>11</v>
      </c>
      <c r="Q82" s="13"/>
    </row>
    <row r="83" spans="1:17" x14ac:dyDescent="0.25">
      <c r="A83" s="24">
        <v>7</v>
      </c>
      <c r="B83" s="25" t="s">
        <v>223</v>
      </c>
      <c r="C83" s="26">
        <v>0</v>
      </c>
      <c r="D83" s="26">
        <v>0</v>
      </c>
      <c r="E83" s="26">
        <v>0</v>
      </c>
      <c r="F83" s="138">
        <v>0</v>
      </c>
      <c r="G83" s="138">
        <v>0</v>
      </c>
      <c r="H83" s="26">
        <v>0</v>
      </c>
      <c r="I83" s="26">
        <v>0</v>
      </c>
      <c r="J83" s="26">
        <v>0</v>
      </c>
      <c r="K83" s="138">
        <v>0</v>
      </c>
      <c r="L83" s="138">
        <v>0</v>
      </c>
      <c r="M83" s="26">
        <v>0</v>
      </c>
      <c r="N83" s="27">
        <v>0</v>
      </c>
      <c r="O83" s="138">
        <v>0</v>
      </c>
      <c r="P83" s="107">
        <v>0</v>
      </c>
      <c r="Q83" s="13"/>
    </row>
    <row r="84" spans="1:17" ht="14.4" x14ac:dyDescent="0.3">
      <c r="A84" s="24">
        <v>8</v>
      </c>
      <c r="B84" s="25" t="s">
        <v>101</v>
      </c>
      <c r="C84" s="26">
        <v>37</v>
      </c>
      <c r="D84" s="26">
        <v>37</v>
      </c>
      <c r="E84" s="26">
        <f>'[5]1.RSP Districts '!E84</f>
        <v>37</v>
      </c>
      <c r="F84" s="138">
        <f t="shared" si="13"/>
        <v>0</v>
      </c>
      <c r="G84" s="138">
        <f t="shared" si="14"/>
        <v>100</v>
      </c>
      <c r="H84" s="26">
        <v>110969</v>
      </c>
      <c r="I84" s="26">
        <v>78650</v>
      </c>
      <c r="J84" s="26">
        <f>'[5]1.RSP Districts '!H84</f>
        <v>80708</v>
      </c>
      <c r="K84" s="138">
        <f t="shared" si="15"/>
        <v>2.6166560712015259</v>
      </c>
      <c r="L84" s="138">
        <f t="shared" si="16"/>
        <v>72.73022195387901</v>
      </c>
      <c r="M84" s="26">
        <v>4787</v>
      </c>
      <c r="N84" s="26">
        <f>'[5]1.RSP Districts '!J84</f>
        <v>4787</v>
      </c>
      <c r="O84" s="138">
        <f t="shared" si="17"/>
        <v>0</v>
      </c>
      <c r="P84" s="38" t="s">
        <v>9</v>
      </c>
      <c r="Q84" s="13"/>
    </row>
    <row r="85" spans="1:17" ht="14.4" x14ac:dyDescent="0.3">
      <c r="A85" s="24">
        <v>9</v>
      </c>
      <c r="B85" s="40" t="s">
        <v>102</v>
      </c>
      <c r="C85" s="26">
        <v>76</v>
      </c>
      <c r="D85" s="26">
        <v>32</v>
      </c>
      <c r="E85" s="26">
        <v>32</v>
      </c>
      <c r="F85" s="138">
        <f t="shared" si="13"/>
        <v>0</v>
      </c>
      <c r="G85" s="138">
        <f t="shared" si="14"/>
        <v>42.10526315789474</v>
      </c>
      <c r="H85" s="26">
        <v>208270</v>
      </c>
      <c r="I85" s="26">
        <v>53049</v>
      </c>
      <c r="J85" s="26">
        <f>'[5]1.RSP Districts '!H85</f>
        <v>63164</v>
      </c>
      <c r="K85" s="138">
        <f t="shared" si="15"/>
        <v>19.067277422760089</v>
      </c>
      <c r="L85" s="138">
        <f t="shared" si="16"/>
        <v>30.327939693666877</v>
      </c>
      <c r="M85" s="26">
        <v>2370</v>
      </c>
      <c r="N85" s="26">
        <f>'[5]1.RSP Districts '!J85</f>
        <v>3602</v>
      </c>
      <c r="O85" s="138">
        <f t="shared" si="17"/>
        <v>51.983122362869203</v>
      </c>
      <c r="P85" s="38" t="s">
        <v>9</v>
      </c>
      <c r="Q85" s="13"/>
    </row>
    <row r="86" spans="1:17" ht="14.4" x14ac:dyDescent="0.3">
      <c r="A86" s="24">
        <v>10</v>
      </c>
      <c r="B86" s="25" t="s">
        <v>103</v>
      </c>
      <c r="C86" s="26">
        <v>44</v>
      </c>
      <c r="D86" s="26">
        <v>31</v>
      </c>
      <c r="E86" s="26">
        <f>'[5]1.RSP Districts '!E86</f>
        <v>31</v>
      </c>
      <c r="F86" s="138">
        <f t="shared" si="13"/>
        <v>0</v>
      </c>
      <c r="G86" s="138">
        <f t="shared" si="14"/>
        <v>70.454545454545453</v>
      </c>
      <c r="H86" s="26">
        <v>121639.04761904762</v>
      </c>
      <c r="I86" s="26">
        <v>17018</v>
      </c>
      <c r="J86" s="26">
        <f>'[5]1.RSP Districts '!H86</f>
        <v>17018</v>
      </c>
      <c r="K86" s="138">
        <f t="shared" si="15"/>
        <v>0</v>
      </c>
      <c r="L86" s="138">
        <f t="shared" si="16"/>
        <v>13.990573202527385</v>
      </c>
      <c r="M86" s="26">
        <v>1052</v>
      </c>
      <c r="N86" s="26">
        <f>'[5]1.RSP Districts '!J86</f>
        <v>1379</v>
      </c>
      <c r="O86" s="138">
        <f t="shared" si="17"/>
        <v>31.083650190114071</v>
      </c>
      <c r="P86" s="38" t="s">
        <v>9</v>
      </c>
      <c r="Q86" s="13"/>
    </row>
    <row r="87" spans="1:17" ht="14.4" x14ac:dyDescent="0.3">
      <c r="A87" s="24">
        <v>11</v>
      </c>
      <c r="B87" s="25" t="s">
        <v>104</v>
      </c>
      <c r="C87" s="26">
        <v>19</v>
      </c>
      <c r="D87" s="26">
        <v>15</v>
      </c>
      <c r="E87" s="26">
        <f>'[1]1.RSP Districts '!D87</f>
        <v>15</v>
      </c>
      <c r="F87" s="138">
        <f t="shared" si="13"/>
        <v>0</v>
      </c>
      <c r="G87" s="138">
        <f t="shared" si="14"/>
        <v>78.94736842105263</v>
      </c>
      <c r="H87" s="37">
        <v>47026</v>
      </c>
      <c r="I87" s="26">
        <v>23129</v>
      </c>
      <c r="J87" s="26">
        <f>'[1]1.RSP Districts '!H87</f>
        <v>23129</v>
      </c>
      <c r="K87" s="138">
        <f t="shared" si="15"/>
        <v>0</v>
      </c>
      <c r="L87" s="138">
        <f t="shared" si="16"/>
        <v>49.183430442733808</v>
      </c>
      <c r="M87" s="27">
        <v>1770</v>
      </c>
      <c r="N87" s="26">
        <f>'[1]1.RSP Districts '!J87</f>
        <v>1770</v>
      </c>
      <c r="O87" s="138">
        <f t="shared" si="17"/>
        <v>0</v>
      </c>
      <c r="P87" s="38" t="s">
        <v>6</v>
      </c>
      <c r="Q87" s="13"/>
    </row>
    <row r="88" spans="1:17" ht="14.4" x14ac:dyDescent="0.3">
      <c r="A88" s="24">
        <v>12</v>
      </c>
      <c r="B88" s="25" t="s">
        <v>105</v>
      </c>
      <c r="C88" s="26">
        <v>41</v>
      </c>
      <c r="D88" s="26">
        <v>41</v>
      </c>
      <c r="E88" s="26">
        <f>'[1]1.RSP Districts '!D88</f>
        <v>41</v>
      </c>
      <c r="F88" s="138">
        <f t="shared" si="13"/>
        <v>0</v>
      </c>
      <c r="G88" s="138">
        <f t="shared" si="14"/>
        <v>100</v>
      </c>
      <c r="H88" s="37">
        <v>111973</v>
      </c>
      <c r="I88" s="26">
        <v>40850</v>
      </c>
      <c r="J88" s="26">
        <f>'[1]1.RSP Districts '!H88</f>
        <v>43051</v>
      </c>
      <c r="K88" s="138">
        <f t="shared" si="15"/>
        <v>5.3880048959608322</v>
      </c>
      <c r="L88" s="138">
        <f t="shared" si="16"/>
        <v>38.447661489823439</v>
      </c>
      <c r="M88" s="27">
        <v>2529</v>
      </c>
      <c r="N88" s="26">
        <f>'[1]1.RSP Districts '!J88</f>
        <v>2686</v>
      </c>
      <c r="O88" s="138">
        <f t="shared" si="17"/>
        <v>6.207987346777383</v>
      </c>
      <c r="P88" s="38" t="s">
        <v>6</v>
      </c>
      <c r="Q88" s="13"/>
    </row>
    <row r="89" spans="1:17" ht="14.4" x14ac:dyDescent="0.3">
      <c r="A89" s="24">
        <v>13</v>
      </c>
      <c r="B89" s="25" t="s">
        <v>106</v>
      </c>
      <c r="C89" s="26">
        <v>51</v>
      </c>
      <c r="D89" s="26">
        <v>21</v>
      </c>
      <c r="E89" s="26">
        <f>'[5]1.RSP Districts '!E89</f>
        <v>21</v>
      </c>
      <c r="F89" s="138">
        <f t="shared" si="13"/>
        <v>0</v>
      </c>
      <c r="G89" s="138">
        <f t="shared" si="14"/>
        <v>41.17647058823529</v>
      </c>
      <c r="H89" s="26">
        <v>164715</v>
      </c>
      <c r="I89" s="26">
        <v>11854</v>
      </c>
      <c r="J89" s="26">
        <f>'[5]1.RSP Districts '!H89</f>
        <v>11864</v>
      </c>
      <c r="K89" s="138">
        <f t="shared" si="15"/>
        <v>8.4359709802598271E-2</v>
      </c>
      <c r="L89" s="138">
        <f t="shared" si="16"/>
        <v>7.2027441338068785</v>
      </c>
      <c r="M89" s="26">
        <v>645</v>
      </c>
      <c r="N89" s="26">
        <f>'[5]1.RSP Districts '!J89</f>
        <v>922</v>
      </c>
      <c r="O89" s="138">
        <f t="shared" si="17"/>
        <v>42.945736434108525</v>
      </c>
      <c r="P89" s="38" t="s">
        <v>9</v>
      </c>
      <c r="Q89" s="13"/>
    </row>
    <row r="90" spans="1:17" ht="14.4" x14ac:dyDescent="0.3">
      <c r="A90" s="24">
        <v>14</v>
      </c>
      <c r="B90" s="25" t="s">
        <v>107</v>
      </c>
      <c r="C90" s="26">
        <v>51</v>
      </c>
      <c r="D90" s="26">
        <v>27</v>
      </c>
      <c r="E90" s="26">
        <f>'[1]1.RSP Districts '!D90</f>
        <v>27</v>
      </c>
      <c r="F90" s="138">
        <f t="shared" si="13"/>
        <v>0</v>
      </c>
      <c r="G90" s="138">
        <f t="shared" si="14"/>
        <v>52.941176470588232</v>
      </c>
      <c r="H90" s="37">
        <v>141671</v>
      </c>
      <c r="I90" s="26">
        <v>3092</v>
      </c>
      <c r="J90" s="26">
        <f>'[1]1.RSP Districts '!H90</f>
        <v>3092</v>
      </c>
      <c r="K90" s="138">
        <f t="shared" si="15"/>
        <v>0</v>
      </c>
      <c r="L90" s="138">
        <f t="shared" si="16"/>
        <v>2.1825214758136808</v>
      </c>
      <c r="M90" s="27">
        <v>564</v>
      </c>
      <c r="N90" s="26">
        <f>'[1]1.RSP Districts '!J90</f>
        <v>564</v>
      </c>
      <c r="O90" s="138">
        <f t="shared" si="17"/>
        <v>0</v>
      </c>
      <c r="P90" s="38" t="s">
        <v>6</v>
      </c>
      <c r="Q90" s="13"/>
    </row>
    <row r="91" spans="1:17" ht="14.4" x14ac:dyDescent="0.3">
      <c r="A91" s="24">
        <v>15</v>
      </c>
      <c r="B91" s="25" t="s">
        <v>108</v>
      </c>
      <c r="C91" s="26">
        <v>40</v>
      </c>
      <c r="D91" s="26">
        <v>32</v>
      </c>
      <c r="E91" s="26">
        <f>'[5]1.RSP Districts '!E91</f>
        <v>32</v>
      </c>
      <c r="F91" s="138">
        <f t="shared" si="13"/>
        <v>0</v>
      </c>
      <c r="G91" s="138">
        <f t="shared" si="14"/>
        <v>80</v>
      </c>
      <c r="H91" s="26">
        <v>128408</v>
      </c>
      <c r="I91" s="26">
        <v>16181</v>
      </c>
      <c r="J91" s="26">
        <f>'[5]1.RSP Districts '!H91</f>
        <v>16181</v>
      </c>
      <c r="K91" s="138">
        <f t="shared" si="15"/>
        <v>0</v>
      </c>
      <c r="L91" s="138">
        <f t="shared" si="16"/>
        <v>12.601239798143419</v>
      </c>
      <c r="M91" s="26">
        <v>1081</v>
      </c>
      <c r="N91" s="26">
        <f>'[5]1.RSP Districts '!J91</f>
        <v>1392</v>
      </c>
      <c r="O91" s="138">
        <f t="shared" si="17"/>
        <v>28.769657724329324</v>
      </c>
      <c r="P91" s="38" t="s">
        <v>9</v>
      </c>
      <c r="Q91" s="13"/>
    </row>
    <row r="92" spans="1:17" ht="14.4" x14ac:dyDescent="0.3">
      <c r="A92" s="24">
        <v>16</v>
      </c>
      <c r="B92" s="25" t="s">
        <v>109</v>
      </c>
      <c r="C92" s="26">
        <v>55</v>
      </c>
      <c r="D92" s="26">
        <v>11</v>
      </c>
      <c r="E92" s="26">
        <f>'[6]1.RSP Districts '!$D$92</f>
        <v>11</v>
      </c>
      <c r="F92" s="138">
        <f t="shared" si="13"/>
        <v>0</v>
      </c>
      <c r="G92" s="138">
        <f t="shared" si="14"/>
        <v>20</v>
      </c>
      <c r="H92" s="26">
        <v>209191</v>
      </c>
      <c r="I92" s="26">
        <v>9837</v>
      </c>
      <c r="J92" s="26">
        <f>'[6]1.RSP Districts '!$H$92</f>
        <v>10500</v>
      </c>
      <c r="K92" s="138">
        <f t="shared" si="15"/>
        <v>6.7398597133272338</v>
      </c>
      <c r="L92" s="138">
        <f t="shared" si="16"/>
        <v>5.0193363959252553</v>
      </c>
      <c r="M92" s="41">
        <v>690</v>
      </c>
      <c r="N92" s="130">
        <f>'[6]1.RSP Districts '!$J$92</f>
        <v>718</v>
      </c>
      <c r="O92" s="138">
        <f t="shared" si="17"/>
        <v>4.057971014492753</v>
      </c>
      <c r="P92" s="38" t="s">
        <v>8</v>
      </c>
      <c r="Q92" s="13"/>
    </row>
    <row r="93" spans="1:17" ht="14.4" x14ac:dyDescent="0.3">
      <c r="A93" s="24">
        <v>17</v>
      </c>
      <c r="B93" s="25" t="s">
        <v>110</v>
      </c>
      <c r="C93" s="26">
        <v>51</v>
      </c>
      <c r="D93" s="26">
        <v>50</v>
      </c>
      <c r="E93" s="26">
        <f>'[5]1.RSP Districts '!E93</f>
        <v>50</v>
      </c>
      <c r="F93" s="138">
        <f t="shared" si="13"/>
        <v>0</v>
      </c>
      <c r="G93" s="138">
        <f t="shared" si="14"/>
        <v>98.039215686274503</v>
      </c>
      <c r="H93" s="26">
        <v>122340</v>
      </c>
      <c r="I93" s="26">
        <v>98737</v>
      </c>
      <c r="J93" s="26">
        <f>'[5]1.RSP Districts '!H93</f>
        <v>104557</v>
      </c>
      <c r="K93" s="138">
        <f t="shared" si="15"/>
        <v>5.8944468638909422</v>
      </c>
      <c r="L93" s="138">
        <f t="shared" si="16"/>
        <v>85.464279875756077</v>
      </c>
      <c r="M93" s="26">
        <v>5893</v>
      </c>
      <c r="N93" s="26">
        <f>'[5]1.RSP Districts '!J93</f>
        <v>5997</v>
      </c>
      <c r="O93" s="138">
        <f t="shared" si="17"/>
        <v>1.7648057016799592</v>
      </c>
      <c r="P93" s="38" t="s">
        <v>9</v>
      </c>
      <c r="Q93" s="13"/>
    </row>
    <row r="94" spans="1:17" ht="14.4" x14ac:dyDescent="0.3">
      <c r="A94" s="24">
        <v>18</v>
      </c>
      <c r="B94" s="25" t="s">
        <v>111</v>
      </c>
      <c r="C94" s="26">
        <v>46</v>
      </c>
      <c r="D94" s="26">
        <v>19</v>
      </c>
      <c r="E94" s="26">
        <f>'[5]1.RSP Districts '!E94</f>
        <v>19</v>
      </c>
      <c r="F94" s="138">
        <f t="shared" si="13"/>
        <v>0</v>
      </c>
      <c r="G94" s="138">
        <f t="shared" si="14"/>
        <v>41.304347826086953</v>
      </c>
      <c r="H94" s="26">
        <v>78458</v>
      </c>
      <c r="I94" s="26">
        <v>19637</v>
      </c>
      <c r="J94" s="26">
        <f>'[5]1.RSP Districts '!H94</f>
        <v>21787</v>
      </c>
      <c r="K94" s="138">
        <f t="shared" si="15"/>
        <v>10.948719254468605</v>
      </c>
      <c r="L94" s="138">
        <f t="shared" si="16"/>
        <v>27.768997425374085</v>
      </c>
      <c r="M94" s="26">
        <v>1172</v>
      </c>
      <c r="N94" s="26">
        <f>'[5]1.RSP Districts '!J94</f>
        <v>1867</v>
      </c>
      <c r="O94" s="138">
        <f t="shared" si="17"/>
        <v>59.300341296928323</v>
      </c>
      <c r="P94" s="38" t="s">
        <v>9</v>
      </c>
      <c r="Q94" s="13"/>
    </row>
    <row r="95" spans="1:17" s="7" customFormat="1" ht="14.4" x14ac:dyDescent="0.3">
      <c r="A95" s="24">
        <v>19</v>
      </c>
      <c r="B95" s="25" t="s">
        <v>112</v>
      </c>
      <c r="C95" s="26">
        <v>19</v>
      </c>
      <c r="D95" s="26">
        <v>12</v>
      </c>
      <c r="E95" s="26">
        <f>'[1]1.RSP Districts '!D95</f>
        <v>12</v>
      </c>
      <c r="F95" s="138">
        <f t="shared" si="13"/>
        <v>0</v>
      </c>
      <c r="G95" s="138">
        <f t="shared" si="14"/>
        <v>63.157894736842103</v>
      </c>
      <c r="H95" s="37">
        <v>47082</v>
      </c>
      <c r="I95" s="26">
        <v>12702</v>
      </c>
      <c r="J95" s="26">
        <f>'[1]1.RSP Districts '!H95</f>
        <v>12702</v>
      </c>
      <c r="K95" s="138">
        <f t="shared" si="15"/>
        <v>0</v>
      </c>
      <c r="L95" s="138">
        <f t="shared" si="16"/>
        <v>26.978463106919843</v>
      </c>
      <c r="M95" s="27">
        <v>1025</v>
      </c>
      <c r="N95" s="26">
        <f>'[1]1.RSP Districts '!J95</f>
        <v>1025</v>
      </c>
      <c r="O95" s="138">
        <f t="shared" si="17"/>
        <v>0</v>
      </c>
      <c r="P95" s="38" t="s">
        <v>6</v>
      </c>
      <c r="Q95" s="13"/>
    </row>
    <row r="96" spans="1:17" s="7" customFormat="1" ht="14.4" x14ac:dyDescent="0.3">
      <c r="A96" s="24">
        <v>20</v>
      </c>
      <c r="B96" s="25" t="s">
        <v>113</v>
      </c>
      <c r="C96" s="26">
        <v>16</v>
      </c>
      <c r="D96" s="26">
        <v>11</v>
      </c>
      <c r="E96" s="26">
        <f>'[1]1.RSP Districts '!D96</f>
        <v>11</v>
      </c>
      <c r="F96" s="138">
        <f t="shared" si="13"/>
        <v>0</v>
      </c>
      <c r="G96" s="138">
        <f t="shared" si="14"/>
        <v>68.75</v>
      </c>
      <c r="H96" s="37">
        <v>39648</v>
      </c>
      <c r="I96" s="26">
        <v>7151</v>
      </c>
      <c r="J96" s="26">
        <f>'[1]1.RSP Districts '!H96</f>
        <v>10095</v>
      </c>
      <c r="K96" s="138">
        <f t="shared" si="15"/>
        <v>41.16906726331981</v>
      </c>
      <c r="L96" s="138">
        <f t="shared" si="16"/>
        <v>25.461561743341402</v>
      </c>
      <c r="M96" s="27">
        <v>520</v>
      </c>
      <c r="N96" s="26">
        <f>'[1]1.RSP Districts '!J96</f>
        <v>682</v>
      </c>
      <c r="O96" s="138">
        <f t="shared" si="17"/>
        <v>31.153846153846153</v>
      </c>
      <c r="P96" s="38" t="s">
        <v>6</v>
      </c>
      <c r="Q96" s="13"/>
    </row>
    <row r="97" spans="1:17" s="7" customFormat="1" x14ac:dyDescent="0.25">
      <c r="A97" s="24">
        <v>21</v>
      </c>
      <c r="B97" s="25" t="s">
        <v>114</v>
      </c>
      <c r="C97" s="26">
        <v>44</v>
      </c>
      <c r="D97" s="26">
        <v>44</v>
      </c>
      <c r="E97" s="26">
        <f>'[4]1.RSP Districts '!E97</f>
        <v>44</v>
      </c>
      <c r="F97" s="138">
        <f t="shared" si="13"/>
        <v>0</v>
      </c>
      <c r="G97" s="138">
        <f t="shared" si="14"/>
        <v>100</v>
      </c>
      <c r="H97" s="26">
        <v>159486</v>
      </c>
      <c r="I97" s="26">
        <v>158881</v>
      </c>
      <c r="J97" s="26">
        <f>'[4]1.RSP Districts '!H97</f>
        <v>158881</v>
      </c>
      <c r="K97" s="138">
        <f t="shared" si="15"/>
        <v>0</v>
      </c>
      <c r="L97" s="138">
        <f t="shared" si="16"/>
        <v>99.620656358551855</v>
      </c>
      <c r="M97" s="26">
        <v>11424</v>
      </c>
      <c r="N97" s="26">
        <f>'[4]1.RSP Districts '!J97</f>
        <v>11424</v>
      </c>
      <c r="O97" s="138">
        <f t="shared" si="17"/>
        <v>0</v>
      </c>
      <c r="P97" s="39" t="s">
        <v>11</v>
      </c>
      <c r="Q97" s="13"/>
    </row>
    <row r="98" spans="1:17" s="7" customFormat="1" ht="14.4" x14ac:dyDescent="0.3">
      <c r="A98" s="24">
        <v>22</v>
      </c>
      <c r="B98" s="25" t="s">
        <v>115</v>
      </c>
      <c r="C98" s="26">
        <v>55</v>
      </c>
      <c r="D98" s="26">
        <v>42</v>
      </c>
      <c r="E98" s="26">
        <f>'[1]1.RSP Districts '!D98</f>
        <v>42</v>
      </c>
      <c r="F98" s="138">
        <f t="shared" si="13"/>
        <v>0</v>
      </c>
      <c r="G98" s="138">
        <f t="shared" si="14"/>
        <v>76.36363636363636</v>
      </c>
      <c r="H98" s="37">
        <v>202554</v>
      </c>
      <c r="I98" s="26">
        <v>26244</v>
      </c>
      <c r="J98" s="26">
        <f>'[1]1.RSP Districts '!H98</f>
        <v>27642</v>
      </c>
      <c r="K98" s="138">
        <f t="shared" si="15"/>
        <v>5.3269318701417463</v>
      </c>
      <c r="L98" s="138">
        <f t="shared" si="16"/>
        <v>13.646731242039159</v>
      </c>
      <c r="M98" s="27">
        <v>1589</v>
      </c>
      <c r="N98" s="26">
        <f>'[1]1.RSP Districts '!J98</f>
        <v>1661</v>
      </c>
      <c r="O98" s="138">
        <f t="shared" si="17"/>
        <v>4.5311516677155446</v>
      </c>
      <c r="P98" s="38" t="s">
        <v>6</v>
      </c>
      <c r="Q98" s="13"/>
    </row>
    <row r="99" spans="1:17" s="7" customFormat="1" x14ac:dyDescent="0.25">
      <c r="A99" s="24">
        <v>23</v>
      </c>
      <c r="B99" s="25" t="s">
        <v>116</v>
      </c>
      <c r="C99" s="26">
        <v>27</v>
      </c>
      <c r="D99" s="26">
        <v>27</v>
      </c>
      <c r="E99" s="26">
        <f>'[4]1.RSP Districts '!E99</f>
        <v>27</v>
      </c>
      <c r="F99" s="138">
        <f t="shared" si="13"/>
        <v>0</v>
      </c>
      <c r="G99" s="138">
        <f t="shared" si="14"/>
        <v>100</v>
      </c>
      <c r="H99" s="26">
        <v>106515</v>
      </c>
      <c r="I99" s="26">
        <v>39951</v>
      </c>
      <c r="J99" s="26">
        <f>'[4]1.RSP Districts '!H99</f>
        <v>40243</v>
      </c>
      <c r="K99" s="138">
        <f t="shared" si="15"/>
        <v>0.73089534679982981</v>
      </c>
      <c r="L99" s="138">
        <f t="shared" si="16"/>
        <v>37.781533117401302</v>
      </c>
      <c r="M99" s="26">
        <v>2511</v>
      </c>
      <c r="N99" s="26">
        <f>'[4]1.RSP Districts '!J99</f>
        <v>2517</v>
      </c>
      <c r="O99" s="138">
        <f t="shared" si="17"/>
        <v>0.23894862604540024</v>
      </c>
      <c r="P99" s="39" t="s">
        <v>11</v>
      </c>
      <c r="Q99" s="13"/>
    </row>
    <row r="100" spans="1:17" s="5" customFormat="1" ht="14.4" thickBot="1" x14ac:dyDescent="0.3">
      <c r="A100" s="29">
        <f>A99-1</f>
        <v>22</v>
      </c>
      <c r="B100" s="30" t="s">
        <v>93</v>
      </c>
      <c r="C100" s="31">
        <f>SUM(C77:C99)</f>
        <v>921</v>
      </c>
      <c r="D100" s="31">
        <f>SUM(D77:D99)</f>
        <v>602</v>
      </c>
      <c r="E100" s="31">
        <f>SUM(E77:E99)</f>
        <v>613</v>
      </c>
      <c r="F100" s="145">
        <f t="shared" si="13"/>
        <v>1.8272425249169437</v>
      </c>
      <c r="G100" s="145">
        <f t="shared" si="14"/>
        <v>66.558089033659058</v>
      </c>
      <c r="H100" s="31">
        <f t="shared" ref="H100" si="18">SUM(H77:H99)</f>
        <v>2816903.1255411254</v>
      </c>
      <c r="I100" s="31">
        <f>SUM(I77:I99)</f>
        <v>857034</v>
      </c>
      <c r="J100" s="31">
        <f>SUM(J77:J99)</f>
        <v>909046</v>
      </c>
      <c r="K100" s="145">
        <f t="shared" si="15"/>
        <v>6.068837409017612</v>
      </c>
      <c r="L100" s="145">
        <f t="shared" si="16"/>
        <v>32.271113328591049</v>
      </c>
      <c r="M100" s="31">
        <f>SUM(M77:M99)</f>
        <v>51823</v>
      </c>
      <c r="N100" s="31">
        <f>SUM(N77:N99)</f>
        <v>56658</v>
      </c>
      <c r="O100" s="145">
        <f t="shared" si="17"/>
        <v>9.3298342434826225</v>
      </c>
      <c r="P100" s="32"/>
      <c r="Q100" s="13"/>
    </row>
    <row r="101" spans="1:17" ht="5.25" customHeight="1" thickBot="1" x14ac:dyDescent="0.35">
      <c r="A101" s="42"/>
      <c r="B101" s="43"/>
      <c r="C101" s="34"/>
      <c r="D101" s="33"/>
      <c r="E101" s="33"/>
      <c r="F101" s="139"/>
      <c r="G101" s="139"/>
      <c r="H101" s="34"/>
      <c r="I101" s="33"/>
      <c r="J101" s="34"/>
      <c r="K101" s="34"/>
      <c r="L101" s="34"/>
      <c r="M101" s="34"/>
      <c r="N101" s="34"/>
      <c r="O101" s="34"/>
      <c r="P101" s="16"/>
      <c r="Q101" s="13"/>
    </row>
    <row r="102" spans="1:17" s="6" customFormat="1" x14ac:dyDescent="0.25">
      <c r="A102" s="19" t="s">
        <v>117</v>
      </c>
      <c r="B102" s="20"/>
      <c r="C102" s="21"/>
      <c r="D102" s="35"/>
      <c r="E102" s="35"/>
      <c r="F102" s="140"/>
      <c r="G102" s="140"/>
      <c r="H102" s="21"/>
      <c r="I102" s="35"/>
      <c r="J102" s="36"/>
      <c r="K102" s="36"/>
      <c r="L102" s="36"/>
      <c r="M102" s="36"/>
      <c r="N102" s="36"/>
      <c r="O102" s="36"/>
      <c r="P102" s="23"/>
      <c r="Q102" s="13"/>
    </row>
    <row r="103" spans="1:17" s="7" customFormat="1" x14ac:dyDescent="0.25">
      <c r="A103" s="24">
        <v>1</v>
      </c>
      <c r="B103" s="25" t="s">
        <v>118</v>
      </c>
      <c r="C103" s="37">
        <v>65</v>
      </c>
      <c r="D103" s="37">
        <v>12</v>
      </c>
      <c r="E103" s="26">
        <v>12</v>
      </c>
      <c r="F103" s="138">
        <f t="shared" ref="F103:F149" si="19">(E103-D103)/D103%</f>
        <v>0</v>
      </c>
      <c r="G103" s="138">
        <f t="shared" ref="G103:G149" si="20">E103/C103%</f>
        <v>18.46153846153846</v>
      </c>
      <c r="H103" s="26">
        <v>164849</v>
      </c>
      <c r="I103" s="37">
        <v>16996</v>
      </c>
      <c r="J103" s="26">
        <v>17047</v>
      </c>
      <c r="K103" s="138">
        <f t="shared" ref="K103:K149" si="21">(J103-I103)/I103%</f>
        <v>0.30007060484819958</v>
      </c>
      <c r="L103" s="138">
        <f t="shared" ref="L103:L149" si="22">J103/H103%</f>
        <v>10.340978713853284</v>
      </c>
      <c r="M103" s="37">
        <v>1359</v>
      </c>
      <c r="N103" s="26">
        <v>1371</v>
      </c>
      <c r="O103" s="138">
        <f t="shared" ref="O103:O148" si="23">(N103-M103)/M103%</f>
        <v>0.88300220750551872</v>
      </c>
      <c r="P103" s="39" t="s">
        <v>5</v>
      </c>
      <c r="Q103" s="13"/>
    </row>
    <row r="104" spans="1:17" x14ac:dyDescent="0.25">
      <c r="A104" s="24">
        <v>1</v>
      </c>
      <c r="B104" s="25" t="s">
        <v>119</v>
      </c>
      <c r="C104" s="26">
        <v>65</v>
      </c>
      <c r="D104" s="26">
        <v>64</v>
      </c>
      <c r="E104" s="26">
        <f>'[1]1.RSP Districts '!D104</f>
        <v>64</v>
      </c>
      <c r="F104" s="138">
        <f t="shared" si="19"/>
        <v>0</v>
      </c>
      <c r="G104" s="138">
        <f t="shared" si="20"/>
        <v>98.461538461538453</v>
      </c>
      <c r="H104" s="26">
        <v>164849</v>
      </c>
      <c r="I104" s="26">
        <v>52538</v>
      </c>
      <c r="J104" s="26">
        <f>'[1]1.RSP Districts '!H104</f>
        <v>52764</v>
      </c>
      <c r="K104" s="138">
        <f t="shared" si="21"/>
        <v>0.43016483307320413</v>
      </c>
      <c r="L104" s="138">
        <f t="shared" si="22"/>
        <v>32.00747350605706</v>
      </c>
      <c r="M104" s="27">
        <v>3107</v>
      </c>
      <c r="N104" s="26">
        <f>'[1]1.RSP Districts '!J104</f>
        <v>3122</v>
      </c>
      <c r="O104" s="138">
        <f t="shared" si="23"/>
        <v>0.48278081750885099</v>
      </c>
      <c r="P104" s="28" t="s">
        <v>6</v>
      </c>
      <c r="Q104" s="13"/>
    </row>
    <row r="105" spans="1:17" s="7" customFormat="1" x14ac:dyDescent="0.25">
      <c r="A105" s="24">
        <v>2</v>
      </c>
      <c r="B105" s="25" t="s">
        <v>120</v>
      </c>
      <c r="C105" s="26">
        <v>101</v>
      </c>
      <c r="D105" s="26">
        <v>101</v>
      </c>
      <c r="E105" s="26">
        <f>'[1]1.RSP Districts '!D105</f>
        <v>101</v>
      </c>
      <c r="F105" s="138">
        <f t="shared" si="19"/>
        <v>0</v>
      </c>
      <c r="G105" s="138">
        <f t="shared" si="20"/>
        <v>100</v>
      </c>
      <c r="H105" s="37">
        <v>158489</v>
      </c>
      <c r="I105" s="26">
        <v>192909</v>
      </c>
      <c r="J105" s="26">
        <f>'[1]1.RSP Districts '!H105</f>
        <v>195371</v>
      </c>
      <c r="K105" s="138">
        <f t="shared" si="21"/>
        <v>1.2762494233032156</v>
      </c>
      <c r="L105" s="138">
        <f t="shared" si="22"/>
        <v>123.27101565408324</v>
      </c>
      <c r="M105" s="27">
        <v>14281</v>
      </c>
      <c r="N105" s="26">
        <f>'[1]1.RSP Districts '!J105</f>
        <v>14458</v>
      </c>
      <c r="O105" s="138">
        <f t="shared" si="23"/>
        <v>1.2394090049716406</v>
      </c>
      <c r="P105" s="39" t="s">
        <v>6</v>
      </c>
      <c r="Q105" s="13"/>
    </row>
    <row r="106" spans="1:17" s="7" customFormat="1" x14ac:dyDescent="0.25">
      <c r="A106" s="24">
        <v>3</v>
      </c>
      <c r="B106" s="25" t="s">
        <v>121</v>
      </c>
      <c r="C106" s="26">
        <v>97</v>
      </c>
      <c r="D106" s="26">
        <v>97</v>
      </c>
      <c r="E106" s="26">
        <f>'[1]1.RSP Districts '!D106</f>
        <v>97</v>
      </c>
      <c r="F106" s="138">
        <f t="shared" si="19"/>
        <v>0</v>
      </c>
      <c r="G106" s="138">
        <f t="shared" si="20"/>
        <v>100</v>
      </c>
      <c r="H106" s="37">
        <v>128856</v>
      </c>
      <c r="I106" s="26">
        <v>226415</v>
      </c>
      <c r="J106" s="26">
        <f>'[1]1.RSP Districts '!H106</f>
        <v>226415</v>
      </c>
      <c r="K106" s="138">
        <f t="shared" si="21"/>
        <v>0</v>
      </c>
      <c r="L106" s="138">
        <f t="shared" si="22"/>
        <v>175.7116471099522</v>
      </c>
      <c r="M106" s="27">
        <v>15755</v>
      </c>
      <c r="N106" s="26">
        <f>'[1]1.RSP Districts '!J106</f>
        <v>15755</v>
      </c>
      <c r="O106" s="138">
        <f t="shared" si="23"/>
        <v>0</v>
      </c>
      <c r="P106" s="39" t="s">
        <v>6</v>
      </c>
      <c r="Q106" s="13"/>
    </row>
    <row r="107" spans="1:17" s="7" customFormat="1" x14ac:dyDescent="0.25">
      <c r="A107" s="24">
        <v>4</v>
      </c>
      <c r="B107" s="25" t="s">
        <v>122</v>
      </c>
      <c r="C107" s="26">
        <v>42</v>
      </c>
      <c r="D107" s="26">
        <v>40</v>
      </c>
      <c r="E107" s="26">
        <f>'[1]1.RSP Districts '!D107</f>
        <v>40</v>
      </c>
      <c r="F107" s="138">
        <f t="shared" si="19"/>
        <v>0</v>
      </c>
      <c r="G107" s="138">
        <f t="shared" si="20"/>
        <v>95.238095238095241</v>
      </c>
      <c r="H107" s="37">
        <v>90682.077922077922</v>
      </c>
      <c r="I107" s="26">
        <v>117493</v>
      </c>
      <c r="J107" s="26">
        <f>'[1]1.RSP Districts '!H107</f>
        <v>117968</v>
      </c>
      <c r="K107" s="138">
        <f t="shared" si="21"/>
        <v>0.40427940387938005</v>
      </c>
      <c r="L107" s="138">
        <f t="shared" si="22"/>
        <v>130.08965244639472</v>
      </c>
      <c r="M107" s="27">
        <v>7737</v>
      </c>
      <c r="N107" s="26">
        <f>'[1]1.RSP Districts '!J107</f>
        <v>7772</v>
      </c>
      <c r="O107" s="138">
        <f t="shared" si="23"/>
        <v>0.45237172030502776</v>
      </c>
      <c r="P107" s="39" t="s">
        <v>6</v>
      </c>
      <c r="Q107" s="13"/>
    </row>
    <row r="108" spans="1:17" s="7" customFormat="1" x14ac:dyDescent="0.25">
      <c r="A108" s="24">
        <v>5</v>
      </c>
      <c r="B108" s="25" t="s">
        <v>123</v>
      </c>
      <c r="C108" s="26">
        <v>65</v>
      </c>
      <c r="D108" s="26">
        <v>60</v>
      </c>
      <c r="E108" s="26">
        <f>'[1]1.RSP Districts '!D108</f>
        <v>60</v>
      </c>
      <c r="F108" s="138">
        <f t="shared" si="19"/>
        <v>0</v>
      </c>
      <c r="G108" s="138">
        <f t="shared" si="20"/>
        <v>92.307692307692307</v>
      </c>
      <c r="H108" s="37">
        <v>88816</v>
      </c>
      <c r="I108" s="26">
        <v>47770</v>
      </c>
      <c r="J108" s="26">
        <f>'[1]1.RSP Districts '!H108</f>
        <v>48467</v>
      </c>
      <c r="K108" s="138">
        <f t="shared" si="21"/>
        <v>1.4590747330960854</v>
      </c>
      <c r="L108" s="138">
        <f t="shared" si="22"/>
        <v>54.570122500450374</v>
      </c>
      <c r="M108" s="27">
        <v>2658</v>
      </c>
      <c r="N108" s="26">
        <f>'[1]1.RSP Districts '!J108</f>
        <v>2700</v>
      </c>
      <c r="O108" s="138">
        <f t="shared" si="23"/>
        <v>1.5801354401805869</v>
      </c>
      <c r="P108" s="39" t="s">
        <v>6</v>
      </c>
      <c r="Q108" s="13"/>
    </row>
    <row r="109" spans="1:17" s="7" customFormat="1" x14ac:dyDescent="0.25">
      <c r="A109" s="24">
        <v>6</v>
      </c>
      <c r="B109" s="25" t="s">
        <v>224</v>
      </c>
      <c r="C109" s="26">
        <v>42</v>
      </c>
      <c r="D109" s="26">
        <v>0</v>
      </c>
      <c r="E109" s="132">
        <f>'[7]1.RSP Districts '!E109</f>
        <v>4</v>
      </c>
      <c r="F109" s="138">
        <v>0</v>
      </c>
      <c r="G109" s="138">
        <f t="shared" si="20"/>
        <v>9.5238095238095237</v>
      </c>
      <c r="H109" s="37">
        <v>0</v>
      </c>
      <c r="I109" s="26">
        <v>0</v>
      </c>
      <c r="J109" s="26">
        <f>'[7]1.RSP Districts '!H109</f>
        <v>1069</v>
      </c>
      <c r="K109" s="138">
        <v>0</v>
      </c>
      <c r="L109" s="138">
        <v>0</v>
      </c>
      <c r="M109" s="27">
        <v>0</v>
      </c>
      <c r="N109" s="26">
        <f>'[7]1.RSP Districts '!J109</f>
        <v>60</v>
      </c>
      <c r="O109" s="138">
        <v>0</v>
      </c>
      <c r="P109" s="107" t="s">
        <v>7</v>
      </c>
      <c r="Q109" s="13"/>
    </row>
    <row r="110" spans="1:17" s="7" customFormat="1" x14ac:dyDescent="0.25">
      <c r="A110" s="24">
        <v>7</v>
      </c>
      <c r="B110" s="25" t="s">
        <v>124</v>
      </c>
      <c r="C110" s="26">
        <v>55</v>
      </c>
      <c r="D110" s="26">
        <v>50</v>
      </c>
      <c r="E110" s="26">
        <f>'[1]1.RSP Districts '!D110</f>
        <v>50</v>
      </c>
      <c r="F110" s="138">
        <f t="shared" si="19"/>
        <v>0</v>
      </c>
      <c r="G110" s="138">
        <f t="shared" si="20"/>
        <v>90.909090909090907</v>
      </c>
      <c r="H110" s="26">
        <v>208270</v>
      </c>
      <c r="I110" s="26">
        <v>114483</v>
      </c>
      <c r="J110" s="26">
        <f>'[1]1.RSP Districts '!H110</f>
        <v>114904</v>
      </c>
      <c r="K110" s="138">
        <f t="shared" si="21"/>
        <v>0.3677401884996026</v>
      </c>
      <c r="L110" s="138">
        <f t="shared" si="22"/>
        <v>55.170691890334666</v>
      </c>
      <c r="M110" s="27">
        <v>8503</v>
      </c>
      <c r="N110" s="26">
        <f>'[1]1.RSP Districts '!J110</f>
        <v>8565</v>
      </c>
      <c r="O110" s="138">
        <f t="shared" si="23"/>
        <v>0.72915441608843934</v>
      </c>
      <c r="P110" s="39" t="s">
        <v>6</v>
      </c>
      <c r="Q110" s="13"/>
    </row>
    <row r="111" spans="1:17" s="7" customFormat="1" x14ac:dyDescent="0.25">
      <c r="A111" s="24">
        <v>7</v>
      </c>
      <c r="B111" s="25" t="s">
        <v>125</v>
      </c>
      <c r="C111" s="26">
        <v>55</v>
      </c>
      <c r="D111" s="26">
        <v>35</v>
      </c>
      <c r="E111" s="132">
        <f>'[7]1.RSP Districts '!E111</f>
        <v>35</v>
      </c>
      <c r="F111" s="138">
        <f t="shared" si="19"/>
        <v>0</v>
      </c>
      <c r="G111" s="138">
        <f t="shared" si="20"/>
        <v>63.636363636363633</v>
      </c>
      <c r="H111" s="26">
        <v>208270</v>
      </c>
      <c r="I111" s="26">
        <v>19909</v>
      </c>
      <c r="J111" s="26">
        <f>'[7]1.RSP Districts '!H111</f>
        <v>20260</v>
      </c>
      <c r="K111" s="138">
        <f t="shared" si="21"/>
        <v>1.7630217489577578</v>
      </c>
      <c r="L111" s="138">
        <f t="shared" si="22"/>
        <v>9.7277572382004145</v>
      </c>
      <c r="M111" s="26">
        <v>1266</v>
      </c>
      <c r="N111" s="26">
        <f>'[7]1.RSP Districts '!J111</f>
        <v>1302</v>
      </c>
      <c r="O111" s="138">
        <f t="shared" si="23"/>
        <v>2.8436018957345972</v>
      </c>
      <c r="P111" s="39" t="s">
        <v>7</v>
      </c>
      <c r="Q111" s="13"/>
    </row>
    <row r="112" spans="1:17" s="7" customFormat="1" x14ac:dyDescent="0.25">
      <c r="A112" s="24">
        <v>8</v>
      </c>
      <c r="B112" s="25" t="s">
        <v>126</v>
      </c>
      <c r="C112" s="26">
        <v>71</v>
      </c>
      <c r="D112" s="26">
        <v>71</v>
      </c>
      <c r="E112" s="132">
        <f>'[7]1.RSP Districts '!E112</f>
        <v>71</v>
      </c>
      <c r="F112" s="138">
        <f t="shared" si="19"/>
        <v>0</v>
      </c>
      <c r="G112" s="138">
        <f t="shared" si="20"/>
        <v>100</v>
      </c>
      <c r="H112" s="26">
        <v>121639.04761904762</v>
      </c>
      <c r="I112" s="26">
        <v>46013</v>
      </c>
      <c r="J112" s="26">
        <f>'[7]1.RSP Districts '!H112</f>
        <v>47399</v>
      </c>
      <c r="K112" s="138">
        <f t="shared" si="21"/>
        <v>3.0121922065503228</v>
      </c>
      <c r="L112" s="138">
        <f t="shared" si="22"/>
        <v>38.966927913185771</v>
      </c>
      <c r="M112" s="26">
        <v>3057</v>
      </c>
      <c r="N112" s="26">
        <f>'[7]1.RSP Districts '!J112</f>
        <v>3145</v>
      </c>
      <c r="O112" s="138">
        <f t="shared" si="23"/>
        <v>2.8786391887471376</v>
      </c>
      <c r="P112" s="39" t="s">
        <v>7</v>
      </c>
      <c r="Q112" s="13"/>
    </row>
    <row r="113" spans="1:17" s="7" customFormat="1" x14ac:dyDescent="0.25">
      <c r="A113" s="24">
        <v>9</v>
      </c>
      <c r="B113" s="25" t="s">
        <v>127</v>
      </c>
      <c r="C113" s="26">
        <v>97</v>
      </c>
      <c r="D113" s="26">
        <v>68</v>
      </c>
      <c r="E113" s="132">
        <f>'[7]1.RSP Districts '!E113</f>
        <v>68</v>
      </c>
      <c r="F113" s="138">
        <f t="shared" si="19"/>
        <v>0</v>
      </c>
      <c r="G113" s="138">
        <f t="shared" si="20"/>
        <v>70.103092783505161</v>
      </c>
      <c r="H113" s="26">
        <v>47026</v>
      </c>
      <c r="I113" s="26">
        <v>39007</v>
      </c>
      <c r="J113" s="26">
        <f>'[7]1.RSP Districts '!H113</f>
        <v>43391</v>
      </c>
      <c r="K113" s="138">
        <f t="shared" si="21"/>
        <v>11.239008383110724</v>
      </c>
      <c r="L113" s="138">
        <f t="shared" si="22"/>
        <v>92.27023348785778</v>
      </c>
      <c r="M113" s="26">
        <v>2356</v>
      </c>
      <c r="N113" s="26">
        <f>'[7]1.RSP Districts '!J113</f>
        <v>2525</v>
      </c>
      <c r="O113" s="138">
        <f t="shared" si="23"/>
        <v>7.1731748726655349</v>
      </c>
      <c r="P113" s="39" t="s">
        <v>7</v>
      </c>
      <c r="Q113" s="13"/>
    </row>
    <row r="114" spans="1:17" s="7" customFormat="1" x14ac:dyDescent="0.25">
      <c r="A114" s="24">
        <v>10</v>
      </c>
      <c r="B114" s="25" t="s">
        <v>128</v>
      </c>
      <c r="C114" s="26">
        <v>87</v>
      </c>
      <c r="D114" s="26">
        <v>37</v>
      </c>
      <c r="E114" s="132">
        <f>'[7]1.RSP Districts '!E114</f>
        <v>37</v>
      </c>
      <c r="F114" s="138">
        <f t="shared" si="19"/>
        <v>0</v>
      </c>
      <c r="G114" s="138">
        <f t="shared" si="20"/>
        <v>42.52873563218391</v>
      </c>
      <c r="H114" s="26">
        <v>111973</v>
      </c>
      <c r="I114" s="26">
        <v>21609</v>
      </c>
      <c r="J114" s="26">
        <f>'[7]1.RSP Districts '!H114</f>
        <v>40152</v>
      </c>
      <c r="K114" s="138">
        <f t="shared" si="21"/>
        <v>85.81146744412051</v>
      </c>
      <c r="L114" s="138">
        <f t="shared" si="22"/>
        <v>35.858644494654961</v>
      </c>
      <c r="M114" s="26">
        <v>1552</v>
      </c>
      <c r="N114" s="26">
        <f>'[7]1.RSP Districts '!J114</f>
        <v>2621</v>
      </c>
      <c r="O114" s="138">
        <f t="shared" si="23"/>
        <v>68.878865979381445</v>
      </c>
      <c r="P114" s="39" t="s">
        <v>7</v>
      </c>
      <c r="Q114" s="13"/>
    </row>
    <row r="115" spans="1:17" s="7" customFormat="1" x14ac:dyDescent="0.25">
      <c r="A115" s="24">
        <v>11</v>
      </c>
      <c r="B115" s="25" t="s">
        <v>129</v>
      </c>
      <c r="C115" s="26">
        <v>40</v>
      </c>
      <c r="D115" s="26">
        <v>15</v>
      </c>
      <c r="E115" s="132">
        <f>'[7]1.RSP Districts '!E115</f>
        <v>15</v>
      </c>
      <c r="F115" s="138">
        <f t="shared" si="19"/>
        <v>0</v>
      </c>
      <c r="G115" s="138">
        <f t="shared" si="20"/>
        <v>37.5</v>
      </c>
      <c r="H115" s="26">
        <v>164715</v>
      </c>
      <c r="I115" s="26">
        <v>16077</v>
      </c>
      <c r="J115" s="26">
        <f>'[7]1.RSP Districts '!H115</f>
        <v>19628</v>
      </c>
      <c r="K115" s="138">
        <f t="shared" si="21"/>
        <v>22.087454127013746</v>
      </c>
      <c r="L115" s="138">
        <f t="shared" si="22"/>
        <v>11.916340345445162</v>
      </c>
      <c r="M115" s="26">
        <v>1111</v>
      </c>
      <c r="N115" s="26">
        <f>'[7]1.RSP Districts '!J115</f>
        <v>1252</v>
      </c>
      <c r="O115" s="138">
        <f t="shared" si="23"/>
        <v>12.691269126912692</v>
      </c>
      <c r="P115" s="39" t="s">
        <v>7</v>
      </c>
      <c r="Q115" s="13"/>
    </row>
    <row r="116" spans="1:17" s="7" customFormat="1" x14ac:dyDescent="0.25">
      <c r="A116" s="24">
        <v>12</v>
      </c>
      <c r="B116" s="25" t="s">
        <v>130</v>
      </c>
      <c r="C116" s="26">
        <v>79</v>
      </c>
      <c r="D116" s="26">
        <v>21</v>
      </c>
      <c r="E116" s="132">
        <f>'[7]1.RSP Districts '!E116</f>
        <v>21</v>
      </c>
      <c r="F116" s="138">
        <f t="shared" si="19"/>
        <v>0</v>
      </c>
      <c r="G116" s="138">
        <f t="shared" si="20"/>
        <v>26.582278481012658</v>
      </c>
      <c r="H116" s="26">
        <v>141671</v>
      </c>
      <c r="I116" s="26">
        <v>21292</v>
      </c>
      <c r="J116" s="26">
        <f>'[7]1.RSP Districts '!H116</f>
        <v>21962</v>
      </c>
      <c r="K116" s="138">
        <f t="shared" si="21"/>
        <v>3.1467217734360324</v>
      </c>
      <c r="L116" s="138">
        <f t="shared" si="22"/>
        <v>15.502114052981909</v>
      </c>
      <c r="M116" s="26">
        <v>1491</v>
      </c>
      <c r="N116" s="26">
        <f>'[7]1.RSP Districts '!J116</f>
        <v>1534</v>
      </c>
      <c r="O116" s="138">
        <f t="shared" si="23"/>
        <v>2.8839704896042924</v>
      </c>
      <c r="P116" s="39" t="s">
        <v>7</v>
      </c>
      <c r="Q116" s="13"/>
    </row>
    <row r="117" spans="1:17" s="7" customFormat="1" x14ac:dyDescent="0.25">
      <c r="A117" s="24">
        <v>13</v>
      </c>
      <c r="B117" s="25" t="s">
        <v>131</v>
      </c>
      <c r="C117" s="26">
        <v>50</v>
      </c>
      <c r="D117" s="26">
        <v>35</v>
      </c>
      <c r="E117" s="26">
        <f>'[1]1.RSP Districts '!D117</f>
        <v>35</v>
      </c>
      <c r="F117" s="138">
        <f t="shared" si="19"/>
        <v>0</v>
      </c>
      <c r="G117" s="138">
        <f t="shared" si="20"/>
        <v>70</v>
      </c>
      <c r="H117" s="37">
        <v>128408</v>
      </c>
      <c r="I117" s="26">
        <v>21894</v>
      </c>
      <c r="J117" s="26">
        <f>'[1]1.RSP Districts '!H117</f>
        <v>22226</v>
      </c>
      <c r="K117" s="138">
        <f t="shared" si="21"/>
        <v>1.5163971864437746</v>
      </c>
      <c r="L117" s="138">
        <f t="shared" si="22"/>
        <v>17.308890411812349</v>
      </c>
      <c r="M117" s="27">
        <v>1235</v>
      </c>
      <c r="N117" s="26">
        <f>'[1]1.RSP Districts '!J117</f>
        <v>1257</v>
      </c>
      <c r="O117" s="138">
        <f t="shared" si="23"/>
        <v>1.7813765182186236</v>
      </c>
      <c r="P117" s="39" t="s">
        <v>6</v>
      </c>
      <c r="Q117" s="13"/>
    </row>
    <row r="118" spans="1:17" s="7" customFormat="1" x14ac:dyDescent="0.25">
      <c r="A118" s="24">
        <v>14</v>
      </c>
      <c r="B118" s="25" t="s">
        <v>132</v>
      </c>
      <c r="C118" s="26">
        <v>89</v>
      </c>
      <c r="D118" s="26">
        <v>7</v>
      </c>
      <c r="E118" s="132">
        <f>'[7]1.RSP Districts '!E118</f>
        <v>7</v>
      </c>
      <c r="F118" s="138">
        <f t="shared" si="19"/>
        <v>0</v>
      </c>
      <c r="G118" s="138">
        <f t="shared" si="20"/>
        <v>7.8651685393258424</v>
      </c>
      <c r="H118" s="26">
        <v>122340</v>
      </c>
      <c r="I118" s="26">
        <v>8768</v>
      </c>
      <c r="J118" s="26">
        <f>'[7]1.RSP Districts '!H118</f>
        <v>9259</v>
      </c>
      <c r="K118" s="138">
        <f t="shared" si="21"/>
        <v>5.5999087591240873</v>
      </c>
      <c r="L118" s="138">
        <f t="shared" si="22"/>
        <v>7.5682524113127343</v>
      </c>
      <c r="M118" s="26">
        <v>691</v>
      </c>
      <c r="N118" s="26">
        <f>'[7]1.RSP Districts '!J118</f>
        <v>736</v>
      </c>
      <c r="O118" s="138">
        <f t="shared" si="23"/>
        <v>6.5123010130246017</v>
      </c>
      <c r="P118" s="39" t="s">
        <v>7</v>
      </c>
      <c r="Q118" s="13"/>
    </row>
    <row r="119" spans="1:17" s="7" customFormat="1" x14ac:dyDescent="0.25">
      <c r="A119" s="24">
        <v>15</v>
      </c>
      <c r="B119" s="25" t="s">
        <v>133</v>
      </c>
      <c r="C119" s="26">
        <v>98</v>
      </c>
      <c r="D119" s="26">
        <v>11</v>
      </c>
      <c r="E119" s="132">
        <f>'[7]1.RSP Districts '!E119</f>
        <v>11</v>
      </c>
      <c r="F119" s="138">
        <f t="shared" si="19"/>
        <v>0</v>
      </c>
      <c r="G119" s="138">
        <f t="shared" si="20"/>
        <v>11.224489795918368</v>
      </c>
      <c r="H119" s="26">
        <v>122340</v>
      </c>
      <c r="I119" s="26">
        <v>20487</v>
      </c>
      <c r="J119" s="26">
        <f>'[7]1.RSP Districts '!H119</f>
        <v>21131</v>
      </c>
      <c r="K119" s="138">
        <f t="shared" si="21"/>
        <v>3.1434568262800799</v>
      </c>
      <c r="L119" s="138">
        <f t="shared" si="22"/>
        <v>17.272355729932972</v>
      </c>
      <c r="M119" s="26">
        <v>1240</v>
      </c>
      <c r="N119" s="26">
        <f>'[7]1.RSP Districts '!J119</f>
        <v>1280</v>
      </c>
      <c r="O119" s="138">
        <f t="shared" si="23"/>
        <v>3.225806451612903</v>
      </c>
      <c r="P119" s="39" t="s">
        <v>7</v>
      </c>
      <c r="Q119" s="13"/>
    </row>
    <row r="120" spans="1:17" x14ac:dyDescent="0.25">
      <c r="A120" s="24">
        <v>15</v>
      </c>
      <c r="B120" s="25" t="s">
        <v>134</v>
      </c>
      <c r="C120" s="26">
        <v>98</v>
      </c>
      <c r="D120" s="26">
        <v>70</v>
      </c>
      <c r="E120" s="26">
        <f>'[1]1.RSP Districts '!D120</f>
        <v>70</v>
      </c>
      <c r="F120" s="138">
        <f t="shared" si="19"/>
        <v>0</v>
      </c>
      <c r="G120" s="138">
        <f t="shared" si="20"/>
        <v>71.428571428571431</v>
      </c>
      <c r="H120" s="26">
        <v>78458</v>
      </c>
      <c r="I120" s="26">
        <v>17775</v>
      </c>
      <c r="J120" s="26">
        <f>'[1]1.RSP Districts '!H120</f>
        <v>17775</v>
      </c>
      <c r="K120" s="138">
        <f t="shared" si="21"/>
        <v>0</v>
      </c>
      <c r="L120" s="138">
        <f t="shared" si="22"/>
        <v>22.655433480333425</v>
      </c>
      <c r="M120" s="27">
        <v>1662</v>
      </c>
      <c r="N120" s="26">
        <f>'[1]1.RSP Districts '!J120</f>
        <v>1662</v>
      </c>
      <c r="O120" s="138">
        <f t="shared" si="23"/>
        <v>0</v>
      </c>
      <c r="P120" s="28" t="s">
        <v>6</v>
      </c>
      <c r="Q120" s="13"/>
    </row>
    <row r="121" spans="1:17" s="7" customFormat="1" x14ac:dyDescent="0.25">
      <c r="A121" s="24">
        <v>16</v>
      </c>
      <c r="B121" s="25" t="s">
        <v>135</v>
      </c>
      <c r="C121" s="26">
        <v>49</v>
      </c>
      <c r="D121" s="26">
        <v>45</v>
      </c>
      <c r="E121" s="26">
        <f>'[1]1.RSP Districts '!D121</f>
        <v>45</v>
      </c>
      <c r="F121" s="138">
        <f t="shared" si="19"/>
        <v>0</v>
      </c>
      <c r="G121" s="138">
        <f t="shared" si="20"/>
        <v>91.83673469387756</v>
      </c>
      <c r="H121" s="37">
        <v>47082</v>
      </c>
      <c r="I121" s="26">
        <v>106791</v>
      </c>
      <c r="J121" s="26">
        <f>'[1]1.RSP Districts '!H121</f>
        <v>107858</v>
      </c>
      <c r="K121" s="138">
        <f t="shared" si="21"/>
        <v>0.99914786826605229</v>
      </c>
      <c r="L121" s="138">
        <f t="shared" si="22"/>
        <v>229.08542542797673</v>
      </c>
      <c r="M121" s="27">
        <v>6262</v>
      </c>
      <c r="N121" s="26">
        <f>'[1]1.RSP Districts '!J121</f>
        <v>6325</v>
      </c>
      <c r="O121" s="138">
        <f t="shared" si="23"/>
        <v>1.006068348770361</v>
      </c>
      <c r="P121" s="39" t="s">
        <v>6</v>
      </c>
      <c r="Q121" s="13"/>
    </row>
    <row r="122" spans="1:17" s="7" customFormat="1" x14ac:dyDescent="0.25">
      <c r="A122" s="24">
        <v>17</v>
      </c>
      <c r="B122" s="25" t="s">
        <v>136</v>
      </c>
      <c r="C122" s="26">
        <v>30</v>
      </c>
      <c r="D122" s="26">
        <v>27</v>
      </c>
      <c r="E122" s="132">
        <f>'[7]1.RSP Districts '!E122</f>
        <v>27</v>
      </c>
      <c r="F122" s="138">
        <f t="shared" si="19"/>
        <v>0</v>
      </c>
      <c r="G122" s="138">
        <f t="shared" si="20"/>
        <v>90</v>
      </c>
      <c r="H122" s="26">
        <v>39648</v>
      </c>
      <c r="I122" s="26">
        <v>33814</v>
      </c>
      <c r="J122" s="26">
        <f>'[7]1.RSP Districts '!H122</f>
        <v>34458</v>
      </c>
      <c r="K122" s="138">
        <f t="shared" si="21"/>
        <v>1.9045365824806293</v>
      </c>
      <c r="L122" s="138">
        <f t="shared" si="22"/>
        <v>86.909806295399505</v>
      </c>
      <c r="M122" s="26">
        <v>2130</v>
      </c>
      <c r="N122" s="26">
        <f>'[7]1.RSP Districts '!J122</f>
        <v>2188</v>
      </c>
      <c r="O122" s="138">
        <f t="shared" si="23"/>
        <v>2.7230046948356805</v>
      </c>
      <c r="P122" s="39" t="s">
        <v>7</v>
      </c>
      <c r="Q122" s="13"/>
    </row>
    <row r="123" spans="1:17" s="7" customFormat="1" x14ac:dyDescent="0.25">
      <c r="A123" s="24">
        <v>18</v>
      </c>
      <c r="B123" s="25" t="s">
        <v>137</v>
      </c>
      <c r="C123" s="26">
        <v>44</v>
      </c>
      <c r="D123" s="26">
        <v>31</v>
      </c>
      <c r="E123" s="132">
        <f>'[7]1.RSP Districts '!E123</f>
        <v>31</v>
      </c>
      <c r="F123" s="138">
        <f t="shared" si="19"/>
        <v>0</v>
      </c>
      <c r="G123" s="138">
        <f t="shared" si="20"/>
        <v>70.454545454545453</v>
      </c>
      <c r="H123" s="26">
        <v>159486</v>
      </c>
      <c r="I123" s="26">
        <v>71050</v>
      </c>
      <c r="J123" s="26">
        <f>'[7]1.RSP Districts '!H123</f>
        <v>84776</v>
      </c>
      <c r="K123" s="138">
        <f t="shared" si="21"/>
        <v>19.318789584799436</v>
      </c>
      <c r="L123" s="138">
        <f t="shared" si="22"/>
        <v>53.155762888278595</v>
      </c>
      <c r="M123" s="26">
        <v>4893</v>
      </c>
      <c r="N123" s="26">
        <f>'[7]1.RSP Districts '!J123</f>
        <v>5764</v>
      </c>
      <c r="O123" s="138">
        <f t="shared" si="23"/>
        <v>17.800940118536687</v>
      </c>
      <c r="P123" s="39" t="s">
        <v>7</v>
      </c>
      <c r="Q123" s="13"/>
    </row>
    <row r="124" spans="1:17" s="7" customFormat="1" x14ac:dyDescent="0.25">
      <c r="A124" s="24">
        <v>19</v>
      </c>
      <c r="B124" s="25" t="s">
        <v>138</v>
      </c>
      <c r="C124" s="26">
        <v>70</v>
      </c>
      <c r="D124" s="26">
        <v>70</v>
      </c>
      <c r="E124" s="26">
        <f>'[1]1.RSP Districts '!D124</f>
        <v>70</v>
      </c>
      <c r="F124" s="138">
        <f t="shared" si="19"/>
        <v>0</v>
      </c>
      <c r="G124" s="138">
        <f t="shared" si="20"/>
        <v>100</v>
      </c>
      <c r="H124" s="37">
        <v>202554</v>
      </c>
      <c r="I124" s="26">
        <v>46705</v>
      </c>
      <c r="J124" s="26">
        <f>'[1]1.RSP Districts '!H124</f>
        <v>46705</v>
      </c>
      <c r="K124" s="138">
        <f t="shared" si="21"/>
        <v>0</v>
      </c>
      <c r="L124" s="138">
        <f t="shared" si="22"/>
        <v>23.058048717872765</v>
      </c>
      <c r="M124" s="27">
        <v>3886</v>
      </c>
      <c r="N124" s="26">
        <f>'[1]1.RSP Districts '!J124</f>
        <v>3886</v>
      </c>
      <c r="O124" s="138">
        <f t="shared" si="23"/>
        <v>0</v>
      </c>
      <c r="P124" s="39" t="s">
        <v>6</v>
      </c>
      <c r="Q124" s="13"/>
    </row>
    <row r="125" spans="1:17" s="7" customFormat="1" x14ac:dyDescent="0.25">
      <c r="A125" s="24">
        <v>19</v>
      </c>
      <c r="B125" s="25" t="s">
        <v>272</v>
      </c>
      <c r="C125" s="26">
        <v>70</v>
      </c>
      <c r="D125" s="26">
        <v>0</v>
      </c>
      <c r="E125" s="132">
        <f>'[7]1.RSP Districts '!E125</f>
        <v>2</v>
      </c>
      <c r="F125" s="138">
        <v>0</v>
      </c>
      <c r="G125" s="138">
        <f t="shared" si="20"/>
        <v>2.8571428571428572</v>
      </c>
      <c r="H125" s="37">
        <v>202554</v>
      </c>
      <c r="I125" s="26"/>
      <c r="J125" s="26">
        <f>'[7]1.RSP Districts '!H125</f>
        <v>302</v>
      </c>
      <c r="K125" s="138">
        <v>0</v>
      </c>
      <c r="L125" s="138">
        <f t="shared" si="22"/>
        <v>0.14909604352419603</v>
      </c>
      <c r="M125" s="27">
        <v>0</v>
      </c>
      <c r="N125" s="26">
        <f>'[7]1.RSP Districts '!J125</f>
        <v>23</v>
      </c>
      <c r="O125" s="138">
        <v>0</v>
      </c>
      <c r="P125" s="39" t="s">
        <v>7</v>
      </c>
      <c r="Q125" s="13"/>
    </row>
    <row r="126" spans="1:17" s="7" customFormat="1" x14ac:dyDescent="0.25">
      <c r="A126" s="24">
        <v>20</v>
      </c>
      <c r="B126" s="25" t="s">
        <v>139</v>
      </c>
      <c r="C126" s="26">
        <v>65</v>
      </c>
      <c r="D126" s="26">
        <v>46</v>
      </c>
      <c r="E126" s="132">
        <f>'[7]1.RSP Districts '!E126</f>
        <v>46</v>
      </c>
      <c r="F126" s="138">
        <f t="shared" si="19"/>
        <v>0</v>
      </c>
      <c r="G126" s="138">
        <f t="shared" si="20"/>
        <v>70.769230769230774</v>
      </c>
      <c r="H126" s="26">
        <v>106515</v>
      </c>
      <c r="I126" s="26">
        <v>23466</v>
      </c>
      <c r="J126" s="26">
        <f>'[7]1.RSP Districts '!H126</f>
        <v>26605</v>
      </c>
      <c r="K126" s="138">
        <f t="shared" si="21"/>
        <v>13.376800477286286</v>
      </c>
      <c r="L126" s="138">
        <f t="shared" si="22"/>
        <v>24.977702670985305</v>
      </c>
      <c r="M126" s="26">
        <v>1656</v>
      </c>
      <c r="N126" s="26">
        <f>'[7]1.RSP Districts '!J126</f>
        <v>1781</v>
      </c>
      <c r="O126" s="138">
        <f t="shared" si="23"/>
        <v>7.5483091787439616</v>
      </c>
      <c r="P126" s="39" t="s">
        <v>7</v>
      </c>
      <c r="Q126" s="13"/>
    </row>
    <row r="127" spans="1:17" s="7" customFormat="1" x14ac:dyDescent="0.25">
      <c r="A127" s="24">
        <v>21</v>
      </c>
      <c r="B127" s="25" t="s">
        <v>140</v>
      </c>
      <c r="C127" s="26">
        <v>53</v>
      </c>
      <c r="D127" s="26">
        <v>42</v>
      </c>
      <c r="E127" s="26">
        <f>'[1]1.RSP Districts '!D126</f>
        <v>42</v>
      </c>
      <c r="F127" s="138">
        <f t="shared" si="19"/>
        <v>0</v>
      </c>
      <c r="G127" s="138">
        <f t="shared" si="20"/>
        <v>79.245283018867923</v>
      </c>
      <c r="H127" s="37">
        <v>120486</v>
      </c>
      <c r="I127" s="26">
        <v>52665</v>
      </c>
      <c r="J127" s="26">
        <f>'[1]1.RSP Districts '!H126</f>
        <v>54458</v>
      </c>
      <c r="K127" s="138">
        <f t="shared" si="21"/>
        <v>3.4045381182948828</v>
      </c>
      <c r="L127" s="138">
        <f t="shared" si="22"/>
        <v>45.198612286904705</v>
      </c>
      <c r="M127" s="27">
        <v>3019</v>
      </c>
      <c r="N127" s="26">
        <f>'[1]1.RSP Districts '!J126</f>
        <v>3113</v>
      </c>
      <c r="O127" s="138">
        <f t="shared" si="23"/>
        <v>3.1136137793971512</v>
      </c>
      <c r="P127" s="39" t="s">
        <v>6</v>
      </c>
      <c r="Q127" s="13"/>
    </row>
    <row r="128" spans="1:17" s="7" customFormat="1" x14ac:dyDescent="0.25">
      <c r="A128" s="24">
        <v>22</v>
      </c>
      <c r="B128" s="25" t="s">
        <v>141</v>
      </c>
      <c r="C128" s="26">
        <v>69</v>
      </c>
      <c r="D128" s="26">
        <v>22</v>
      </c>
      <c r="E128" s="132">
        <f>'[7]1.RSP Districts '!E128</f>
        <v>22</v>
      </c>
      <c r="F128" s="138">
        <f t="shared" si="19"/>
        <v>0</v>
      </c>
      <c r="G128" s="138">
        <f t="shared" si="20"/>
        <v>31.884057971014496</v>
      </c>
      <c r="H128" s="26">
        <v>261678</v>
      </c>
      <c r="I128" s="26">
        <v>35212</v>
      </c>
      <c r="J128" s="26">
        <f>'[7]1.RSP Districts '!H128</f>
        <v>35212</v>
      </c>
      <c r="K128" s="138">
        <f t="shared" si="21"/>
        <v>0</v>
      </c>
      <c r="L128" s="138">
        <f t="shared" si="22"/>
        <v>13.456232468912173</v>
      </c>
      <c r="M128" s="26">
        <v>2382</v>
      </c>
      <c r="N128" s="26">
        <f>'[7]1.RSP Districts '!J128</f>
        <v>2382</v>
      </c>
      <c r="O128" s="138">
        <f t="shared" si="23"/>
        <v>0</v>
      </c>
      <c r="P128" s="39" t="s">
        <v>7</v>
      </c>
      <c r="Q128" s="13"/>
    </row>
    <row r="129" spans="1:17" x14ac:dyDescent="0.25">
      <c r="A129" s="24">
        <v>22</v>
      </c>
      <c r="B129" s="25" t="s">
        <v>142</v>
      </c>
      <c r="C129" s="26">
        <v>69</v>
      </c>
      <c r="D129" s="26">
        <v>58</v>
      </c>
      <c r="E129" s="26">
        <f>'[1]1.RSP Districts '!D128</f>
        <v>58</v>
      </c>
      <c r="F129" s="138">
        <f t="shared" si="19"/>
        <v>0</v>
      </c>
      <c r="G129" s="138">
        <f t="shared" si="20"/>
        <v>84.057971014492765</v>
      </c>
      <c r="H129" s="26">
        <v>261678</v>
      </c>
      <c r="I129" s="26">
        <v>17654</v>
      </c>
      <c r="J129" s="26">
        <f>'[1]1.RSP Districts '!H128</f>
        <v>17654</v>
      </c>
      <c r="K129" s="138">
        <f t="shared" si="21"/>
        <v>0</v>
      </c>
      <c r="L129" s="138">
        <f t="shared" si="22"/>
        <v>6.7464593890200932</v>
      </c>
      <c r="M129" s="27">
        <v>1958</v>
      </c>
      <c r="N129" s="26">
        <f>'[1]1.RSP Districts '!J128</f>
        <v>1958</v>
      </c>
      <c r="O129" s="138">
        <f t="shared" si="23"/>
        <v>0</v>
      </c>
      <c r="P129" s="28" t="s">
        <v>6</v>
      </c>
      <c r="Q129" s="13"/>
    </row>
    <row r="130" spans="1:17" s="7" customFormat="1" x14ac:dyDescent="0.25">
      <c r="A130" s="24">
        <v>23</v>
      </c>
      <c r="B130" s="25" t="s">
        <v>143</v>
      </c>
      <c r="C130" s="26">
        <v>93</v>
      </c>
      <c r="D130" s="26">
        <v>80</v>
      </c>
      <c r="E130" s="132">
        <f>'[7]1.RSP Districts '!E130</f>
        <v>80</v>
      </c>
      <c r="F130" s="138">
        <f t="shared" si="19"/>
        <v>0</v>
      </c>
      <c r="G130" s="138">
        <f t="shared" si="20"/>
        <v>86.021505376344081</v>
      </c>
      <c r="H130" s="26">
        <v>317647</v>
      </c>
      <c r="I130" s="26">
        <v>85324</v>
      </c>
      <c r="J130" s="26">
        <f>'[7]1.RSP Districts '!H130</f>
        <v>102416</v>
      </c>
      <c r="K130" s="138">
        <f t="shared" si="21"/>
        <v>20.031878486709484</v>
      </c>
      <c r="L130" s="138">
        <f t="shared" si="22"/>
        <v>32.242080044829642</v>
      </c>
      <c r="M130" s="26">
        <v>5512</v>
      </c>
      <c r="N130" s="26">
        <f>'[7]1.RSP Districts '!J130</f>
        <v>7101</v>
      </c>
      <c r="O130" s="138">
        <f t="shared" si="23"/>
        <v>28.82801161103048</v>
      </c>
      <c r="P130" s="39" t="s">
        <v>7</v>
      </c>
      <c r="Q130" s="13"/>
    </row>
    <row r="131" spans="1:17" x14ac:dyDescent="0.25">
      <c r="A131" s="24">
        <v>23</v>
      </c>
      <c r="B131" s="25" t="s">
        <v>144</v>
      </c>
      <c r="C131" s="26">
        <v>93</v>
      </c>
      <c r="D131" s="26">
        <v>24</v>
      </c>
      <c r="E131" s="26">
        <f>'[1]1.RSP Districts '!D130</f>
        <v>24</v>
      </c>
      <c r="F131" s="138">
        <f t="shared" si="19"/>
        <v>0</v>
      </c>
      <c r="G131" s="138">
        <f t="shared" si="20"/>
        <v>25.806451612903224</v>
      </c>
      <c r="H131" s="26">
        <v>317647</v>
      </c>
      <c r="I131" s="26">
        <v>0</v>
      </c>
      <c r="J131" s="26">
        <f>'[1]1.RSP Districts '!H130</f>
        <v>0</v>
      </c>
      <c r="K131" s="138">
        <v>0</v>
      </c>
      <c r="L131" s="138">
        <f t="shared" si="22"/>
        <v>0</v>
      </c>
      <c r="M131" s="27">
        <v>0</v>
      </c>
      <c r="N131" s="26">
        <f>'[1]1.RSP Districts '!J130</f>
        <v>0</v>
      </c>
      <c r="O131" s="138">
        <v>0</v>
      </c>
      <c r="P131" s="28" t="s">
        <v>6</v>
      </c>
      <c r="Q131" s="13"/>
    </row>
    <row r="132" spans="1:17" x14ac:dyDescent="0.25">
      <c r="A132" s="24">
        <v>24</v>
      </c>
      <c r="B132" s="25" t="s">
        <v>225</v>
      </c>
      <c r="C132" s="26">
        <v>65</v>
      </c>
      <c r="D132" s="26">
        <v>0</v>
      </c>
      <c r="E132" s="132">
        <f>'[7]1.RSP Districts '!E132</f>
        <v>4</v>
      </c>
      <c r="F132" s="138">
        <v>0</v>
      </c>
      <c r="G132" s="138">
        <f t="shared" si="20"/>
        <v>6.1538461538461533</v>
      </c>
      <c r="H132" s="26">
        <v>187137</v>
      </c>
      <c r="I132" s="26">
        <v>0</v>
      </c>
      <c r="J132" s="26">
        <f>'[7]1.RSP Districts '!H132</f>
        <v>695</v>
      </c>
      <c r="K132" s="138">
        <v>0</v>
      </c>
      <c r="L132" s="138">
        <f t="shared" si="22"/>
        <v>0.37138566932247502</v>
      </c>
      <c r="M132" s="27">
        <v>0</v>
      </c>
      <c r="N132" s="26">
        <f>'[7]1.RSP Districts '!J132</f>
        <v>45</v>
      </c>
      <c r="O132" s="138">
        <v>0</v>
      </c>
      <c r="P132" s="107" t="s">
        <v>7</v>
      </c>
      <c r="Q132" s="13"/>
    </row>
    <row r="133" spans="1:17" s="7" customFormat="1" x14ac:dyDescent="0.25">
      <c r="A133" s="24">
        <v>25</v>
      </c>
      <c r="B133" s="25" t="s">
        <v>145</v>
      </c>
      <c r="C133" s="26">
        <v>74</v>
      </c>
      <c r="D133" s="26">
        <v>61</v>
      </c>
      <c r="E133" s="132">
        <f>'[7]1.RSP Districts '!E133</f>
        <v>61</v>
      </c>
      <c r="F133" s="138">
        <f t="shared" si="19"/>
        <v>0</v>
      </c>
      <c r="G133" s="138">
        <f t="shared" si="20"/>
        <v>82.432432432432435</v>
      </c>
      <c r="H133" s="26">
        <v>150406</v>
      </c>
      <c r="I133" s="26">
        <v>65402</v>
      </c>
      <c r="J133" s="26">
        <f>'[7]1.RSP Districts '!H133</f>
        <v>85022</v>
      </c>
      <c r="K133" s="138">
        <f t="shared" si="21"/>
        <v>29.999082596862483</v>
      </c>
      <c r="L133" s="138">
        <f t="shared" si="22"/>
        <v>56.528329986835637</v>
      </c>
      <c r="M133" s="26">
        <v>3216</v>
      </c>
      <c r="N133" s="26">
        <f>'[7]1.RSP Districts '!J133</f>
        <v>4294</v>
      </c>
      <c r="O133" s="138">
        <f t="shared" si="23"/>
        <v>33.519900497512438</v>
      </c>
      <c r="P133" s="39" t="s">
        <v>7</v>
      </c>
      <c r="Q133" s="13"/>
    </row>
    <row r="134" spans="1:17" s="7" customFormat="1" x14ac:dyDescent="0.25">
      <c r="A134" s="24">
        <v>26</v>
      </c>
      <c r="B134" s="25" t="s">
        <v>146</v>
      </c>
      <c r="C134" s="26">
        <v>111</v>
      </c>
      <c r="D134" s="26">
        <v>25</v>
      </c>
      <c r="E134" s="132">
        <f>'[7]1.RSP Districts '!E134</f>
        <v>25</v>
      </c>
      <c r="F134" s="138">
        <f t="shared" si="19"/>
        <v>0</v>
      </c>
      <c r="G134" s="138">
        <f t="shared" si="20"/>
        <v>22.522522522522522</v>
      </c>
      <c r="H134" s="26">
        <v>270191</v>
      </c>
      <c r="I134" s="26">
        <v>24660</v>
      </c>
      <c r="J134" s="26">
        <f>'[7]1.RSP Districts '!H134</f>
        <v>25630</v>
      </c>
      <c r="K134" s="138">
        <f t="shared" si="21"/>
        <v>3.9334955393349555</v>
      </c>
      <c r="L134" s="138">
        <f t="shared" si="22"/>
        <v>9.4858822092519741</v>
      </c>
      <c r="M134" s="26">
        <v>1578</v>
      </c>
      <c r="N134" s="26">
        <f>'[7]1.RSP Districts '!J134</f>
        <v>1631</v>
      </c>
      <c r="O134" s="138">
        <f t="shared" si="23"/>
        <v>3.3586818757921422</v>
      </c>
      <c r="P134" s="39" t="s">
        <v>7</v>
      </c>
      <c r="Q134" s="13"/>
    </row>
    <row r="135" spans="1:17" s="7" customFormat="1" x14ac:dyDescent="0.25">
      <c r="A135" s="24">
        <v>27</v>
      </c>
      <c r="B135" s="25" t="s">
        <v>147</v>
      </c>
      <c r="C135" s="26">
        <v>63</v>
      </c>
      <c r="D135" s="26">
        <v>17</v>
      </c>
      <c r="E135" s="132">
        <f>'[7]1.RSP Districts '!E135</f>
        <v>17</v>
      </c>
      <c r="F135" s="138">
        <f t="shared" si="19"/>
        <v>0</v>
      </c>
      <c r="G135" s="138">
        <f t="shared" si="20"/>
        <v>26.984126984126984</v>
      </c>
      <c r="H135" s="26">
        <v>174888</v>
      </c>
      <c r="I135" s="26">
        <v>17233</v>
      </c>
      <c r="J135" s="26">
        <f>'[7]1.RSP Districts '!H135</f>
        <v>17868</v>
      </c>
      <c r="K135" s="138">
        <f t="shared" si="21"/>
        <v>3.6847908083328496</v>
      </c>
      <c r="L135" s="138">
        <f t="shared" si="22"/>
        <v>10.216824481954164</v>
      </c>
      <c r="M135" s="26">
        <v>1106</v>
      </c>
      <c r="N135" s="26">
        <f>'[7]1.RSP Districts '!J135</f>
        <v>1149</v>
      </c>
      <c r="O135" s="138">
        <f t="shared" si="23"/>
        <v>3.8878842676311027</v>
      </c>
      <c r="P135" s="39" t="s">
        <v>7</v>
      </c>
      <c r="Q135" s="13"/>
    </row>
    <row r="136" spans="1:17" x14ac:dyDescent="0.25">
      <c r="A136" s="24">
        <v>27</v>
      </c>
      <c r="B136" s="25" t="s">
        <v>148</v>
      </c>
      <c r="C136" s="26">
        <v>63</v>
      </c>
      <c r="D136" s="26">
        <v>54</v>
      </c>
      <c r="E136" s="26">
        <f>'[1]1.RSP Districts '!D135</f>
        <v>54</v>
      </c>
      <c r="F136" s="138">
        <f t="shared" si="19"/>
        <v>0</v>
      </c>
      <c r="G136" s="138">
        <f t="shared" si="20"/>
        <v>85.714285714285708</v>
      </c>
      <c r="H136" s="26">
        <v>174888</v>
      </c>
      <c r="I136" s="26">
        <v>12295</v>
      </c>
      <c r="J136" s="26">
        <f>'[1]1.RSP Districts '!H135</f>
        <v>12295</v>
      </c>
      <c r="K136" s="138">
        <f t="shared" si="21"/>
        <v>0</v>
      </c>
      <c r="L136" s="138">
        <f t="shared" si="22"/>
        <v>7.0302136224326421</v>
      </c>
      <c r="M136" s="27">
        <v>1486</v>
      </c>
      <c r="N136" s="26">
        <f>'[1]1.RSP Districts '!J135</f>
        <v>1486</v>
      </c>
      <c r="O136" s="138">
        <f t="shared" si="23"/>
        <v>0</v>
      </c>
      <c r="P136" s="28" t="s">
        <v>6</v>
      </c>
      <c r="Q136" s="13"/>
    </row>
    <row r="137" spans="1:17" s="7" customFormat="1" x14ac:dyDescent="0.25">
      <c r="A137" s="24">
        <v>28</v>
      </c>
      <c r="B137" s="25" t="s">
        <v>149</v>
      </c>
      <c r="C137" s="26">
        <v>103</v>
      </c>
      <c r="D137" s="26">
        <v>103</v>
      </c>
      <c r="E137" s="26">
        <f>'[1]1.RSP Districts '!D136</f>
        <v>103</v>
      </c>
      <c r="F137" s="138">
        <f t="shared" si="19"/>
        <v>0</v>
      </c>
      <c r="G137" s="138">
        <f t="shared" si="20"/>
        <v>100</v>
      </c>
      <c r="H137" s="37">
        <v>338677</v>
      </c>
      <c r="I137" s="26">
        <v>62559</v>
      </c>
      <c r="J137" s="26">
        <f>'[1]1.RSP Districts '!H136</f>
        <v>65089</v>
      </c>
      <c r="K137" s="138">
        <f t="shared" si="21"/>
        <v>4.0441822919164307</v>
      </c>
      <c r="L137" s="138">
        <f t="shared" si="22"/>
        <v>19.218606518895584</v>
      </c>
      <c r="M137" s="27">
        <v>5948</v>
      </c>
      <c r="N137" s="26">
        <f>'[1]1.RSP Districts '!J136</f>
        <v>6260</v>
      </c>
      <c r="O137" s="138">
        <f t="shared" si="23"/>
        <v>5.2454606590450572</v>
      </c>
      <c r="P137" s="39" t="s">
        <v>6</v>
      </c>
      <c r="Q137" s="13"/>
    </row>
    <row r="138" spans="1:17" s="7" customFormat="1" x14ac:dyDescent="0.25">
      <c r="A138" s="24">
        <v>29</v>
      </c>
      <c r="B138" s="25" t="s">
        <v>150</v>
      </c>
      <c r="C138" s="26">
        <v>44</v>
      </c>
      <c r="D138" s="26">
        <v>43</v>
      </c>
      <c r="E138" s="26">
        <f>'[1]1.RSP Districts '!D137</f>
        <v>43</v>
      </c>
      <c r="F138" s="138">
        <f t="shared" si="19"/>
        <v>0</v>
      </c>
      <c r="G138" s="138">
        <f t="shared" si="20"/>
        <v>97.727272727272734</v>
      </c>
      <c r="H138" s="37">
        <v>133182</v>
      </c>
      <c r="I138" s="26">
        <v>83680</v>
      </c>
      <c r="J138" s="26">
        <f>'[1]1.RSP Districts '!H137</f>
        <v>84263</v>
      </c>
      <c r="K138" s="138">
        <f t="shared" si="21"/>
        <v>0.69670172084130022</v>
      </c>
      <c r="L138" s="138">
        <f t="shared" si="22"/>
        <v>63.269060383535319</v>
      </c>
      <c r="M138" s="27">
        <v>5832</v>
      </c>
      <c r="N138" s="26">
        <f>'[1]1.RSP Districts '!J137</f>
        <v>5866</v>
      </c>
      <c r="O138" s="138">
        <f t="shared" si="23"/>
        <v>0.58299039780521267</v>
      </c>
      <c r="P138" s="39" t="s">
        <v>6</v>
      </c>
      <c r="Q138" s="13"/>
    </row>
    <row r="139" spans="1:17" s="7" customFormat="1" x14ac:dyDescent="0.25">
      <c r="A139" s="24">
        <v>29</v>
      </c>
      <c r="B139" s="25" t="s">
        <v>151</v>
      </c>
      <c r="C139" s="26">
        <v>44</v>
      </c>
      <c r="D139" s="26">
        <v>33</v>
      </c>
      <c r="E139" s="132">
        <f>'[7]1.RSP Districts '!E139</f>
        <v>33</v>
      </c>
      <c r="F139" s="138">
        <f t="shared" si="19"/>
        <v>0</v>
      </c>
      <c r="G139" s="138">
        <f t="shared" si="20"/>
        <v>75</v>
      </c>
      <c r="H139" s="26">
        <v>133182</v>
      </c>
      <c r="I139" s="26">
        <v>18330</v>
      </c>
      <c r="J139" s="26">
        <f>'[7]1.RSP Districts '!H139</f>
        <v>18650</v>
      </c>
      <c r="K139" s="138">
        <f t="shared" si="21"/>
        <v>1.7457719585379159</v>
      </c>
      <c r="L139" s="138">
        <f t="shared" si="22"/>
        <v>14.003393852022045</v>
      </c>
      <c r="M139" s="26">
        <v>1197</v>
      </c>
      <c r="N139" s="26">
        <f>'[7]1.RSP Districts '!J139</f>
        <v>1218</v>
      </c>
      <c r="O139" s="138">
        <f t="shared" si="23"/>
        <v>1.7543859649122806</v>
      </c>
      <c r="P139" s="39" t="s">
        <v>7</v>
      </c>
      <c r="Q139" s="13"/>
    </row>
    <row r="140" spans="1:17" s="7" customFormat="1" x14ac:dyDescent="0.25">
      <c r="A140" s="24">
        <v>30</v>
      </c>
      <c r="B140" s="25" t="s">
        <v>152</v>
      </c>
      <c r="C140" s="26">
        <v>58</v>
      </c>
      <c r="D140" s="26">
        <v>58</v>
      </c>
      <c r="E140" s="26">
        <f>'[1]1.RSP Districts '!D139</f>
        <v>58</v>
      </c>
      <c r="F140" s="138">
        <f t="shared" si="19"/>
        <v>0</v>
      </c>
      <c r="G140" s="138">
        <f t="shared" si="20"/>
        <v>100</v>
      </c>
      <c r="H140" s="37">
        <v>256911</v>
      </c>
      <c r="I140" s="26">
        <v>65058</v>
      </c>
      <c r="J140" s="26">
        <f>'[1]1.RSP Districts '!H139</f>
        <v>65601</v>
      </c>
      <c r="K140" s="138">
        <f t="shared" si="21"/>
        <v>0.83463985981739364</v>
      </c>
      <c r="L140" s="138">
        <f t="shared" si="22"/>
        <v>25.534523628805307</v>
      </c>
      <c r="M140" s="27">
        <v>4153</v>
      </c>
      <c r="N140" s="26">
        <f>'[1]1.RSP Districts '!J139</f>
        <v>4189</v>
      </c>
      <c r="O140" s="138">
        <f t="shared" si="23"/>
        <v>0.86684324584637606</v>
      </c>
      <c r="P140" s="39" t="s">
        <v>6</v>
      </c>
      <c r="Q140" s="13"/>
    </row>
    <row r="141" spans="1:17" s="7" customFormat="1" x14ac:dyDescent="0.25">
      <c r="A141" s="24">
        <v>31</v>
      </c>
      <c r="B141" s="25" t="s">
        <v>153</v>
      </c>
      <c r="C141" s="26">
        <v>83</v>
      </c>
      <c r="D141" s="26">
        <v>39</v>
      </c>
      <c r="E141" s="132">
        <f>'[7]1.RSP Districts '!E141</f>
        <v>39</v>
      </c>
      <c r="F141" s="138">
        <f t="shared" si="19"/>
        <v>0</v>
      </c>
      <c r="G141" s="138">
        <f t="shared" si="20"/>
        <v>46.987951807228917</v>
      </c>
      <c r="H141" s="26">
        <v>227413</v>
      </c>
      <c r="I141" s="26">
        <v>33383</v>
      </c>
      <c r="J141" s="26">
        <f>'[7]1.RSP Districts '!H141</f>
        <v>34330</v>
      </c>
      <c r="K141" s="138">
        <f t="shared" si="21"/>
        <v>2.8367732079201988</v>
      </c>
      <c r="L141" s="138">
        <f t="shared" si="22"/>
        <v>15.095882821122803</v>
      </c>
      <c r="M141" s="26">
        <v>2065</v>
      </c>
      <c r="N141" s="26">
        <f>'[7]1.RSP Districts '!J141</f>
        <v>2128</v>
      </c>
      <c r="O141" s="138">
        <f t="shared" si="23"/>
        <v>3.050847457627119</v>
      </c>
      <c r="P141" s="39" t="s">
        <v>7</v>
      </c>
      <c r="Q141" s="13"/>
    </row>
    <row r="142" spans="1:17" x14ac:dyDescent="0.25">
      <c r="A142" s="24">
        <v>31</v>
      </c>
      <c r="B142" s="25" t="s">
        <v>154</v>
      </c>
      <c r="C142" s="26">
        <v>83</v>
      </c>
      <c r="D142" s="26">
        <v>52</v>
      </c>
      <c r="E142" s="26">
        <f>'[1]1.RSP Districts '!D141</f>
        <v>52</v>
      </c>
      <c r="F142" s="138">
        <f t="shared" si="19"/>
        <v>0</v>
      </c>
      <c r="G142" s="138">
        <f t="shared" si="20"/>
        <v>62.650602409638559</v>
      </c>
      <c r="H142" s="26">
        <v>227413</v>
      </c>
      <c r="I142" s="26">
        <v>12414</v>
      </c>
      <c r="J142" s="26">
        <f>'[1]1.RSP Districts '!H141</f>
        <v>12414</v>
      </c>
      <c r="K142" s="138">
        <f t="shared" si="21"/>
        <v>0</v>
      </c>
      <c r="L142" s="138">
        <f t="shared" si="22"/>
        <v>5.4587908342970719</v>
      </c>
      <c r="M142" s="27">
        <v>1201</v>
      </c>
      <c r="N142" s="26">
        <f>'[1]1.RSP Districts '!J141</f>
        <v>1201</v>
      </c>
      <c r="O142" s="138">
        <f t="shared" si="23"/>
        <v>0</v>
      </c>
      <c r="P142" s="28" t="s">
        <v>6</v>
      </c>
      <c r="Q142" s="13"/>
    </row>
    <row r="143" spans="1:17" s="7" customFormat="1" x14ac:dyDescent="0.25">
      <c r="A143" s="24">
        <v>32</v>
      </c>
      <c r="B143" s="25" t="s">
        <v>155</v>
      </c>
      <c r="C143" s="26">
        <v>132</v>
      </c>
      <c r="D143" s="26">
        <v>57</v>
      </c>
      <c r="E143" s="132">
        <f>'[7]1.RSP Districts '!E143</f>
        <v>57</v>
      </c>
      <c r="F143" s="138">
        <f t="shared" si="19"/>
        <v>0</v>
      </c>
      <c r="G143" s="138">
        <f t="shared" si="20"/>
        <v>43.18181818181818</v>
      </c>
      <c r="H143" s="26">
        <v>303958</v>
      </c>
      <c r="I143" s="26">
        <v>37000</v>
      </c>
      <c r="J143" s="26">
        <f>'[7]1.RSP Districts '!H143</f>
        <v>38002</v>
      </c>
      <c r="K143" s="138">
        <f t="shared" si="21"/>
        <v>2.708108108108108</v>
      </c>
      <c r="L143" s="138">
        <f t="shared" si="22"/>
        <v>12.502385197954981</v>
      </c>
      <c r="M143" s="26">
        <v>2349</v>
      </c>
      <c r="N143" s="26">
        <f>'[7]1.RSP Districts '!J143</f>
        <v>2415</v>
      </c>
      <c r="O143" s="138">
        <f t="shared" si="23"/>
        <v>2.8097062579821204</v>
      </c>
      <c r="P143" s="39" t="s">
        <v>7</v>
      </c>
      <c r="Q143" s="13"/>
    </row>
    <row r="144" spans="1:17" s="7" customFormat="1" x14ac:dyDescent="0.25">
      <c r="A144" s="24">
        <v>33</v>
      </c>
      <c r="B144" s="25" t="s">
        <v>156</v>
      </c>
      <c r="C144" s="26">
        <v>91</v>
      </c>
      <c r="D144" s="26">
        <v>9</v>
      </c>
      <c r="E144" s="132">
        <f>'[7]1.RSP Districts '!E144</f>
        <v>9</v>
      </c>
      <c r="F144" s="138">
        <f t="shared" si="19"/>
        <v>0</v>
      </c>
      <c r="G144" s="138">
        <f t="shared" si="20"/>
        <v>9.8901098901098905</v>
      </c>
      <c r="H144" s="26">
        <v>207804.73300000001</v>
      </c>
      <c r="I144" s="26">
        <v>16474</v>
      </c>
      <c r="J144" s="26">
        <f>'[7]1.RSP Districts '!H144</f>
        <v>17061</v>
      </c>
      <c r="K144" s="138">
        <f t="shared" si="21"/>
        <v>3.5631904819715916</v>
      </c>
      <c r="L144" s="138">
        <f t="shared" si="22"/>
        <v>8.2101113644990953</v>
      </c>
      <c r="M144" s="26">
        <v>1107</v>
      </c>
      <c r="N144" s="26">
        <f>'[7]1.RSP Districts '!J144</f>
        <v>1141</v>
      </c>
      <c r="O144" s="138">
        <f t="shared" si="23"/>
        <v>3.0713640469738031</v>
      </c>
      <c r="P144" s="39" t="s">
        <v>7</v>
      </c>
      <c r="Q144" s="13"/>
    </row>
    <row r="145" spans="1:17" s="7" customFormat="1" x14ac:dyDescent="0.25">
      <c r="A145" s="24">
        <v>34</v>
      </c>
      <c r="B145" s="25" t="s">
        <v>157</v>
      </c>
      <c r="C145" s="26">
        <v>94</v>
      </c>
      <c r="D145" s="26">
        <v>89</v>
      </c>
      <c r="E145" s="132">
        <f>'[7]1.RSP Districts '!E145</f>
        <v>89</v>
      </c>
      <c r="F145" s="138">
        <f t="shared" si="19"/>
        <v>0</v>
      </c>
      <c r="G145" s="138">
        <f t="shared" si="20"/>
        <v>94.680851063829792</v>
      </c>
      <c r="H145" s="26">
        <v>275204</v>
      </c>
      <c r="I145" s="26">
        <v>101071</v>
      </c>
      <c r="J145" s="26">
        <f>'[7]1.RSP Districts '!H145</f>
        <v>119722</v>
      </c>
      <c r="K145" s="138">
        <f t="shared" si="21"/>
        <v>18.453364466563109</v>
      </c>
      <c r="L145" s="138">
        <f t="shared" si="22"/>
        <v>43.503001409863231</v>
      </c>
      <c r="M145" s="26">
        <v>4695</v>
      </c>
      <c r="N145" s="26">
        <f>'[7]1.RSP Districts '!J145</f>
        <v>5628</v>
      </c>
      <c r="O145" s="138">
        <f t="shared" si="23"/>
        <v>19.87220447284345</v>
      </c>
      <c r="P145" s="39" t="s">
        <v>7</v>
      </c>
      <c r="Q145" s="13"/>
    </row>
    <row r="146" spans="1:17" s="7" customFormat="1" x14ac:dyDescent="0.25">
      <c r="A146" s="24">
        <v>35</v>
      </c>
      <c r="B146" s="25" t="s">
        <v>158</v>
      </c>
      <c r="C146" s="26">
        <v>79</v>
      </c>
      <c r="D146" s="26">
        <v>22</v>
      </c>
      <c r="E146" s="132">
        <f>'[7]1.RSP Districts '!E146</f>
        <v>22</v>
      </c>
      <c r="F146" s="138">
        <f t="shared" si="19"/>
        <v>0</v>
      </c>
      <c r="G146" s="138">
        <f t="shared" si="20"/>
        <v>27.848101265822784</v>
      </c>
      <c r="H146" s="26">
        <v>187555</v>
      </c>
      <c r="I146" s="26">
        <v>27713</v>
      </c>
      <c r="J146" s="26">
        <f>'[7]1.RSP Districts '!H146</f>
        <v>28737</v>
      </c>
      <c r="K146" s="138">
        <f t="shared" si="21"/>
        <v>3.6950167791289288</v>
      </c>
      <c r="L146" s="138">
        <f t="shared" si="22"/>
        <v>15.321905574364854</v>
      </c>
      <c r="M146" s="26">
        <v>1874</v>
      </c>
      <c r="N146" s="26">
        <f>'[7]1.RSP Districts '!J146</f>
        <v>1950</v>
      </c>
      <c r="O146" s="138">
        <f t="shared" si="23"/>
        <v>4.0554962646744936</v>
      </c>
      <c r="P146" s="39" t="s">
        <v>7</v>
      </c>
      <c r="Q146" s="13"/>
    </row>
    <row r="147" spans="1:17" x14ac:dyDescent="0.25">
      <c r="A147" s="24">
        <v>35</v>
      </c>
      <c r="B147" s="25" t="s">
        <v>159</v>
      </c>
      <c r="C147" s="26">
        <v>79</v>
      </c>
      <c r="D147" s="26">
        <v>61</v>
      </c>
      <c r="E147" s="26">
        <f>'[1]1.RSP Districts '!D146</f>
        <v>61</v>
      </c>
      <c r="F147" s="138">
        <f t="shared" si="19"/>
        <v>0</v>
      </c>
      <c r="G147" s="138">
        <f t="shared" si="20"/>
        <v>77.215189873417714</v>
      </c>
      <c r="H147" s="26">
        <v>187555</v>
      </c>
      <c r="I147" s="26">
        <v>13594</v>
      </c>
      <c r="J147" s="26">
        <f>'[1]1.RSP Districts '!H146</f>
        <v>13594</v>
      </c>
      <c r="K147" s="138">
        <f t="shared" si="21"/>
        <v>0</v>
      </c>
      <c r="L147" s="138">
        <f t="shared" si="22"/>
        <v>7.248007251206313</v>
      </c>
      <c r="M147" s="27">
        <v>1545</v>
      </c>
      <c r="N147" s="26">
        <f>'[1]1.RSP Districts '!J146</f>
        <v>1545</v>
      </c>
      <c r="O147" s="138">
        <f t="shared" si="23"/>
        <v>0</v>
      </c>
      <c r="P147" s="28" t="s">
        <v>6</v>
      </c>
      <c r="Q147" s="13"/>
    </row>
    <row r="148" spans="1:17" s="7" customFormat="1" x14ac:dyDescent="0.25">
      <c r="A148" s="24">
        <v>36</v>
      </c>
      <c r="B148" s="25" t="s">
        <v>160</v>
      </c>
      <c r="C148" s="26">
        <v>87</v>
      </c>
      <c r="D148" s="26">
        <v>80</v>
      </c>
      <c r="E148" s="26">
        <f>'[1]1.RSP Districts '!D147</f>
        <v>80</v>
      </c>
      <c r="F148" s="138">
        <f t="shared" si="19"/>
        <v>0</v>
      </c>
      <c r="G148" s="138">
        <f t="shared" si="20"/>
        <v>91.954022988505741</v>
      </c>
      <c r="H148" s="37">
        <v>257583</v>
      </c>
      <c r="I148" s="26">
        <v>39089</v>
      </c>
      <c r="J148" s="26">
        <f>'[1]1.RSP Districts '!H147</f>
        <v>39089</v>
      </c>
      <c r="K148" s="138">
        <f t="shared" si="21"/>
        <v>0</v>
      </c>
      <c r="L148" s="138">
        <f t="shared" si="22"/>
        <v>15.175302717958871</v>
      </c>
      <c r="M148" s="27">
        <v>3149</v>
      </c>
      <c r="N148" s="26">
        <f>'[1]1.RSP Districts '!J147</f>
        <v>3149</v>
      </c>
      <c r="O148" s="138">
        <f t="shared" si="23"/>
        <v>0</v>
      </c>
      <c r="P148" s="39" t="s">
        <v>6</v>
      </c>
      <c r="Q148" s="13"/>
    </row>
    <row r="149" spans="1:17" s="5" customFormat="1" ht="14.4" thickBot="1" x14ac:dyDescent="0.3">
      <c r="A149" s="29">
        <f>A148</f>
        <v>36</v>
      </c>
      <c r="B149" s="30" t="s">
        <v>93</v>
      </c>
      <c r="C149" s="31">
        <f>SUM(C103:C148)-(C103+C111+C125+C119+C128+C131+C135+C139+C141+C146)</f>
        <v>2635</v>
      </c>
      <c r="D149" s="31">
        <f>SUM(D103:D148)-(D103+D111+D125+D119+D128+D131+D135+D139+D141+D146)</f>
        <v>1827</v>
      </c>
      <c r="E149" s="31">
        <f>SUM(E103:E148)-(E103+E111+E125+E119+E128+E131+E135+E139+E141+E146)</f>
        <v>1835</v>
      </c>
      <c r="F149" s="145">
        <f t="shared" si="19"/>
        <v>0.43787629994526545</v>
      </c>
      <c r="G149" s="145">
        <f t="shared" si="20"/>
        <v>69.639468690702088</v>
      </c>
      <c r="H149" s="31">
        <f>SUM(H103:H148)-(H103+H111+H125+H119+H128+H131+H135+H139+H141+H146)</f>
        <v>5982197.8585411254</v>
      </c>
      <c r="I149" s="31">
        <f>SUM(I103:I148)</f>
        <v>2104071</v>
      </c>
      <c r="J149" s="31">
        <f>SUM(J103:J148)</f>
        <v>2225694</v>
      </c>
      <c r="K149" s="145">
        <f t="shared" si="21"/>
        <v>5.7803657766301617</v>
      </c>
      <c r="L149" s="145">
        <f t="shared" si="22"/>
        <v>37.205288969542352</v>
      </c>
      <c r="M149" s="31">
        <f>SUM(M103:M148)</f>
        <v>143260</v>
      </c>
      <c r="N149" s="31">
        <f>SUM(N103:N148)</f>
        <v>150933</v>
      </c>
      <c r="O149" s="137"/>
      <c r="P149" s="32"/>
      <c r="Q149" s="13"/>
    </row>
    <row r="150" spans="1:17" ht="8.25" customHeight="1" thickBot="1" x14ac:dyDescent="0.35">
      <c r="A150" s="42"/>
      <c r="B150" s="43"/>
      <c r="C150" s="34"/>
      <c r="D150" s="33"/>
      <c r="E150" s="33"/>
      <c r="F150" s="139"/>
      <c r="G150" s="139"/>
      <c r="H150" s="34"/>
      <c r="I150" s="33"/>
      <c r="J150" s="34"/>
      <c r="K150" s="34"/>
      <c r="L150" s="34"/>
      <c r="M150" s="34"/>
      <c r="N150" s="34"/>
      <c r="O150" s="34"/>
      <c r="P150" s="16"/>
      <c r="Q150" s="13"/>
    </row>
    <row r="151" spans="1:17" s="6" customFormat="1" x14ac:dyDescent="0.25">
      <c r="A151" s="19" t="s">
        <v>161</v>
      </c>
      <c r="B151" s="20"/>
      <c r="C151" s="21"/>
      <c r="D151" s="35"/>
      <c r="E151" s="35"/>
      <c r="F151" s="140"/>
      <c r="G151" s="140"/>
      <c r="H151" s="21"/>
      <c r="I151" s="35"/>
      <c r="J151" s="36"/>
      <c r="K151" s="36"/>
      <c r="L151" s="36"/>
      <c r="M151" s="36"/>
      <c r="N151" s="36"/>
      <c r="O151" s="36"/>
      <c r="P151" s="23"/>
      <c r="Q151" s="13"/>
    </row>
    <row r="152" spans="1:17" s="7" customFormat="1" x14ac:dyDescent="0.25">
      <c r="A152" s="24">
        <v>1</v>
      </c>
      <c r="B152" s="25" t="s">
        <v>162</v>
      </c>
      <c r="C152" s="26">
        <v>19</v>
      </c>
      <c r="D152" s="26">
        <v>19</v>
      </c>
      <c r="E152" s="26">
        <f>'[1]1.RSP Districts '!D151</f>
        <v>19</v>
      </c>
      <c r="F152" s="138">
        <f t="shared" ref="F152:F167" si="24">(E152-D152)/D152%</f>
        <v>0</v>
      </c>
      <c r="G152" s="138">
        <f t="shared" ref="G152:G167" si="25">E152/C152%</f>
        <v>100</v>
      </c>
      <c r="H152" s="37">
        <v>46469.594594594593</v>
      </c>
      <c r="I152" s="26">
        <v>20282</v>
      </c>
      <c r="J152" s="26">
        <f>'[1]1.RSP Districts '!H151</f>
        <v>20324</v>
      </c>
      <c r="K152" s="138">
        <f t="shared" ref="K152:K167" si="26">(J152-I152)/I152%</f>
        <v>0.20708016960851988</v>
      </c>
      <c r="L152" s="138">
        <f t="shared" ref="L152:L167" si="27">J152/H152%</f>
        <v>43.736125045438023</v>
      </c>
      <c r="M152" s="27">
        <v>1048</v>
      </c>
      <c r="N152" s="26">
        <f>'[1]1.RSP Districts '!J151</f>
        <v>1066</v>
      </c>
      <c r="O152" s="138">
        <f t="shared" ref="O152:O167" si="28">(N152-M152)/M152%</f>
        <v>1.7175572519083968</v>
      </c>
      <c r="P152" s="39" t="s">
        <v>6</v>
      </c>
      <c r="Q152" s="13"/>
    </row>
    <row r="153" spans="1:17" s="7" customFormat="1" x14ac:dyDescent="0.25">
      <c r="A153" s="24">
        <v>1</v>
      </c>
      <c r="B153" s="25" t="s">
        <v>190</v>
      </c>
      <c r="C153" s="26">
        <v>19</v>
      </c>
      <c r="D153" s="26">
        <v>1</v>
      </c>
      <c r="E153" s="26">
        <f>'[8]1.RSP Districts '!E152</f>
        <v>1</v>
      </c>
      <c r="F153" s="138">
        <f t="shared" si="24"/>
        <v>0</v>
      </c>
      <c r="G153" s="138">
        <f t="shared" si="25"/>
        <v>5.2631578947368425</v>
      </c>
      <c r="H153" s="26">
        <v>46469.594594594593</v>
      </c>
      <c r="I153" s="26">
        <v>672</v>
      </c>
      <c r="J153" s="26">
        <f>'[8]1.RSP Districts '!H152</f>
        <v>672</v>
      </c>
      <c r="K153" s="138">
        <f t="shared" si="26"/>
        <v>0</v>
      </c>
      <c r="L153" s="138">
        <f t="shared" si="27"/>
        <v>1.4461068702290076</v>
      </c>
      <c r="M153" s="26">
        <v>32</v>
      </c>
      <c r="N153" s="26">
        <f>'[8]1.RSP Districts '!J152</f>
        <v>32</v>
      </c>
      <c r="O153" s="138">
        <f t="shared" si="28"/>
        <v>0</v>
      </c>
      <c r="P153" s="39" t="s">
        <v>2</v>
      </c>
      <c r="Q153" s="13"/>
    </row>
    <row r="154" spans="1:17" s="7" customFormat="1" x14ac:dyDescent="0.25">
      <c r="A154" s="24">
        <v>2</v>
      </c>
      <c r="B154" s="25" t="s">
        <v>189</v>
      </c>
      <c r="C154" s="26">
        <v>13</v>
      </c>
      <c r="D154" s="26">
        <v>5</v>
      </c>
      <c r="E154" s="26">
        <f>'[1]1.RSP Districts '!D153</f>
        <v>5</v>
      </c>
      <c r="F154" s="138">
        <f t="shared" si="24"/>
        <v>0</v>
      </c>
      <c r="G154" s="138">
        <f t="shared" si="25"/>
        <v>38.46153846153846</v>
      </c>
      <c r="H154" s="37">
        <v>21296</v>
      </c>
      <c r="I154" s="26">
        <v>12824</v>
      </c>
      <c r="J154" s="26">
        <f>'[1]1.RSP Districts '!H153</f>
        <v>12914</v>
      </c>
      <c r="K154" s="138">
        <f t="shared" si="26"/>
        <v>0.70180910792264495</v>
      </c>
      <c r="L154" s="138">
        <f t="shared" si="27"/>
        <v>60.640495867768593</v>
      </c>
      <c r="M154" s="27">
        <v>586</v>
      </c>
      <c r="N154" s="26">
        <f>'[1]1.RSP Districts '!J153</f>
        <v>593</v>
      </c>
      <c r="O154" s="138">
        <f t="shared" si="28"/>
        <v>1.1945392491467577</v>
      </c>
      <c r="P154" s="39" t="s">
        <v>6</v>
      </c>
      <c r="Q154" s="13"/>
    </row>
    <row r="155" spans="1:17" s="7" customFormat="1" x14ac:dyDescent="0.25">
      <c r="A155" s="24">
        <v>2</v>
      </c>
      <c r="B155" s="25" t="s">
        <v>191</v>
      </c>
      <c r="C155" s="26">
        <v>13</v>
      </c>
      <c r="D155" s="26">
        <v>10</v>
      </c>
      <c r="E155" s="26">
        <f>'[8]1.RSP Districts '!E154</f>
        <v>10</v>
      </c>
      <c r="F155" s="138">
        <f t="shared" si="24"/>
        <v>0</v>
      </c>
      <c r="G155" s="138">
        <f t="shared" si="25"/>
        <v>76.92307692307692</v>
      </c>
      <c r="H155" s="26">
        <v>21296</v>
      </c>
      <c r="I155" s="26">
        <v>15897</v>
      </c>
      <c r="J155" s="26">
        <f>'[8]1.RSP Districts '!H154</f>
        <v>15972</v>
      </c>
      <c r="K155" s="138">
        <f t="shared" si="26"/>
        <v>0.47178712964710323</v>
      </c>
      <c r="L155" s="138">
        <f t="shared" si="27"/>
        <v>75</v>
      </c>
      <c r="M155" s="26">
        <v>757</v>
      </c>
      <c r="N155" s="26">
        <f>'[8]1.RSP Districts '!J154</f>
        <v>762</v>
      </c>
      <c r="O155" s="138">
        <f t="shared" si="28"/>
        <v>0.66050198150594452</v>
      </c>
      <c r="P155" s="39" t="s">
        <v>2</v>
      </c>
      <c r="Q155" s="13"/>
    </row>
    <row r="156" spans="1:17" s="7" customFormat="1" x14ac:dyDescent="0.25">
      <c r="A156" s="24">
        <v>3</v>
      </c>
      <c r="B156" s="25" t="s">
        <v>163</v>
      </c>
      <c r="C156" s="26">
        <v>38</v>
      </c>
      <c r="D156" s="26">
        <v>33</v>
      </c>
      <c r="E156" s="26">
        <f>'[1]1.RSP Districts '!D155</f>
        <v>33</v>
      </c>
      <c r="F156" s="138">
        <f t="shared" si="24"/>
        <v>0</v>
      </c>
      <c r="G156" s="138">
        <f t="shared" si="25"/>
        <v>86.84210526315789</v>
      </c>
      <c r="H156" s="37">
        <v>67482.876712328754</v>
      </c>
      <c r="I156" s="26">
        <v>36443</v>
      </c>
      <c r="J156" s="26">
        <f>'[1]1.RSP Districts '!H155</f>
        <v>36581</v>
      </c>
      <c r="K156" s="138">
        <f t="shared" si="26"/>
        <v>0.37867354498806355</v>
      </c>
      <c r="L156" s="138">
        <f t="shared" si="27"/>
        <v>54.207825425019038</v>
      </c>
      <c r="M156" s="27">
        <v>2097</v>
      </c>
      <c r="N156" s="26">
        <f>'[1]1.RSP Districts '!J155</f>
        <v>2121</v>
      </c>
      <c r="O156" s="138">
        <f t="shared" si="28"/>
        <v>1.1444921316165952</v>
      </c>
      <c r="P156" s="39" t="s">
        <v>6</v>
      </c>
      <c r="Q156" s="13"/>
    </row>
    <row r="157" spans="1:17" s="7" customFormat="1" x14ac:dyDescent="0.25">
      <c r="A157" s="24">
        <v>3</v>
      </c>
      <c r="B157" s="25" t="s">
        <v>164</v>
      </c>
      <c r="C157" s="26">
        <v>38</v>
      </c>
      <c r="D157" s="26">
        <v>36</v>
      </c>
      <c r="E157" s="26">
        <f>'[8]1.RSP Districts '!E156</f>
        <v>36</v>
      </c>
      <c r="F157" s="138">
        <f t="shared" si="24"/>
        <v>0</v>
      </c>
      <c r="G157" s="138">
        <f t="shared" si="25"/>
        <v>94.73684210526315</v>
      </c>
      <c r="H157" s="26">
        <v>67482.876712328754</v>
      </c>
      <c r="I157" s="26">
        <v>4554</v>
      </c>
      <c r="J157" s="26">
        <f>'[8]1.RSP Districts '!H156</f>
        <v>4554</v>
      </c>
      <c r="K157" s="138">
        <f t="shared" si="26"/>
        <v>0</v>
      </c>
      <c r="L157" s="138">
        <f t="shared" si="27"/>
        <v>6.7483785841157076</v>
      </c>
      <c r="M157" s="26">
        <v>207</v>
      </c>
      <c r="N157" s="26">
        <f>'[8]1.RSP Districts '!J156</f>
        <v>207</v>
      </c>
      <c r="O157" s="138">
        <f t="shared" si="28"/>
        <v>0</v>
      </c>
      <c r="P157" s="39" t="s">
        <v>2</v>
      </c>
      <c r="Q157" s="13"/>
    </row>
    <row r="158" spans="1:17" s="7" customFormat="1" x14ac:dyDescent="0.25">
      <c r="A158" s="24">
        <v>4</v>
      </c>
      <c r="B158" s="25" t="s">
        <v>165</v>
      </c>
      <c r="C158" s="26">
        <v>32</v>
      </c>
      <c r="D158" s="26">
        <v>18</v>
      </c>
      <c r="E158" s="26">
        <f>'[1]1.RSP Districts '!D157</f>
        <v>18</v>
      </c>
      <c r="F158" s="138">
        <f t="shared" si="24"/>
        <v>0</v>
      </c>
      <c r="G158" s="138">
        <f t="shared" si="25"/>
        <v>56.25</v>
      </c>
      <c r="H158" s="26">
        <v>60712</v>
      </c>
      <c r="I158" s="26">
        <v>21319</v>
      </c>
      <c r="J158" s="26">
        <f>'[1]1.RSP Districts '!H157</f>
        <v>21364</v>
      </c>
      <c r="K158" s="138">
        <f t="shared" si="26"/>
        <v>0.21107931891739762</v>
      </c>
      <c r="L158" s="138">
        <f t="shared" si="27"/>
        <v>35.189089471603637</v>
      </c>
      <c r="M158" s="27">
        <v>987</v>
      </c>
      <c r="N158" s="26">
        <f>'[1]1.RSP Districts '!J157</f>
        <v>992</v>
      </c>
      <c r="O158" s="138">
        <f t="shared" si="28"/>
        <v>0.50658561296859173</v>
      </c>
      <c r="P158" s="39" t="s">
        <v>6</v>
      </c>
      <c r="Q158" s="13"/>
    </row>
    <row r="159" spans="1:17" s="7" customFormat="1" x14ac:dyDescent="0.25">
      <c r="A159" s="24">
        <v>4</v>
      </c>
      <c r="B159" s="25" t="s">
        <v>166</v>
      </c>
      <c r="C159" s="26">
        <v>32</v>
      </c>
      <c r="D159" s="26">
        <v>26</v>
      </c>
      <c r="E159" s="26">
        <f>'[8]1.RSP Districts '!E158</f>
        <v>26</v>
      </c>
      <c r="F159" s="138">
        <f t="shared" si="24"/>
        <v>0</v>
      </c>
      <c r="G159" s="138">
        <f t="shared" si="25"/>
        <v>81.25</v>
      </c>
      <c r="H159" s="26">
        <v>60712</v>
      </c>
      <c r="I159" s="26">
        <v>39640</v>
      </c>
      <c r="J159" s="26">
        <f>'[8]1.RSP Districts '!H158</f>
        <v>39809</v>
      </c>
      <c r="K159" s="138">
        <f t="shared" si="26"/>
        <v>0.4263370332996973</v>
      </c>
      <c r="L159" s="138">
        <f t="shared" si="27"/>
        <v>65.570233232309917</v>
      </c>
      <c r="M159" s="26">
        <v>1982</v>
      </c>
      <c r="N159" s="26">
        <f>'[8]1.RSP Districts '!J158</f>
        <v>1995</v>
      </c>
      <c r="O159" s="138">
        <f t="shared" si="28"/>
        <v>0.65590312815338037</v>
      </c>
      <c r="P159" s="39" t="s">
        <v>2</v>
      </c>
      <c r="Q159" s="13"/>
    </row>
    <row r="160" spans="1:17" s="7" customFormat="1" x14ac:dyDescent="0.25">
      <c r="A160" s="24">
        <v>5</v>
      </c>
      <c r="B160" s="25" t="s">
        <v>167</v>
      </c>
      <c r="C160" s="26">
        <v>9</v>
      </c>
      <c r="D160" s="26">
        <v>9</v>
      </c>
      <c r="E160" s="26">
        <f>'[1]1.RSP Districts '!D159</f>
        <v>9</v>
      </c>
      <c r="F160" s="138">
        <f t="shared" si="24"/>
        <v>0</v>
      </c>
      <c r="G160" s="138">
        <f t="shared" si="25"/>
        <v>100</v>
      </c>
      <c r="H160" s="26">
        <v>15648.786335031467</v>
      </c>
      <c r="I160" s="26">
        <v>7213</v>
      </c>
      <c r="J160" s="26">
        <f>'[1]1.RSP Districts '!H159</f>
        <v>7213</v>
      </c>
      <c r="K160" s="138">
        <f t="shared" si="26"/>
        <v>0</v>
      </c>
      <c r="L160" s="138">
        <f t="shared" si="27"/>
        <v>46.093031405591717</v>
      </c>
      <c r="M160" s="27">
        <v>331</v>
      </c>
      <c r="N160" s="26">
        <f>'[1]1.RSP Districts '!J159</f>
        <v>331</v>
      </c>
      <c r="O160" s="138">
        <f t="shared" si="28"/>
        <v>0</v>
      </c>
      <c r="P160" s="39" t="s">
        <v>6</v>
      </c>
      <c r="Q160" s="13"/>
    </row>
    <row r="161" spans="1:17" s="7" customFormat="1" x14ac:dyDescent="0.25">
      <c r="A161" s="24">
        <v>5</v>
      </c>
      <c r="B161" s="25" t="s">
        <v>168</v>
      </c>
      <c r="C161" s="26">
        <v>9</v>
      </c>
      <c r="D161" s="26">
        <v>9</v>
      </c>
      <c r="E161" s="26">
        <f>'[8]1.RSP Districts '!E160</f>
        <v>9</v>
      </c>
      <c r="F161" s="138">
        <f t="shared" si="24"/>
        <v>0</v>
      </c>
      <c r="G161" s="138">
        <f t="shared" si="25"/>
        <v>100</v>
      </c>
      <c r="H161" s="26">
        <v>15648.786335031467</v>
      </c>
      <c r="I161" s="26">
        <v>4260</v>
      </c>
      <c r="J161" s="26">
        <f>'[8]1.RSP Districts '!H160</f>
        <v>5102</v>
      </c>
      <c r="K161" s="138">
        <f t="shared" si="26"/>
        <v>19.76525821596244</v>
      </c>
      <c r="L161" s="138">
        <f t="shared" si="27"/>
        <v>32.603167368824202</v>
      </c>
      <c r="M161" s="26">
        <v>213</v>
      </c>
      <c r="N161" s="26">
        <f>'[8]1.RSP Districts '!J160</f>
        <v>213</v>
      </c>
      <c r="O161" s="138">
        <f t="shared" si="28"/>
        <v>0</v>
      </c>
      <c r="P161" s="39" t="s">
        <v>2</v>
      </c>
      <c r="Q161" s="13"/>
    </row>
    <row r="162" spans="1:17" s="7" customFormat="1" x14ac:dyDescent="0.25">
      <c r="A162" s="24">
        <v>6</v>
      </c>
      <c r="B162" s="25" t="s">
        <v>169</v>
      </c>
      <c r="C162" s="26">
        <v>25</v>
      </c>
      <c r="D162" s="26">
        <v>25</v>
      </c>
      <c r="E162" s="26">
        <f>'[1]1.RSP Districts '!D161</f>
        <v>25</v>
      </c>
      <c r="F162" s="138">
        <f t="shared" si="24"/>
        <v>0</v>
      </c>
      <c r="G162" s="138">
        <f t="shared" si="25"/>
        <v>100</v>
      </c>
      <c r="H162" s="37">
        <v>47319.07894736842</v>
      </c>
      <c r="I162" s="26">
        <v>35659</v>
      </c>
      <c r="J162" s="26">
        <f>'[1]1.RSP Districts '!H161</f>
        <v>37016</v>
      </c>
      <c r="K162" s="138">
        <f t="shared" si="26"/>
        <v>3.8054908999130657</v>
      </c>
      <c r="L162" s="138">
        <f t="shared" si="27"/>
        <v>78.22637469586374</v>
      </c>
      <c r="M162" s="27">
        <v>1857</v>
      </c>
      <c r="N162" s="26">
        <f>'[1]1.RSP Districts '!J161</f>
        <v>1905</v>
      </c>
      <c r="O162" s="138">
        <f t="shared" si="28"/>
        <v>2.5848142164781907</v>
      </c>
      <c r="P162" s="39" t="s">
        <v>6</v>
      </c>
      <c r="Q162" s="13"/>
    </row>
    <row r="163" spans="1:17" s="7" customFormat="1" x14ac:dyDescent="0.25">
      <c r="A163" s="24">
        <v>7</v>
      </c>
      <c r="B163" s="25" t="s">
        <v>170</v>
      </c>
      <c r="C163" s="26">
        <v>18</v>
      </c>
      <c r="D163" s="26">
        <v>18</v>
      </c>
      <c r="E163" s="26">
        <f>'[8]1.RSP Districts '!E162</f>
        <v>18</v>
      </c>
      <c r="F163" s="138">
        <f t="shared" si="24"/>
        <v>0</v>
      </c>
      <c r="G163" s="138">
        <f t="shared" si="25"/>
        <v>100</v>
      </c>
      <c r="H163" s="26">
        <v>54333</v>
      </c>
      <c r="I163" s="26">
        <v>4515</v>
      </c>
      <c r="J163" s="26">
        <f>'[8]1.RSP Districts '!H162</f>
        <v>5028</v>
      </c>
      <c r="K163" s="138">
        <f t="shared" si="26"/>
        <v>11.362126245847177</v>
      </c>
      <c r="L163" s="138">
        <f t="shared" si="27"/>
        <v>9.254044503340511</v>
      </c>
      <c r="M163" s="26">
        <v>215</v>
      </c>
      <c r="N163" s="26">
        <f>'[8]1.RSP Districts '!J162</f>
        <v>215</v>
      </c>
      <c r="O163" s="138">
        <f t="shared" si="28"/>
        <v>0</v>
      </c>
      <c r="P163" s="39" t="s">
        <v>2</v>
      </c>
      <c r="Q163" s="13"/>
    </row>
    <row r="164" spans="1:17" s="7" customFormat="1" x14ac:dyDescent="0.25">
      <c r="A164" s="24">
        <v>8</v>
      </c>
      <c r="B164" s="25" t="s">
        <v>171</v>
      </c>
      <c r="C164" s="26">
        <v>12</v>
      </c>
      <c r="D164" s="26">
        <v>13</v>
      </c>
      <c r="E164" s="26">
        <f>'[1]1.RSP Districts '!D163</f>
        <v>13</v>
      </c>
      <c r="F164" s="138">
        <f t="shared" si="24"/>
        <v>0</v>
      </c>
      <c r="G164" s="138">
        <f t="shared" si="25"/>
        <v>108.33333333333334</v>
      </c>
      <c r="H164" s="37">
        <v>26849.31506849315</v>
      </c>
      <c r="I164" s="26">
        <v>10603</v>
      </c>
      <c r="J164" s="26">
        <f>'[1]1.RSP Districts '!H163</f>
        <v>10603</v>
      </c>
      <c r="K164" s="138">
        <f t="shared" si="26"/>
        <v>0</v>
      </c>
      <c r="L164" s="138">
        <f t="shared" si="27"/>
        <v>39.490765306122448</v>
      </c>
      <c r="M164" s="27">
        <v>609</v>
      </c>
      <c r="N164" s="26">
        <f>'[1]1.RSP Districts '!J163</f>
        <v>613</v>
      </c>
      <c r="O164" s="138">
        <f t="shared" si="28"/>
        <v>0.65681444991789817</v>
      </c>
      <c r="P164" s="39" t="s">
        <v>6</v>
      </c>
      <c r="Q164" s="13"/>
    </row>
    <row r="165" spans="1:17" s="7" customFormat="1" x14ac:dyDescent="0.25">
      <c r="A165" s="24">
        <v>9</v>
      </c>
      <c r="B165" s="25" t="s">
        <v>172</v>
      </c>
      <c r="C165" s="26">
        <v>22</v>
      </c>
      <c r="D165" s="26">
        <v>15</v>
      </c>
      <c r="E165" s="26">
        <f>'[8]1.RSP Districts '!E164</f>
        <v>15</v>
      </c>
      <c r="F165" s="138">
        <f t="shared" si="24"/>
        <v>0</v>
      </c>
      <c r="G165" s="138">
        <f t="shared" si="25"/>
        <v>68.181818181818187</v>
      </c>
      <c r="H165" s="26">
        <v>40208</v>
      </c>
      <c r="I165" s="26">
        <v>6220</v>
      </c>
      <c r="J165" s="26">
        <f>'[8]1.RSP Districts '!H164</f>
        <v>6792</v>
      </c>
      <c r="K165" s="138">
        <f t="shared" si="26"/>
        <v>9.1961414790996781</v>
      </c>
      <c r="L165" s="138">
        <f t="shared" si="27"/>
        <v>16.892160764027061</v>
      </c>
      <c r="M165" s="26">
        <v>311</v>
      </c>
      <c r="N165" s="26">
        <f>'[8]1.RSP Districts '!J164</f>
        <v>355</v>
      </c>
      <c r="O165" s="138">
        <f t="shared" si="28"/>
        <v>14.14790996784566</v>
      </c>
      <c r="P165" s="39" t="s">
        <v>2</v>
      </c>
      <c r="Q165" s="13"/>
    </row>
    <row r="166" spans="1:17" s="7" customFormat="1" x14ac:dyDescent="0.25">
      <c r="A166" s="44">
        <v>10</v>
      </c>
      <c r="B166" s="45" t="s">
        <v>188</v>
      </c>
      <c r="C166" s="46">
        <v>8</v>
      </c>
      <c r="D166" s="46">
        <v>8</v>
      </c>
      <c r="E166" s="26">
        <f>'[1]1.RSP Districts '!D165</f>
        <v>8</v>
      </c>
      <c r="F166" s="138">
        <f t="shared" si="24"/>
        <v>0</v>
      </c>
      <c r="G166" s="138">
        <f t="shared" si="25"/>
        <v>100</v>
      </c>
      <c r="H166" s="47">
        <v>18651</v>
      </c>
      <c r="I166" s="46">
        <v>10130</v>
      </c>
      <c r="J166" s="26">
        <f>'[1]1.RSP Districts '!H165</f>
        <v>10130</v>
      </c>
      <c r="K166" s="138">
        <f t="shared" si="26"/>
        <v>0</v>
      </c>
      <c r="L166" s="138">
        <f t="shared" si="27"/>
        <v>54.313441638518043</v>
      </c>
      <c r="M166" s="48">
        <v>538</v>
      </c>
      <c r="N166" s="26">
        <f>'[1]1.RSP Districts '!J165</f>
        <v>545</v>
      </c>
      <c r="O166" s="138">
        <f t="shared" si="28"/>
        <v>1.3011152416356877</v>
      </c>
      <c r="P166" s="49" t="s">
        <v>6</v>
      </c>
      <c r="Q166" s="13"/>
    </row>
    <row r="167" spans="1:17" s="5" customFormat="1" ht="14.4" thickBot="1" x14ac:dyDescent="0.3">
      <c r="A167" s="29">
        <v>10</v>
      </c>
      <c r="B167" s="30" t="s">
        <v>48</v>
      </c>
      <c r="C167" s="31">
        <f>(C152+C154+C156+C158+C160+C162+C163+C164+C165+C166)</f>
        <v>196</v>
      </c>
      <c r="D167" s="31">
        <f>(D152+D155+D157+D159+D161+D162+D163+D164+D165+D166)</f>
        <v>179</v>
      </c>
      <c r="E167" s="31">
        <f>(E152+E155+E157+E159+E161+E162+E163+E164+E165+E166)</f>
        <v>179</v>
      </c>
      <c r="F167" s="145">
        <f t="shared" si="24"/>
        <v>0</v>
      </c>
      <c r="G167" s="145">
        <f t="shared" si="25"/>
        <v>91.326530612244895</v>
      </c>
      <c r="H167" s="31">
        <f>(H152+H154+H156+H158+H160+H162+H163+H164+H165+H166)</f>
        <v>398969.65165781637</v>
      </c>
      <c r="I167" s="31">
        <f>SUM(I152:I166)</f>
        <v>230231</v>
      </c>
      <c r="J167" s="31">
        <f>SUM(J152:J166)</f>
        <v>234074</v>
      </c>
      <c r="K167" s="145">
        <f t="shared" si="26"/>
        <v>1.6691931147412815</v>
      </c>
      <c r="L167" s="145">
        <f t="shared" si="27"/>
        <v>58.66962537811218</v>
      </c>
      <c r="M167" s="31">
        <f>SUM(M152:M166)</f>
        <v>11770</v>
      </c>
      <c r="N167" s="31">
        <f>SUM(N152:N166)</f>
        <v>11945</v>
      </c>
      <c r="O167" s="145">
        <f t="shared" si="28"/>
        <v>1.4868309260832624</v>
      </c>
      <c r="P167" s="32"/>
      <c r="Q167" s="13"/>
    </row>
    <row r="168" spans="1:17" ht="13.5" customHeight="1" thickBot="1" x14ac:dyDescent="0.35">
      <c r="A168" s="42"/>
      <c r="B168" s="43"/>
      <c r="C168" s="34"/>
      <c r="D168" s="33"/>
      <c r="E168" s="33"/>
      <c r="F168" s="139"/>
      <c r="G168" s="139"/>
      <c r="H168" s="34"/>
      <c r="I168" s="33"/>
      <c r="J168" s="34"/>
      <c r="K168" s="34"/>
      <c r="L168" s="34"/>
      <c r="M168" s="34"/>
      <c r="N168" s="34"/>
      <c r="O168" s="34"/>
      <c r="P168" s="16"/>
      <c r="Q168" s="13"/>
    </row>
    <row r="169" spans="1:17" s="6" customFormat="1" x14ac:dyDescent="0.25">
      <c r="A169" s="19" t="s">
        <v>173</v>
      </c>
      <c r="B169" s="20"/>
      <c r="C169" s="21"/>
      <c r="D169" s="35"/>
      <c r="E169" s="35"/>
      <c r="F169" s="140"/>
      <c r="G169" s="140"/>
      <c r="H169" s="21"/>
      <c r="I169" s="35"/>
      <c r="J169" s="36"/>
      <c r="K169" s="36"/>
      <c r="L169" s="36"/>
      <c r="M169" s="36"/>
      <c r="N169" s="36"/>
      <c r="O169" s="36"/>
      <c r="P169" s="23"/>
    </row>
    <row r="170" spans="1:17" s="7" customFormat="1" x14ac:dyDescent="0.25">
      <c r="A170" s="24">
        <v>1</v>
      </c>
      <c r="B170" s="25" t="s">
        <v>174</v>
      </c>
      <c r="C170" s="26">
        <v>8</v>
      </c>
      <c r="D170" s="26">
        <v>8</v>
      </c>
      <c r="E170" s="26">
        <f>D170</f>
        <v>8</v>
      </c>
      <c r="F170" s="138">
        <f t="shared" ref="F170:F177" si="29">(E170-D170)/D170%</f>
        <v>0</v>
      </c>
      <c r="G170" s="138">
        <f t="shared" ref="G170:G177" si="30">E170/C170%</f>
        <v>100</v>
      </c>
      <c r="H170" s="37">
        <v>10999.903096902348</v>
      </c>
      <c r="I170" s="26">
        <v>6444</v>
      </c>
      <c r="J170" s="26">
        <f t="shared" ref="J170:J176" si="31">I170</f>
        <v>6444</v>
      </c>
      <c r="K170" s="138">
        <f t="shared" ref="K170:K177" si="32">(J170-I170)/I170%</f>
        <v>0</v>
      </c>
      <c r="L170" s="138">
        <f t="shared" ref="L170:L177" si="33">J170/H170%</f>
        <v>58.582334255423369</v>
      </c>
      <c r="M170" s="26">
        <v>304</v>
      </c>
      <c r="N170" s="26">
        <f t="shared" ref="N170:N176" si="34">M170</f>
        <v>304</v>
      </c>
      <c r="O170" s="138">
        <f t="shared" ref="O170:O177" si="35">(N170-M170)/M170%</f>
        <v>0</v>
      </c>
      <c r="P170" s="39" t="s">
        <v>3</v>
      </c>
    </row>
    <row r="171" spans="1:17" s="7" customFormat="1" x14ac:dyDescent="0.25">
      <c r="A171" s="24">
        <v>2</v>
      </c>
      <c r="B171" s="25" t="s">
        <v>217</v>
      </c>
      <c r="C171" s="26">
        <v>9</v>
      </c>
      <c r="D171" s="26">
        <v>0</v>
      </c>
      <c r="E171" s="26">
        <f t="shared" ref="E171:E176" si="36">D171</f>
        <v>0</v>
      </c>
      <c r="F171" s="138">
        <v>0</v>
      </c>
      <c r="G171" s="138">
        <f t="shared" si="30"/>
        <v>0</v>
      </c>
      <c r="H171" s="37">
        <v>0</v>
      </c>
      <c r="I171" s="26">
        <v>0</v>
      </c>
      <c r="J171" s="26">
        <f t="shared" si="31"/>
        <v>0</v>
      </c>
      <c r="K171" s="138">
        <v>0</v>
      </c>
      <c r="L171" s="138">
        <v>0</v>
      </c>
      <c r="M171" s="26">
        <v>0</v>
      </c>
      <c r="N171" s="26">
        <f t="shared" si="34"/>
        <v>0</v>
      </c>
      <c r="O171" s="138">
        <v>0</v>
      </c>
      <c r="P171" s="107">
        <v>0</v>
      </c>
    </row>
    <row r="172" spans="1:17" s="7" customFormat="1" x14ac:dyDescent="0.25">
      <c r="A172" s="24">
        <v>3</v>
      </c>
      <c r="B172" s="25" t="s">
        <v>175</v>
      </c>
      <c r="C172" s="26">
        <v>14</v>
      </c>
      <c r="D172" s="26">
        <v>14</v>
      </c>
      <c r="E172" s="26">
        <f t="shared" si="36"/>
        <v>14</v>
      </c>
      <c r="F172" s="138">
        <f t="shared" si="29"/>
        <v>0</v>
      </c>
      <c r="G172" s="138">
        <f t="shared" si="30"/>
        <v>99.999999999999986</v>
      </c>
      <c r="H172" s="37">
        <v>18452.493081471035</v>
      </c>
      <c r="I172" s="26">
        <v>10401</v>
      </c>
      <c r="J172" s="26">
        <f t="shared" si="31"/>
        <v>10401</v>
      </c>
      <c r="K172" s="138">
        <f t="shared" si="32"/>
        <v>0</v>
      </c>
      <c r="L172" s="138">
        <f t="shared" si="33"/>
        <v>56.366367157422779</v>
      </c>
      <c r="M172" s="26">
        <v>477</v>
      </c>
      <c r="N172" s="26">
        <f t="shared" si="34"/>
        <v>477</v>
      </c>
      <c r="O172" s="138">
        <f t="shared" si="35"/>
        <v>0</v>
      </c>
      <c r="P172" s="39" t="s">
        <v>3</v>
      </c>
    </row>
    <row r="173" spans="1:17" s="7" customFormat="1" x14ac:dyDescent="0.25">
      <c r="A173" s="24">
        <v>4</v>
      </c>
      <c r="B173" s="25" t="s">
        <v>176</v>
      </c>
      <c r="C173" s="26">
        <v>16</v>
      </c>
      <c r="D173" s="26">
        <v>16</v>
      </c>
      <c r="E173" s="26">
        <f t="shared" si="36"/>
        <v>16</v>
      </c>
      <c r="F173" s="138">
        <f t="shared" si="29"/>
        <v>0</v>
      </c>
      <c r="G173" s="138">
        <f t="shared" si="30"/>
        <v>100</v>
      </c>
      <c r="H173" s="37">
        <v>13563.115170309828</v>
      </c>
      <c r="I173" s="26">
        <v>12420</v>
      </c>
      <c r="J173" s="26">
        <f t="shared" si="31"/>
        <v>12420</v>
      </c>
      <c r="K173" s="138">
        <f t="shared" si="32"/>
        <v>0</v>
      </c>
      <c r="L173" s="138">
        <f t="shared" si="33"/>
        <v>91.571883332435675</v>
      </c>
      <c r="M173" s="26">
        <v>552</v>
      </c>
      <c r="N173" s="26">
        <f t="shared" si="34"/>
        <v>552</v>
      </c>
      <c r="O173" s="138">
        <f t="shared" si="35"/>
        <v>0</v>
      </c>
      <c r="P173" s="39" t="s">
        <v>3</v>
      </c>
    </row>
    <row r="174" spans="1:17" s="7" customFormat="1" x14ac:dyDescent="0.25">
      <c r="A174" s="24">
        <v>5</v>
      </c>
      <c r="B174" s="25" t="s">
        <v>177</v>
      </c>
      <c r="C174" s="26">
        <v>10</v>
      </c>
      <c r="D174" s="26">
        <v>10</v>
      </c>
      <c r="E174" s="26">
        <f t="shared" si="36"/>
        <v>10</v>
      </c>
      <c r="F174" s="138">
        <f t="shared" si="29"/>
        <v>0</v>
      </c>
      <c r="G174" s="138">
        <f t="shared" si="30"/>
        <v>100</v>
      </c>
      <c r="H174" s="37">
        <v>17721</v>
      </c>
      <c r="I174" s="26">
        <v>10924</v>
      </c>
      <c r="J174" s="26">
        <f t="shared" si="31"/>
        <v>10924</v>
      </c>
      <c r="K174" s="138">
        <f t="shared" si="32"/>
        <v>0</v>
      </c>
      <c r="L174" s="138">
        <f t="shared" si="33"/>
        <v>61.644376728175608</v>
      </c>
      <c r="M174" s="26">
        <v>456</v>
      </c>
      <c r="N174" s="26">
        <f t="shared" si="34"/>
        <v>456</v>
      </c>
      <c r="O174" s="138">
        <f t="shared" si="35"/>
        <v>0</v>
      </c>
      <c r="P174" s="39" t="s">
        <v>3</v>
      </c>
    </row>
    <row r="175" spans="1:17" s="7" customFormat="1" x14ac:dyDescent="0.25">
      <c r="A175" s="24">
        <v>6</v>
      </c>
      <c r="B175" s="25" t="s">
        <v>178</v>
      </c>
      <c r="C175" s="26">
        <v>15</v>
      </c>
      <c r="D175" s="26">
        <v>15</v>
      </c>
      <c r="E175" s="26">
        <f t="shared" si="36"/>
        <v>15</v>
      </c>
      <c r="F175" s="138">
        <f t="shared" si="29"/>
        <v>0</v>
      </c>
      <c r="G175" s="138">
        <f t="shared" si="30"/>
        <v>100</v>
      </c>
      <c r="H175" s="37">
        <v>12779</v>
      </c>
      <c r="I175" s="26">
        <v>11965</v>
      </c>
      <c r="J175" s="26">
        <f t="shared" si="31"/>
        <v>11965</v>
      </c>
      <c r="K175" s="138">
        <f t="shared" si="32"/>
        <v>0</v>
      </c>
      <c r="L175" s="138">
        <f t="shared" si="33"/>
        <v>93.630174505047336</v>
      </c>
      <c r="M175" s="26">
        <v>483</v>
      </c>
      <c r="N175" s="26">
        <f t="shared" si="34"/>
        <v>483</v>
      </c>
      <c r="O175" s="138">
        <f t="shared" si="35"/>
        <v>0</v>
      </c>
      <c r="P175" s="39" t="s">
        <v>3</v>
      </c>
    </row>
    <row r="176" spans="1:17" s="7" customFormat="1" x14ac:dyDescent="0.25">
      <c r="A176" s="24">
        <v>7</v>
      </c>
      <c r="B176" s="25" t="s">
        <v>179</v>
      </c>
      <c r="C176" s="26">
        <v>31</v>
      </c>
      <c r="D176" s="26">
        <v>31</v>
      </c>
      <c r="E176" s="26">
        <f t="shared" si="36"/>
        <v>31</v>
      </c>
      <c r="F176" s="138">
        <f t="shared" si="29"/>
        <v>0</v>
      </c>
      <c r="G176" s="138">
        <f t="shared" si="30"/>
        <v>100</v>
      </c>
      <c r="H176" s="37">
        <v>35134.322614801174</v>
      </c>
      <c r="I176" s="26">
        <v>23627</v>
      </c>
      <c r="J176" s="26">
        <f t="shared" si="31"/>
        <v>23627</v>
      </c>
      <c r="K176" s="138">
        <f t="shared" si="32"/>
        <v>0</v>
      </c>
      <c r="L176" s="138">
        <f t="shared" si="33"/>
        <v>67.247632063487004</v>
      </c>
      <c r="M176" s="26">
        <v>1010</v>
      </c>
      <c r="N176" s="26">
        <f t="shared" si="34"/>
        <v>1010</v>
      </c>
      <c r="O176" s="138">
        <f t="shared" si="35"/>
        <v>0</v>
      </c>
      <c r="P176" s="39" t="s">
        <v>3</v>
      </c>
    </row>
    <row r="177" spans="1:16" s="5" customFormat="1" ht="14.4" thickBot="1" x14ac:dyDescent="0.3">
      <c r="A177" s="29">
        <f>COUNTIF(P170:P176,"*")</f>
        <v>6</v>
      </c>
      <c r="B177" s="30" t="s">
        <v>48</v>
      </c>
      <c r="C177" s="31">
        <f t="shared" ref="C177" si="37">SUM(C170:C176)</f>
        <v>103</v>
      </c>
      <c r="D177" s="31">
        <f>SUM(D170:D176)</f>
        <v>94</v>
      </c>
      <c r="E177" s="146">
        <f>D177</f>
        <v>94</v>
      </c>
      <c r="F177" s="145">
        <f t="shared" si="29"/>
        <v>0</v>
      </c>
      <c r="G177" s="145">
        <f t="shared" si="30"/>
        <v>91.262135922330089</v>
      </c>
      <c r="H177" s="31">
        <f t="shared" ref="H177" si="38">SUM(H170:H176)</f>
        <v>108649.83396348439</v>
      </c>
      <c r="I177" s="31">
        <f>SUM(I170:I176)</f>
        <v>75781</v>
      </c>
      <c r="J177" s="146">
        <f>I177</f>
        <v>75781</v>
      </c>
      <c r="K177" s="145">
        <f t="shared" si="32"/>
        <v>0</v>
      </c>
      <c r="L177" s="145">
        <f t="shared" si="33"/>
        <v>69.747920669136846</v>
      </c>
      <c r="M177" s="31">
        <f>SUM(M170:M176)</f>
        <v>3282</v>
      </c>
      <c r="N177" s="146">
        <f>M177</f>
        <v>3282</v>
      </c>
      <c r="O177" s="145">
        <f t="shared" si="35"/>
        <v>0</v>
      </c>
      <c r="P177" s="32"/>
    </row>
    <row r="178" spans="1:16" s="5" customFormat="1" ht="3.75" customHeight="1" thickBot="1" x14ac:dyDescent="0.3">
      <c r="A178" s="50"/>
      <c r="B178" s="51"/>
      <c r="C178" s="52"/>
      <c r="D178" s="53"/>
      <c r="E178" s="53"/>
      <c r="F178" s="141"/>
      <c r="G178" s="141"/>
      <c r="H178" s="52"/>
      <c r="I178" s="53"/>
      <c r="J178" s="54"/>
      <c r="K178" s="54"/>
      <c r="L178" s="54"/>
      <c r="M178" s="54"/>
      <c r="N178" s="54"/>
      <c r="O178" s="54"/>
      <c r="P178" s="55"/>
    </row>
    <row r="179" spans="1:16" s="6" customFormat="1" x14ac:dyDescent="0.25">
      <c r="A179" s="19" t="s">
        <v>256</v>
      </c>
      <c r="B179" s="20"/>
      <c r="C179" s="21"/>
      <c r="D179" s="35"/>
      <c r="E179" s="35"/>
      <c r="F179" s="140"/>
      <c r="G179" s="140"/>
      <c r="H179" s="21"/>
      <c r="I179" s="35"/>
      <c r="J179" s="36"/>
      <c r="K179" s="36"/>
      <c r="L179" s="36"/>
      <c r="M179" s="36"/>
      <c r="N179" s="36"/>
      <c r="O179" s="36"/>
      <c r="P179" s="23"/>
    </row>
    <row r="180" spans="1:16" s="7" customFormat="1" x14ac:dyDescent="0.25">
      <c r="A180" s="120">
        <v>1</v>
      </c>
      <c r="B180" s="25" t="s">
        <v>216</v>
      </c>
      <c r="C180" s="70">
        <v>37</v>
      </c>
      <c r="D180" s="70">
        <v>0</v>
      </c>
      <c r="E180" s="70">
        <v>0</v>
      </c>
      <c r="F180" s="138">
        <v>0</v>
      </c>
      <c r="G180" s="138">
        <f t="shared" ref="G180:G193" si="39">E180/C180%</f>
        <v>0</v>
      </c>
      <c r="H180" s="70">
        <v>0</v>
      </c>
      <c r="I180" s="70">
        <v>0</v>
      </c>
      <c r="J180" s="70">
        <v>0</v>
      </c>
      <c r="K180" s="138">
        <v>0</v>
      </c>
      <c r="L180" s="138">
        <v>0</v>
      </c>
      <c r="M180" s="70">
        <v>0</v>
      </c>
      <c r="N180" s="131">
        <v>0</v>
      </c>
      <c r="O180" s="138">
        <v>0</v>
      </c>
      <c r="P180" s="121">
        <v>0</v>
      </c>
    </row>
    <row r="181" spans="1:16" s="7" customFormat="1" x14ac:dyDescent="0.25">
      <c r="A181" s="120">
        <v>2</v>
      </c>
      <c r="B181" s="25" t="s">
        <v>206</v>
      </c>
      <c r="C181" s="70">
        <v>28</v>
      </c>
      <c r="D181" s="70">
        <v>0</v>
      </c>
      <c r="E181" s="70">
        <v>0</v>
      </c>
      <c r="F181" s="138">
        <v>0</v>
      </c>
      <c r="G181" s="138">
        <f t="shared" si="39"/>
        <v>0</v>
      </c>
      <c r="H181" s="70">
        <v>0</v>
      </c>
      <c r="I181" s="70">
        <v>0</v>
      </c>
      <c r="J181" s="70">
        <v>0</v>
      </c>
      <c r="K181" s="138">
        <v>0</v>
      </c>
      <c r="L181" s="138">
        <v>0</v>
      </c>
      <c r="M181" s="70">
        <v>0</v>
      </c>
      <c r="N181" s="131">
        <v>0</v>
      </c>
      <c r="O181" s="138">
        <v>0</v>
      </c>
      <c r="P181" s="121">
        <v>0</v>
      </c>
    </row>
    <row r="182" spans="1:16" s="7" customFormat="1" x14ac:dyDescent="0.25">
      <c r="A182" s="120">
        <v>3</v>
      </c>
      <c r="B182" s="25" t="s">
        <v>180</v>
      </c>
      <c r="C182" s="26">
        <v>23</v>
      </c>
      <c r="D182" s="26">
        <v>3</v>
      </c>
      <c r="E182" s="26">
        <f>'[3]1.RSP Districts '!E181</f>
        <v>3</v>
      </c>
      <c r="F182" s="138">
        <f t="shared" ref="F182:F193" si="40">(E182-D182)/D182%</f>
        <v>0</v>
      </c>
      <c r="G182" s="138">
        <f t="shared" si="39"/>
        <v>13.043478260869565</v>
      </c>
      <c r="H182" s="26">
        <v>42293</v>
      </c>
      <c r="I182" s="26">
        <v>4110</v>
      </c>
      <c r="J182" s="26">
        <f>'[3]1.RSP Districts '!H181</f>
        <v>4110</v>
      </c>
      <c r="K182" s="138">
        <f t="shared" ref="K182:K193" si="41">(J182-I182)/I182%</f>
        <v>0</v>
      </c>
      <c r="L182" s="138">
        <f t="shared" ref="L182:L193" si="42">J182/H182%</f>
        <v>9.7179202232047857</v>
      </c>
      <c r="M182" s="26">
        <f>129-12</f>
        <v>117</v>
      </c>
      <c r="N182" s="26">
        <f>'[3]1.RSP Districts '!J181</f>
        <v>117</v>
      </c>
      <c r="O182" s="138">
        <f t="shared" ref="O182:O193" si="43">(N182-M182)/M182%</f>
        <v>0</v>
      </c>
      <c r="P182" s="39" t="s">
        <v>10</v>
      </c>
    </row>
    <row r="183" spans="1:16" s="7" customFormat="1" x14ac:dyDescent="0.25">
      <c r="A183" s="120">
        <v>4</v>
      </c>
      <c r="B183" s="25" t="s">
        <v>207</v>
      </c>
      <c r="C183" s="26">
        <v>21</v>
      </c>
      <c r="D183" s="70">
        <v>0</v>
      </c>
      <c r="E183" s="70">
        <v>0</v>
      </c>
      <c r="F183" s="138">
        <v>0</v>
      </c>
      <c r="G183" s="138">
        <f t="shared" si="39"/>
        <v>0</v>
      </c>
      <c r="H183" s="70">
        <v>0</v>
      </c>
      <c r="I183" s="70">
        <v>0</v>
      </c>
      <c r="J183" s="70">
        <v>0</v>
      </c>
      <c r="K183" s="138">
        <v>0</v>
      </c>
      <c r="L183" s="138">
        <v>0</v>
      </c>
      <c r="M183" s="70">
        <v>0</v>
      </c>
      <c r="N183" s="131">
        <v>0</v>
      </c>
      <c r="O183" s="138">
        <v>0</v>
      </c>
      <c r="P183" s="121">
        <v>0</v>
      </c>
    </row>
    <row r="184" spans="1:16" s="7" customFormat="1" x14ac:dyDescent="0.25">
      <c r="A184" s="120">
        <v>5</v>
      </c>
      <c r="B184" s="25" t="s">
        <v>208</v>
      </c>
      <c r="C184" s="26">
        <v>22</v>
      </c>
      <c r="D184" s="70">
        <v>0</v>
      </c>
      <c r="E184" s="70">
        <v>0</v>
      </c>
      <c r="F184" s="138">
        <v>0</v>
      </c>
      <c r="G184" s="138">
        <f t="shared" si="39"/>
        <v>0</v>
      </c>
      <c r="H184" s="70">
        <v>0</v>
      </c>
      <c r="I184" s="70">
        <v>0</v>
      </c>
      <c r="J184" s="70">
        <v>0</v>
      </c>
      <c r="K184" s="138">
        <v>0</v>
      </c>
      <c r="L184" s="138">
        <v>0</v>
      </c>
      <c r="M184" s="70">
        <v>0</v>
      </c>
      <c r="N184" s="131">
        <v>0</v>
      </c>
      <c r="O184" s="138">
        <v>0</v>
      </c>
      <c r="P184" s="121">
        <v>0</v>
      </c>
    </row>
    <row r="185" spans="1:16" s="7" customFormat="1" x14ac:dyDescent="0.25">
      <c r="A185" s="120">
        <v>6</v>
      </c>
      <c r="B185" s="25" t="s">
        <v>209</v>
      </c>
      <c r="C185" s="26">
        <v>15</v>
      </c>
      <c r="D185" s="70">
        <v>0</v>
      </c>
      <c r="E185" s="70">
        <v>0</v>
      </c>
      <c r="F185" s="138">
        <v>0</v>
      </c>
      <c r="G185" s="138">
        <f t="shared" si="39"/>
        <v>0</v>
      </c>
      <c r="H185" s="70">
        <v>0</v>
      </c>
      <c r="I185" s="70">
        <v>0</v>
      </c>
      <c r="J185" s="70">
        <v>0</v>
      </c>
      <c r="K185" s="138">
        <v>0</v>
      </c>
      <c r="L185" s="138">
        <v>0</v>
      </c>
      <c r="M185" s="70">
        <v>0</v>
      </c>
      <c r="N185" s="131">
        <v>0</v>
      </c>
      <c r="O185" s="138">
        <v>0</v>
      </c>
      <c r="P185" s="121">
        <v>0</v>
      </c>
    </row>
    <row r="186" spans="1:16" s="7" customFormat="1" x14ac:dyDescent="0.25">
      <c r="A186" s="120">
        <v>7</v>
      </c>
      <c r="B186" s="25" t="s">
        <v>210</v>
      </c>
      <c r="C186" s="26">
        <v>29</v>
      </c>
      <c r="D186" s="70">
        <v>0</v>
      </c>
      <c r="E186" s="70">
        <v>0</v>
      </c>
      <c r="F186" s="138">
        <v>0</v>
      </c>
      <c r="G186" s="138">
        <f t="shared" si="39"/>
        <v>0</v>
      </c>
      <c r="H186" s="70">
        <v>0</v>
      </c>
      <c r="I186" s="70">
        <v>0</v>
      </c>
      <c r="J186" s="70">
        <v>0</v>
      </c>
      <c r="K186" s="138">
        <v>0</v>
      </c>
      <c r="L186" s="138">
        <v>0</v>
      </c>
      <c r="M186" s="70">
        <v>0</v>
      </c>
      <c r="N186" s="131">
        <v>0</v>
      </c>
      <c r="O186" s="138">
        <v>0</v>
      </c>
      <c r="P186" s="121">
        <v>0</v>
      </c>
    </row>
    <row r="187" spans="1:16" s="7" customFormat="1" x14ac:dyDescent="0.25">
      <c r="A187" s="120">
        <v>8</v>
      </c>
      <c r="B187" s="25" t="s">
        <v>211</v>
      </c>
      <c r="C187" s="26">
        <v>1</v>
      </c>
      <c r="D187" s="70">
        <v>0</v>
      </c>
      <c r="E187" s="70">
        <v>0</v>
      </c>
      <c r="F187" s="138">
        <v>0</v>
      </c>
      <c r="G187" s="138">
        <f t="shared" si="39"/>
        <v>0</v>
      </c>
      <c r="H187" s="70">
        <v>0</v>
      </c>
      <c r="I187" s="70">
        <v>0</v>
      </c>
      <c r="J187" s="70">
        <v>0</v>
      </c>
      <c r="K187" s="138">
        <v>0</v>
      </c>
      <c r="L187" s="138">
        <v>0</v>
      </c>
      <c r="M187" s="70">
        <v>0</v>
      </c>
      <c r="N187" s="131">
        <v>0</v>
      </c>
      <c r="O187" s="138">
        <v>0</v>
      </c>
      <c r="P187" s="121">
        <v>0</v>
      </c>
    </row>
    <row r="188" spans="1:16" s="7" customFormat="1" x14ac:dyDescent="0.25">
      <c r="A188" s="120">
        <v>9</v>
      </c>
      <c r="B188" s="25" t="s">
        <v>212</v>
      </c>
      <c r="C188" s="26">
        <v>1</v>
      </c>
      <c r="D188" s="70">
        <v>0</v>
      </c>
      <c r="E188" s="70">
        <v>0</v>
      </c>
      <c r="F188" s="138">
        <v>0</v>
      </c>
      <c r="G188" s="138">
        <f t="shared" si="39"/>
        <v>0</v>
      </c>
      <c r="H188" s="70">
        <v>0</v>
      </c>
      <c r="I188" s="70">
        <v>0</v>
      </c>
      <c r="J188" s="70">
        <v>0</v>
      </c>
      <c r="K188" s="138">
        <v>0</v>
      </c>
      <c r="L188" s="138">
        <v>0</v>
      </c>
      <c r="M188" s="70">
        <v>0</v>
      </c>
      <c r="N188" s="131">
        <v>0</v>
      </c>
      <c r="O188" s="138">
        <v>0</v>
      </c>
      <c r="P188" s="121">
        <v>0</v>
      </c>
    </row>
    <row r="189" spans="1:16" s="7" customFormat="1" x14ac:dyDescent="0.25">
      <c r="A189" s="120">
        <v>10</v>
      </c>
      <c r="B189" s="25" t="s">
        <v>213</v>
      </c>
      <c r="C189" s="26">
        <v>3</v>
      </c>
      <c r="D189" s="70">
        <v>0</v>
      </c>
      <c r="E189" s="70">
        <v>0</v>
      </c>
      <c r="F189" s="138">
        <v>0</v>
      </c>
      <c r="G189" s="138">
        <f t="shared" si="39"/>
        <v>0</v>
      </c>
      <c r="H189" s="70">
        <v>0</v>
      </c>
      <c r="I189" s="70">
        <v>0</v>
      </c>
      <c r="J189" s="70">
        <v>0</v>
      </c>
      <c r="K189" s="138">
        <v>0</v>
      </c>
      <c r="L189" s="138">
        <v>0</v>
      </c>
      <c r="M189" s="70">
        <v>0</v>
      </c>
      <c r="N189" s="131">
        <v>0</v>
      </c>
      <c r="O189" s="138">
        <v>0</v>
      </c>
      <c r="P189" s="121">
        <v>0</v>
      </c>
    </row>
    <row r="190" spans="1:16" s="7" customFormat="1" x14ac:dyDescent="0.25">
      <c r="A190" s="120">
        <v>11</v>
      </c>
      <c r="B190" s="25" t="s">
        <v>214</v>
      </c>
      <c r="C190" s="26">
        <v>5</v>
      </c>
      <c r="D190" s="70">
        <v>0</v>
      </c>
      <c r="E190" s="70">
        <v>0</v>
      </c>
      <c r="F190" s="138">
        <v>0</v>
      </c>
      <c r="G190" s="138">
        <f t="shared" si="39"/>
        <v>0</v>
      </c>
      <c r="H190" s="70">
        <v>0</v>
      </c>
      <c r="I190" s="70">
        <v>0</v>
      </c>
      <c r="J190" s="70">
        <v>0</v>
      </c>
      <c r="K190" s="138">
        <v>0</v>
      </c>
      <c r="L190" s="138">
        <v>0</v>
      </c>
      <c r="M190" s="70">
        <v>0</v>
      </c>
      <c r="N190" s="131">
        <v>0</v>
      </c>
      <c r="O190" s="138">
        <v>0</v>
      </c>
      <c r="P190" s="121">
        <v>0</v>
      </c>
    </row>
    <row r="191" spans="1:16" s="7" customFormat="1" x14ac:dyDescent="0.3">
      <c r="A191" s="120">
        <v>12</v>
      </c>
      <c r="B191" s="56" t="s">
        <v>181</v>
      </c>
      <c r="C191" s="26">
        <v>3</v>
      </c>
      <c r="D191" s="26">
        <v>3</v>
      </c>
      <c r="E191" s="26">
        <f>'[3]1.RSP Districts '!E190</f>
        <v>3</v>
      </c>
      <c r="F191" s="138">
        <f t="shared" si="40"/>
        <v>0</v>
      </c>
      <c r="G191" s="138">
        <f t="shared" si="39"/>
        <v>100</v>
      </c>
      <c r="H191" s="26">
        <v>6118</v>
      </c>
      <c r="I191" s="26">
        <v>1738</v>
      </c>
      <c r="J191" s="26">
        <f>'[3]1.RSP Districts '!H190</f>
        <v>1738</v>
      </c>
      <c r="K191" s="138">
        <f t="shared" si="41"/>
        <v>0</v>
      </c>
      <c r="L191" s="138">
        <f t="shared" si="42"/>
        <v>28.407976462896372</v>
      </c>
      <c r="M191" s="26">
        <f>116-10</f>
        <v>106</v>
      </c>
      <c r="N191" s="26">
        <f>'[3]1.RSP Districts '!J190</f>
        <v>106</v>
      </c>
      <c r="O191" s="138">
        <f t="shared" si="43"/>
        <v>0</v>
      </c>
      <c r="P191" s="39" t="s">
        <v>10</v>
      </c>
    </row>
    <row r="192" spans="1:16" s="7" customFormat="1" x14ac:dyDescent="0.25">
      <c r="A192" s="120">
        <v>13</v>
      </c>
      <c r="B192" s="25" t="s">
        <v>215</v>
      </c>
      <c r="C192" s="26">
        <v>2</v>
      </c>
      <c r="D192" s="70">
        <v>0</v>
      </c>
      <c r="E192" s="70">
        <v>0</v>
      </c>
      <c r="F192" s="138">
        <v>0</v>
      </c>
      <c r="G192" s="138">
        <f t="shared" si="39"/>
        <v>0</v>
      </c>
      <c r="H192" s="70">
        <v>0</v>
      </c>
      <c r="I192" s="70">
        <v>0</v>
      </c>
      <c r="J192" s="70">
        <v>0</v>
      </c>
      <c r="K192" s="138">
        <v>0</v>
      </c>
      <c r="L192" s="138">
        <v>0</v>
      </c>
      <c r="M192" s="70">
        <v>0</v>
      </c>
      <c r="N192" s="131">
        <v>0</v>
      </c>
      <c r="O192" s="138">
        <v>0</v>
      </c>
      <c r="P192" s="121">
        <v>0</v>
      </c>
    </row>
    <row r="193" spans="1:18" s="5" customFormat="1" ht="14.4" thickBot="1" x14ac:dyDescent="0.3">
      <c r="A193" s="29">
        <f>COUNTIF(P180:P192,"*")</f>
        <v>2</v>
      </c>
      <c r="B193" s="30" t="s">
        <v>48</v>
      </c>
      <c r="C193" s="31">
        <f t="shared" ref="C193:N193" si="44">SUM(C180:C192)</f>
        <v>190</v>
      </c>
      <c r="D193" s="31">
        <f t="shared" si="44"/>
        <v>6</v>
      </c>
      <c r="E193" s="31">
        <f t="shared" si="44"/>
        <v>6</v>
      </c>
      <c r="F193" s="145">
        <f t="shared" si="40"/>
        <v>0</v>
      </c>
      <c r="G193" s="145">
        <f t="shared" si="39"/>
        <v>3.1578947368421053</v>
      </c>
      <c r="H193" s="31">
        <f t="shared" si="44"/>
        <v>48411</v>
      </c>
      <c r="I193" s="31">
        <f t="shared" si="44"/>
        <v>5848</v>
      </c>
      <c r="J193" s="31">
        <f t="shared" si="44"/>
        <v>5848</v>
      </c>
      <c r="K193" s="145">
        <f t="shared" si="41"/>
        <v>0</v>
      </c>
      <c r="L193" s="145">
        <f t="shared" si="42"/>
        <v>12.079899196463613</v>
      </c>
      <c r="M193" s="31">
        <f t="shared" si="44"/>
        <v>223</v>
      </c>
      <c r="N193" s="31">
        <f t="shared" si="44"/>
        <v>223</v>
      </c>
      <c r="O193" s="145">
        <f t="shared" si="43"/>
        <v>0</v>
      </c>
      <c r="P193" s="32"/>
    </row>
    <row r="194" spans="1:18" s="5" customFormat="1" ht="6.75" customHeight="1" thickBot="1" x14ac:dyDescent="0.3">
      <c r="A194" s="42"/>
      <c r="B194" s="57"/>
      <c r="C194" s="42"/>
      <c r="D194" s="33"/>
      <c r="E194" s="33"/>
      <c r="F194" s="139"/>
      <c r="G194" s="139"/>
      <c r="H194" s="42"/>
      <c r="I194" s="33"/>
      <c r="J194" s="33"/>
      <c r="K194" s="34"/>
      <c r="L194" s="34"/>
      <c r="M194" s="34"/>
      <c r="N194" s="34"/>
      <c r="O194" s="34"/>
      <c r="P194" s="58"/>
    </row>
    <row r="195" spans="1:18" s="5" customFormat="1" ht="13.5" customHeight="1" thickBot="1" x14ac:dyDescent="0.35">
      <c r="A195" s="59">
        <f>A40+A74+A100+A149+A167+A177+A7+A193</f>
        <v>114</v>
      </c>
      <c r="B195" s="60" t="s">
        <v>182</v>
      </c>
      <c r="C195" s="68">
        <f>C40+C74+C100+C149+C167+C177+C7+C193</f>
        <v>5565</v>
      </c>
      <c r="D195" s="68">
        <f>D40+D74+D100+D149+D167+D177+D7+D193</f>
        <v>3489</v>
      </c>
      <c r="E195" s="68">
        <f>E40+E74+E100+E149+E167+E177+E7+E193</f>
        <v>3529</v>
      </c>
      <c r="F195" s="147">
        <f>(E195-D195)/D195%</f>
        <v>1.1464603038119805</v>
      </c>
      <c r="G195" s="147">
        <f>E195/C195%</f>
        <v>63.414195867026059</v>
      </c>
      <c r="H195" s="68">
        <f>H193+H177+H167+H149+H100+H74+H40+H7</f>
        <v>11503597.594703551</v>
      </c>
      <c r="I195" s="68">
        <f>I193+I177+I167+I149+I100+I74+I40+I7</f>
        <v>4158266</v>
      </c>
      <c r="J195" s="68">
        <f>J193+J177+J167+J149+J100+J74+J40+J7</f>
        <v>4355111</v>
      </c>
      <c r="K195" s="147">
        <f t="shared" ref="K195" si="45">(J195-I195)/I195%</f>
        <v>4.7338241468919975</v>
      </c>
      <c r="L195" s="147">
        <f t="shared" ref="L195" si="46">J195/H195%</f>
        <v>37.858686938120691</v>
      </c>
      <c r="M195" s="68">
        <f>M193+M177+M167+M149+M100+M74+M40+M7</f>
        <v>252933</v>
      </c>
      <c r="N195" s="68">
        <f>N193+N177+N167+N149+N100+N74+N40+N7</f>
        <v>266815</v>
      </c>
      <c r="O195" s="147">
        <f>(N195-M195)/M195%</f>
        <v>5.4884099741828862</v>
      </c>
      <c r="P195" s="61"/>
    </row>
    <row r="196" spans="1:18" ht="6" customHeight="1" x14ac:dyDescent="0.3">
      <c r="A196" s="17"/>
      <c r="B196" s="15"/>
      <c r="C196" s="71"/>
      <c r="D196" s="71"/>
      <c r="E196" s="33"/>
      <c r="F196" s="139"/>
      <c r="G196" s="139"/>
      <c r="H196" s="71"/>
      <c r="I196" s="71"/>
      <c r="J196" s="71"/>
      <c r="K196" s="71"/>
      <c r="L196" s="71"/>
      <c r="M196" s="71"/>
      <c r="N196" s="71"/>
      <c r="O196" s="71"/>
      <c r="P196" s="16"/>
    </row>
    <row r="197" spans="1:18" ht="16.5" customHeight="1" thickBot="1" x14ac:dyDescent="0.35">
      <c r="A197" s="110" t="s">
        <v>183</v>
      </c>
      <c r="B197" s="15"/>
      <c r="C197" s="71"/>
      <c r="D197" s="71"/>
      <c r="E197" s="33"/>
      <c r="F197" s="139"/>
      <c r="G197" s="139"/>
      <c r="H197" s="71"/>
      <c r="I197" s="71"/>
      <c r="J197" s="71"/>
      <c r="K197" s="71"/>
      <c r="L197" s="71"/>
      <c r="M197" s="71"/>
      <c r="N197" s="71"/>
      <c r="O197" s="71"/>
      <c r="P197" s="16"/>
    </row>
    <row r="198" spans="1:18" x14ac:dyDescent="0.25">
      <c r="A198" s="122" t="s">
        <v>227</v>
      </c>
      <c r="B198" s="123" t="s">
        <v>229</v>
      </c>
      <c r="C198" s="62"/>
      <c r="D198" s="63"/>
      <c r="E198" s="133"/>
      <c r="F198" s="143"/>
      <c r="G198" s="143"/>
      <c r="H198" s="63"/>
      <c r="I198" s="64"/>
      <c r="J198" s="64"/>
      <c r="K198" s="64"/>
      <c r="L198" s="64"/>
      <c r="M198" s="64"/>
      <c r="N198" s="64"/>
      <c r="O198" s="64"/>
      <c r="P198" s="65"/>
      <c r="Q198" s="1" t="s">
        <v>184</v>
      </c>
    </row>
    <row r="199" spans="1:18" x14ac:dyDescent="0.25">
      <c r="A199" s="24">
        <f>COUNTIF($P$6:$P$193,"AJKRSP")</f>
        <v>7</v>
      </c>
      <c r="B199" s="25" t="s">
        <v>262</v>
      </c>
      <c r="C199" s="37">
        <f>SUMIF($P$6:$P$192,"AJKRSP",$C$6:$C$192)</f>
        <v>151</v>
      </c>
      <c r="D199" s="37">
        <f>SUMIF($P$6:$P$192,"AJKRSP",$D$6:$D$192)</f>
        <v>115</v>
      </c>
      <c r="E199" s="37">
        <f>SUMIF($P$6:$P$192,"AJKRSP",$E$6:$E$192)</f>
        <v>115</v>
      </c>
      <c r="F199" s="138">
        <f t="shared" ref="F199:F209" si="47">(E199-D199)/D199%</f>
        <v>0</v>
      </c>
      <c r="G199" s="138">
        <f t="shared" ref="G199:G209" si="48">E199/C199%</f>
        <v>76.158940397350989</v>
      </c>
      <c r="H199" s="37">
        <f>SUMIF($P$6:$P$192,"AJKRSP",$H$6:$H$192)</f>
        <v>306150.25764195481</v>
      </c>
      <c r="I199" s="37">
        <f>SUMIF($P$6:$P$192,"AJKRSP",$I$6:$I$192)</f>
        <v>75758</v>
      </c>
      <c r="J199" s="37">
        <f>SUMIF($P$6:$P$192,"AJKRSP",$J$6:$J$192)</f>
        <v>77929</v>
      </c>
      <c r="K199" s="138">
        <f t="shared" ref="K199:K209" si="49">(J199-I199)/I199%</f>
        <v>2.8657039520578684</v>
      </c>
      <c r="L199" s="138">
        <f t="shared" ref="L199:L209" si="50">J199/H199%</f>
        <v>25.454494338900279</v>
      </c>
      <c r="M199" s="37">
        <f>SUMIF($P$6:$P$192,"AJKRSP",$M$6:$M$192)</f>
        <v>3717</v>
      </c>
      <c r="N199" s="37">
        <f>SUMIF($P$6:$P$192,"AJKRSP",$N$6:$N$192)</f>
        <v>3779</v>
      </c>
      <c r="O199" s="138">
        <f t="shared" ref="O199:O209" si="51">(N199-M199)/M199%</f>
        <v>1.6680118375033628</v>
      </c>
      <c r="P199" s="39" t="s">
        <v>2</v>
      </c>
      <c r="Q199" s="13"/>
    </row>
    <row r="200" spans="1:18" s="7" customFormat="1" x14ac:dyDescent="0.25">
      <c r="A200" s="24">
        <f>COUNTIF($P$6:$P$193,"AKRSP")</f>
        <v>7</v>
      </c>
      <c r="B200" s="40" t="s">
        <v>263</v>
      </c>
      <c r="C200" s="37">
        <f>SUMIF($P$6:$P$192,"AKRSP",$C$6:$C$192)</f>
        <v>118</v>
      </c>
      <c r="D200" s="37">
        <f>SUMIF($P$6:$P$192,"AKRSP",$D$6:$D$192)</f>
        <v>118</v>
      </c>
      <c r="E200" s="37">
        <f>SUMIF($P$6:$P$192,"AKRSP",$E$6:$E$192)</f>
        <v>118</v>
      </c>
      <c r="F200" s="138">
        <f t="shared" si="47"/>
        <v>0</v>
      </c>
      <c r="G200" s="138">
        <f t="shared" si="48"/>
        <v>100</v>
      </c>
      <c r="H200" s="37">
        <f>SUMIF($P$6:$P$192,"AKRSP",$H$6:$H$192)</f>
        <v>145528.83396348439</v>
      </c>
      <c r="I200" s="37">
        <f>SUMIF($P$6:$P$192,"AKRSP",$I$6:$I$192)</f>
        <v>108969</v>
      </c>
      <c r="J200" s="37">
        <f>SUMIF($P$6:$P$192,"AKRSP",$J$6:$J$192)</f>
        <v>108969</v>
      </c>
      <c r="K200" s="138">
        <f t="shared" si="49"/>
        <v>0</v>
      </c>
      <c r="L200" s="138">
        <f t="shared" si="50"/>
        <v>74.877944825244839</v>
      </c>
      <c r="M200" s="37">
        <f>SUMIF($P$6:$P$192,"AKRSP",$M$6:$M$192)</f>
        <v>4721</v>
      </c>
      <c r="N200" s="37">
        <f>SUMIF($P$6:$P$192,"AKRSP",$N$6:$N$192)</f>
        <v>4721</v>
      </c>
      <c r="O200" s="138">
        <f t="shared" si="51"/>
        <v>0</v>
      </c>
      <c r="P200" s="39" t="s">
        <v>3</v>
      </c>
      <c r="Q200" s="13"/>
    </row>
    <row r="201" spans="1:18" s="7" customFormat="1" x14ac:dyDescent="0.25">
      <c r="A201" s="24">
        <f>COUNTIF($P$6:$P$193,"BRSP")</f>
        <v>13</v>
      </c>
      <c r="B201" s="40" t="s">
        <v>264</v>
      </c>
      <c r="C201" s="37">
        <f>SUMIF($P$6:$P$192,"BRSP",$C$6:$C$192)</f>
        <v>303</v>
      </c>
      <c r="D201" s="37">
        <f>SUMIF($P$6:$P$192,"BRSP",$D$6:$D$192)</f>
        <v>170</v>
      </c>
      <c r="E201" s="37">
        <f>SUMIF($P$6:$P$192,"BRSP",$E$6:$E$192)</f>
        <v>191</v>
      </c>
      <c r="F201" s="138">
        <f t="shared" si="47"/>
        <v>12.352941176470589</v>
      </c>
      <c r="G201" s="138">
        <f t="shared" si="48"/>
        <v>63.036303630363044</v>
      </c>
      <c r="H201" s="37">
        <f>SUMIF($P$6:$P$192,"BRSP",$H$6:$H$192)</f>
        <v>344614.125</v>
      </c>
      <c r="I201" s="37">
        <f>SUMIF($P$6:$P$192,"BRSP",$I$6:$I$192)</f>
        <v>149550</v>
      </c>
      <c r="J201" s="37">
        <f>SUMIF($P$6:$P$192,"BRSP",$J$6:$J$192)</f>
        <v>156568</v>
      </c>
      <c r="K201" s="138">
        <f t="shared" si="49"/>
        <v>4.6927449013707792</v>
      </c>
      <c r="L201" s="138">
        <f t="shared" si="50"/>
        <v>45.432844634560468</v>
      </c>
      <c r="M201" s="37">
        <f>SUMIF($P$6:$P$192,"BRSP",$M$6:$M$192)</f>
        <v>9117</v>
      </c>
      <c r="N201" s="37">
        <f>SUMIF($P$6:$P$192,"BRSP",$N$6:$N$192)</f>
        <v>9644</v>
      </c>
      <c r="O201" s="138">
        <f t="shared" si="51"/>
        <v>5.7804102226609633</v>
      </c>
      <c r="P201" s="39" t="s">
        <v>4</v>
      </c>
      <c r="Q201" s="13"/>
      <c r="R201" s="114"/>
    </row>
    <row r="202" spans="1:18" s="7" customFormat="1" x14ac:dyDescent="0.25">
      <c r="A202" s="24">
        <f>COUNTIF($P$6:$P$193,"GBTI")</f>
        <v>3</v>
      </c>
      <c r="B202" s="40" t="s">
        <v>265</v>
      </c>
      <c r="C202" s="37">
        <f>SUMIF($P$6:$P$192,"GBTI",$C$6:$C$192)</f>
        <v>165</v>
      </c>
      <c r="D202" s="37">
        <f>SUMIF($P$6:$P$192,"GBTI",$D$6:$D$192)</f>
        <v>20</v>
      </c>
      <c r="E202" s="37">
        <f>SUMIF($P$6:$P$192,"GBTI",$E$6:$E$192)</f>
        <v>20</v>
      </c>
      <c r="F202" s="138">
        <f t="shared" si="47"/>
        <v>0</v>
      </c>
      <c r="G202" s="138">
        <f t="shared" si="48"/>
        <v>12.121212121212121</v>
      </c>
      <c r="H202" s="37">
        <f>SUMIF($P$6:$P$192,"GBTI",$H$6:$H$192)</f>
        <v>371315</v>
      </c>
      <c r="I202" s="37">
        <f>SUMIF($P$6:$P$192,"GBTI",$I$6:$I$192)</f>
        <v>30406</v>
      </c>
      <c r="J202" s="37">
        <f>SUMIF($P$6:$P$192,"GBTI",$J$6:$J$192)</f>
        <v>30501</v>
      </c>
      <c r="K202" s="138">
        <f t="shared" si="49"/>
        <v>0.3124383345392357</v>
      </c>
      <c r="L202" s="138">
        <f t="shared" si="50"/>
        <v>8.2143193784253263</v>
      </c>
      <c r="M202" s="37">
        <f>SUMIF($P$6:$P$192,"GBTI",$M$6:$M$192)</f>
        <v>2510</v>
      </c>
      <c r="N202" s="37">
        <f>SUMIF($P$6:$P$192,"GBTI",$N$6:$N$192)</f>
        <v>2531</v>
      </c>
      <c r="O202" s="138">
        <f t="shared" si="51"/>
        <v>0.83665338645418319</v>
      </c>
      <c r="P202" s="39" t="s">
        <v>5</v>
      </c>
      <c r="Q202" s="13"/>
    </row>
    <row r="203" spans="1:18" s="7" customFormat="1" x14ac:dyDescent="0.25">
      <c r="A203" s="24">
        <f>COUNTIF($P$6:$P$193,"NRSP")</f>
        <v>48</v>
      </c>
      <c r="B203" s="40" t="s">
        <v>266</v>
      </c>
      <c r="C203" s="37">
        <f>SUMIF($P$6:$P$192,"NRSP",$C$6:$C$192)</f>
        <v>2272</v>
      </c>
      <c r="D203" s="37">
        <f>SUMIF($P$6:$P$192,"NRSP",$D$6:$D$192)</f>
        <v>1806</v>
      </c>
      <c r="E203" s="37">
        <f>SUMIF($P$6:$P$192,"NRSP",$E$6:$E$192)</f>
        <v>1806</v>
      </c>
      <c r="F203" s="138">
        <f t="shared" si="47"/>
        <v>0</v>
      </c>
      <c r="G203" s="138">
        <f t="shared" si="48"/>
        <v>79.489436619718319</v>
      </c>
      <c r="H203" s="37">
        <f>SUMIF($P$6:$P$192,"NRSP",$H$6:$H$192)</f>
        <v>5587740.7295798948</v>
      </c>
      <c r="I203" s="37">
        <f>SUMIF($P$6:$P$192,"NRSP",$I$6:$I$192)</f>
        <v>1832496</v>
      </c>
      <c r="J203" s="37">
        <f>SUMIF($P$6:$P$192,"NRSP",$J$6:$J$192)</f>
        <v>1860974</v>
      </c>
      <c r="K203" s="138">
        <f t="shared" si="49"/>
        <v>1.554055233954126</v>
      </c>
      <c r="L203" s="138">
        <f t="shared" si="50"/>
        <v>33.304587490048313</v>
      </c>
      <c r="M203" s="37">
        <f>SUMIF($P$6:$P$192,"NRSP",$M$6:$M$192)</f>
        <v>124405</v>
      </c>
      <c r="N203" s="37">
        <f>SUMIF($P$6:$P$192,"NRSP",$N$6:$N$192)</f>
        <v>126165</v>
      </c>
      <c r="O203" s="138">
        <f t="shared" si="51"/>
        <v>1.4147341344801254</v>
      </c>
      <c r="P203" s="39" t="s">
        <v>6</v>
      </c>
      <c r="Q203" s="13"/>
    </row>
    <row r="204" spans="1:18" s="7" customFormat="1" x14ac:dyDescent="0.25">
      <c r="A204" s="24">
        <f>COUNTIF($P$6:$P$193,"PRSP")</f>
        <v>25</v>
      </c>
      <c r="B204" s="40" t="s">
        <v>267</v>
      </c>
      <c r="C204" s="37">
        <f>SUMIF($P$6:$P$192,"pRSP",$C$6:$C$192)</f>
        <v>1865</v>
      </c>
      <c r="D204" s="37">
        <f>SUMIF($P$6:$P$192,"pRSP",$D$6:$D$192)</f>
        <v>823</v>
      </c>
      <c r="E204" s="37">
        <f>SUMIF($P$6:$P$192,"pRSP",$E$6:$E$192)</f>
        <v>833</v>
      </c>
      <c r="F204" s="138">
        <f t="shared" si="47"/>
        <v>1.215066828675577</v>
      </c>
      <c r="G204" s="138">
        <f t="shared" si="48"/>
        <v>44.66487935656837</v>
      </c>
      <c r="H204" s="37">
        <f>SUMIF($P$6:$P$192,"pRSP",$H$6:$H$192)</f>
        <v>4245240.7806190476</v>
      </c>
      <c r="I204" s="37">
        <f>SUMIF($P$6:$P$192,"pRSP",$I$6:$I$192)</f>
        <v>783294</v>
      </c>
      <c r="J204" s="37">
        <f>SUMIF($P$6:$P$192,"pRSP",$J$6:$J$192)</f>
        <v>893737</v>
      </c>
      <c r="K204" s="138">
        <f t="shared" si="49"/>
        <v>14.099814373657912</v>
      </c>
      <c r="L204" s="138">
        <f t="shared" si="50"/>
        <v>21.052681018240712</v>
      </c>
      <c r="M204" s="37">
        <f>SUMIF($P$6:$P$192,"PRSP",$M$6:$M$192)</f>
        <v>48524</v>
      </c>
      <c r="N204" s="37">
        <f>SUMIF($P$6:$P$192,"pRSP",$N$6:$N$192)</f>
        <v>55293</v>
      </c>
      <c r="O204" s="138">
        <f t="shared" si="51"/>
        <v>13.949798038084246</v>
      </c>
      <c r="P204" s="39" t="s">
        <v>7</v>
      </c>
      <c r="Q204" s="13"/>
    </row>
    <row r="205" spans="1:18" s="7" customFormat="1" x14ac:dyDescent="0.25">
      <c r="A205" s="24">
        <f>COUNTIF($P$6:$P$193,"SGA")</f>
        <v>1</v>
      </c>
      <c r="B205" s="40" t="s">
        <v>268</v>
      </c>
      <c r="C205" s="37">
        <f>SUMIF($P$6:$P$192,"SGA",$C$6:$C$192)</f>
        <v>55</v>
      </c>
      <c r="D205" s="37">
        <f>SUMIF($P$6:$P$192,"SGA",$D$6:$D$192)</f>
        <v>11</v>
      </c>
      <c r="E205" s="37">
        <f>SUMIF($P$6:$P$192,"SGA",$E$6:$E$192)</f>
        <v>11</v>
      </c>
      <c r="F205" s="138">
        <f t="shared" si="47"/>
        <v>0</v>
      </c>
      <c r="G205" s="138">
        <f t="shared" si="48"/>
        <v>20</v>
      </c>
      <c r="H205" s="37">
        <f>SUMIF($P$6:$P$192,"SGA",$H$6:$H$192)</f>
        <v>209191</v>
      </c>
      <c r="I205" s="37">
        <f>SUMIF($P$6:$P$192,"SGA",$I$6:$I$192)</f>
        <v>9837</v>
      </c>
      <c r="J205" s="37">
        <f>SUMIF($P$6:$P$192,"SGA",$J$6:$J$192)</f>
        <v>10500</v>
      </c>
      <c r="K205" s="138">
        <f t="shared" si="49"/>
        <v>6.7398597133272338</v>
      </c>
      <c r="L205" s="138">
        <f t="shared" si="50"/>
        <v>5.0193363959252553</v>
      </c>
      <c r="M205" s="37">
        <f>SUMIF($P$6:$P$192,"SGA",$M$6:$M$192)</f>
        <v>690</v>
      </c>
      <c r="N205" s="37">
        <f>SUMIF($P$6:$P$192,"SGA",$N$6:$N$192)</f>
        <v>718</v>
      </c>
      <c r="O205" s="138">
        <f t="shared" si="51"/>
        <v>4.057971014492753</v>
      </c>
      <c r="P205" s="39" t="s">
        <v>8</v>
      </c>
      <c r="Q205" s="13"/>
    </row>
    <row r="206" spans="1:18" s="7" customFormat="1" x14ac:dyDescent="0.25">
      <c r="A206" s="24">
        <f>COUNTIF($P$6:$P$193,"SRSO")</f>
        <v>9</v>
      </c>
      <c r="B206" s="40" t="s">
        <v>269</v>
      </c>
      <c r="C206" s="37">
        <f>SUMIF($P$6:$P$192,"SRSO",$C$6:$C$192)</f>
        <v>431</v>
      </c>
      <c r="D206" s="37">
        <f>SUMIF($P$6:$P$192,"SRSO",$D$6:$D$192)</f>
        <v>275</v>
      </c>
      <c r="E206" s="37">
        <f>SUMIF($P$6:$P$192,"SRSO",$E$6:$E$192)</f>
        <v>286</v>
      </c>
      <c r="F206" s="138">
        <f t="shared" si="47"/>
        <v>4</v>
      </c>
      <c r="G206" s="138">
        <f t="shared" si="48"/>
        <v>66.357308584686777</v>
      </c>
      <c r="H206" s="37">
        <f>SUMIF($P$6:$P$192,"SRSO",$H$6:$H$192)</f>
        <v>1183970.1255411254</v>
      </c>
      <c r="I206" s="37">
        <f ca="1">SUMIF($P$6:$P$192,"SRSO",$I$6:$I$76)</f>
        <v>405204</v>
      </c>
      <c r="J206" s="37">
        <f>SUMIF($P$6:$P$192,"SRSO",$J$6:$J$192)</f>
        <v>443323</v>
      </c>
      <c r="K206" s="138">
        <f t="shared" ca="1" si="49"/>
        <v>9.407360243235507</v>
      </c>
      <c r="L206" s="138">
        <f t="shared" si="50"/>
        <v>37.443765719796545</v>
      </c>
      <c r="M206" s="37">
        <f ca="1">SUMIF($P$6:$P$192,"SRSO",$M$6:$M$76)</f>
        <v>23734</v>
      </c>
      <c r="N206" s="37">
        <f>SUMIF($P$6:$P$192,"SRSO",$N$6:$N$192)</f>
        <v>27723</v>
      </c>
      <c r="O206" s="138">
        <f t="shared" ca="1" si="51"/>
        <v>16.807112159770792</v>
      </c>
      <c r="P206" s="39" t="s">
        <v>9</v>
      </c>
      <c r="Q206" s="13"/>
    </row>
    <row r="207" spans="1:18" s="7" customFormat="1" x14ac:dyDescent="0.25">
      <c r="A207" s="24">
        <f>COUNTIF($P$6:$P$193,"SRSP")</f>
        <v>19</v>
      </c>
      <c r="B207" s="40" t="s">
        <v>270</v>
      </c>
      <c r="C207" s="37">
        <f>SUMIF($P$6:$P$192,"SRSP",$C$6:$C$192)</f>
        <v>722</v>
      </c>
      <c r="D207" s="37">
        <f>SUMIF($P$6:$P$192,"SRSP",$D$6:$D$192)</f>
        <v>424</v>
      </c>
      <c r="E207" s="37">
        <f>SUMIF($P$6:$P$192,"SRSP",$E$6:$E$192)</f>
        <v>424</v>
      </c>
      <c r="F207" s="138">
        <f t="shared" si="47"/>
        <v>0</v>
      </c>
      <c r="G207" s="138">
        <f t="shared" si="48"/>
        <v>58.72576177285319</v>
      </c>
      <c r="H207" s="37">
        <f>SUMIF($P$6:$P$192,"SRSP",$H$6:$H$192)</f>
        <v>1471226</v>
      </c>
      <c r="I207" s="37">
        <f>SUMIF($P$6:$P$192,"SRSP",$I$6:$I$192)</f>
        <v>511409</v>
      </c>
      <c r="J207" s="37">
        <f>SUMIF($P$6:$P$192,"SRSP",$J$6:$J$192)</f>
        <v>520475</v>
      </c>
      <c r="K207" s="138">
        <f t="shared" si="49"/>
        <v>1.7727494040973075</v>
      </c>
      <c r="L207" s="138">
        <f t="shared" si="50"/>
        <v>35.376957720975568</v>
      </c>
      <c r="M207" s="37">
        <f>SUMIF($P$6:$P$192,"SRSP",$M$6:$M$192)</f>
        <v>20146</v>
      </c>
      <c r="N207" s="37">
        <f>SUMIF($P$6:$P$192,"SRSP",$N$6:$N$192)</f>
        <v>20752</v>
      </c>
      <c r="O207" s="138">
        <f t="shared" si="51"/>
        <v>3.0080412985207983</v>
      </c>
      <c r="P207" s="39" t="s">
        <v>10</v>
      </c>
      <c r="Q207" s="13"/>
      <c r="R207" s="114"/>
    </row>
    <row r="208" spans="1:18" s="7" customFormat="1" x14ac:dyDescent="0.25">
      <c r="A208" s="24">
        <f>COUNTIF($P$6:$P$193,"TRDP")</f>
        <v>4</v>
      </c>
      <c r="B208" s="40" t="s">
        <v>271</v>
      </c>
      <c r="C208" s="37">
        <f>SUMIF($P$6:$P$192,"TRDP",$C$6:$C$192)</f>
        <v>151</v>
      </c>
      <c r="D208" s="37">
        <f>SUMIF($P$6:$P$192,"TRDP",$D$6:$D$192)</f>
        <v>112</v>
      </c>
      <c r="E208" s="37">
        <f>SUMIF($P$6:$P$192,"TRDP",$E$6:$E$192)</f>
        <v>112</v>
      </c>
      <c r="F208" s="138">
        <f t="shared" si="47"/>
        <v>0</v>
      </c>
      <c r="G208" s="138">
        <f t="shared" si="48"/>
        <v>74.172185430463571</v>
      </c>
      <c r="H208" s="37">
        <f>SUMIF($P$6:$P$192,"TRDP",$H$6:$H$192)</f>
        <v>519666</v>
      </c>
      <c r="I208" s="37">
        <f>SUMIF($P$6:$P$192,"TRDP",$I$6:$I$192)</f>
        <v>251343</v>
      </c>
      <c r="J208" s="37">
        <f>SUMIF($P$6:$P$192,"TRDP",$J$6:$J$192)</f>
        <v>252135</v>
      </c>
      <c r="K208" s="138">
        <f t="shared" si="49"/>
        <v>0.31510724388584527</v>
      </c>
      <c r="L208" s="138">
        <f t="shared" si="50"/>
        <v>48.51866391105056</v>
      </c>
      <c r="M208" s="37">
        <f>SUMIF($P$6:$P$192,"TRDP",$M$6:$M$192)</f>
        <v>15369</v>
      </c>
      <c r="N208" s="37">
        <f>SUMIF($P$6:$P$192,"TRDP",$N$6:$N$192)</f>
        <v>15489</v>
      </c>
      <c r="O208" s="138">
        <f t="shared" si="51"/>
        <v>0.7807925043919578</v>
      </c>
      <c r="P208" s="39" t="s">
        <v>11</v>
      </c>
      <c r="Q208" s="13"/>
    </row>
    <row r="209" spans="1:17" s="8" customFormat="1" ht="14.4" thickBot="1" x14ac:dyDescent="0.3">
      <c r="A209" s="29">
        <f>SUM(A199:A208)-22</f>
        <v>114</v>
      </c>
      <c r="B209" s="30" t="s">
        <v>182</v>
      </c>
      <c r="C209" s="66">
        <f>C221</f>
        <v>5565</v>
      </c>
      <c r="D209" s="66">
        <f>D221</f>
        <v>3489</v>
      </c>
      <c r="E209" s="66">
        <f>E221</f>
        <v>3529</v>
      </c>
      <c r="F209" s="145">
        <f t="shared" si="47"/>
        <v>1.1464603038119805</v>
      </c>
      <c r="G209" s="145">
        <f t="shared" si="48"/>
        <v>63.414195867026059</v>
      </c>
      <c r="H209" s="66">
        <f>H221</f>
        <v>11503597.594703551</v>
      </c>
      <c r="I209" s="31">
        <f ca="1">SUM(I199:I208)</f>
        <v>4158266</v>
      </c>
      <c r="J209" s="31">
        <f>SUM(J199:J208)</f>
        <v>4355111</v>
      </c>
      <c r="K209" s="145">
        <f t="shared" ca="1" si="49"/>
        <v>4.7338241468919975</v>
      </c>
      <c r="L209" s="145">
        <f t="shared" si="50"/>
        <v>37.858686938120691</v>
      </c>
      <c r="M209" s="31">
        <f ca="1">SUM(M199:M208)</f>
        <v>252933</v>
      </c>
      <c r="N209" s="31">
        <f>SUM(N199:N208)</f>
        <v>266815</v>
      </c>
      <c r="O209" s="145">
        <f t="shared" ca="1" si="51"/>
        <v>5.4884099741828862</v>
      </c>
      <c r="P209" s="67"/>
      <c r="Q209" s="13"/>
    </row>
    <row r="210" spans="1:17" s="8" customFormat="1" ht="9" customHeight="1" x14ac:dyDescent="0.25">
      <c r="A210" s="42"/>
      <c r="B210" s="57"/>
      <c r="C210" s="42"/>
      <c r="D210" s="42"/>
      <c r="E210" s="134"/>
      <c r="F210" s="142"/>
      <c r="G210" s="142"/>
      <c r="H210" s="42"/>
      <c r="I210" s="42"/>
      <c r="J210" s="42"/>
      <c r="K210" s="42"/>
      <c r="L210" s="42"/>
      <c r="M210" s="42"/>
      <c r="N210" s="42"/>
      <c r="O210" s="42"/>
      <c r="P210" s="108"/>
    </row>
    <row r="211" spans="1:17" ht="18" customHeight="1" thickBot="1" x14ac:dyDescent="0.35">
      <c r="A211" s="109" t="s">
        <v>228</v>
      </c>
      <c r="B211" s="15"/>
      <c r="C211" s="71"/>
      <c r="D211" s="71"/>
      <c r="E211" s="33"/>
      <c r="F211" s="139"/>
      <c r="G211" s="139"/>
      <c r="H211" s="71"/>
      <c r="I211" s="71"/>
      <c r="J211" s="71"/>
      <c r="K211" s="71"/>
      <c r="L211" s="71"/>
      <c r="M211" s="71"/>
      <c r="N211" s="71"/>
      <c r="O211" s="71"/>
      <c r="P211" s="16"/>
    </row>
    <row r="212" spans="1:17" ht="69" x14ac:dyDescent="0.25">
      <c r="A212" s="111" t="s">
        <v>290</v>
      </c>
      <c r="B212" s="124" t="s">
        <v>230</v>
      </c>
      <c r="C212" s="62"/>
      <c r="D212" s="62"/>
      <c r="E212" s="133"/>
      <c r="F212" s="143"/>
      <c r="G212" s="143"/>
      <c r="H212" s="62"/>
      <c r="I212" s="62"/>
      <c r="J212" s="62"/>
      <c r="K212" s="62"/>
      <c r="L212" s="62"/>
      <c r="M212" s="62"/>
      <c r="N212" s="64"/>
      <c r="O212" s="64"/>
      <c r="P212" s="125" t="s">
        <v>291</v>
      </c>
      <c r="Q212" s="1" t="s">
        <v>184</v>
      </c>
    </row>
    <row r="213" spans="1:17" x14ac:dyDescent="0.25">
      <c r="A213" s="24">
        <f>A7</f>
        <v>1</v>
      </c>
      <c r="B213" s="40" t="s">
        <v>257</v>
      </c>
      <c r="C213" s="26">
        <f t="shared" ref="C213:N213" si="52">C7</f>
        <v>12</v>
      </c>
      <c r="D213" s="26">
        <f t="shared" si="52"/>
        <v>12</v>
      </c>
      <c r="E213" s="26">
        <f t="shared" si="52"/>
        <v>12</v>
      </c>
      <c r="F213" s="138">
        <f t="shared" ref="F213:F221" si="53">(E213-D213)/D213%</f>
        <v>0</v>
      </c>
      <c r="G213" s="138">
        <f t="shared" ref="G213:G221" si="54">E213/C213%</f>
        <v>100</v>
      </c>
      <c r="H213" s="26">
        <f t="shared" si="52"/>
        <v>43884</v>
      </c>
      <c r="I213" s="26">
        <f t="shared" si="52"/>
        <v>13848</v>
      </c>
      <c r="J213" s="26">
        <f t="shared" si="52"/>
        <v>14029</v>
      </c>
      <c r="K213" s="138">
        <f t="shared" ref="K213:K221" si="55">(J213-I213)/I213%</f>
        <v>1.3070479491623339</v>
      </c>
      <c r="L213" s="138">
        <f t="shared" ref="L213:L221" si="56">J213/H213%</f>
        <v>31.968371160331785</v>
      </c>
      <c r="M213" s="26">
        <f t="shared" si="52"/>
        <v>896</v>
      </c>
      <c r="N213" s="26">
        <f t="shared" si="52"/>
        <v>908</v>
      </c>
      <c r="O213" s="138">
        <f t="shared" ref="O213:O221" si="57">(N213-M213)/M213%</f>
        <v>1.3392857142857142</v>
      </c>
      <c r="P213" s="107">
        <f>A7</f>
        <v>1</v>
      </c>
    </row>
    <row r="214" spans="1:17" x14ac:dyDescent="0.25">
      <c r="A214" s="24">
        <f>A40</f>
        <v>18</v>
      </c>
      <c r="B214" s="40" t="s">
        <v>185</v>
      </c>
      <c r="C214" s="26">
        <f t="shared" ref="C214" si="58">C40</f>
        <v>547</v>
      </c>
      <c r="D214" s="26">
        <f t="shared" ref="D214:E214" si="59">D40</f>
        <v>245</v>
      </c>
      <c r="E214" s="26">
        <f t="shared" si="59"/>
        <v>266</v>
      </c>
      <c r="F214" s="138">
        <f t="shared" si="53"/>
        <v>8.5714285714285712</v>
      </c>
      <c r="G214" s="138">
        <f t="shared" si="54"/>
        <v>48.628884826325411</v>
      </c>
      <c r="H214" s="26">
        <f t="shared" ref="H214:I214" si="60">H40</f>
        <v>523953.125</v>
      </c>
      <c r="I214" s="26">
        <f t="shared" si="60"/>
        <v>225065</v>
      </c>
      <c r="J214" s="26">
        <f t="shared" ref="J214" si="61">J40</f>
        <v>235141</v>
      </c>
      <c r="K214" s="138">
        <f t="shared" si="55"/>
        <v>4.4769288872103612</v>
      </c>
      <c r="L214" s="138">
        <f t="shared" si="56"/>
        <v>44.878251274863565</v>
      </c>
      <c r="M214" s="26">
        <f t="shared" ref="M214:N214" si="62">M40</f>
        <v>12973</v>
      </c>
      <c r="N214" s="26">
        <f t="shared" si="62"/>
        <v>13545</v>
      </c>
      <c r="O214" s="138">
        <f t="shared" si="57"/>
        <v>4.4091574809219152</v>
      </c>
      <c r="P214" s="106">
        <f>A39</f>
        <v>30</v>
      </c>
    </row>
    <row r="215" spans="1:17" x14ac:dyDescent="0.25">
      <c r="A215" s="24">
        <f>A74</f>
        <v>19</v>
      </c>
      <c r="B215" s="40" t="s">
        <v>258</v>
      </c>
      <c r="C215" s="26">
        <f t="shared" ref="C215" si="63">C74</f>
        <v>961</v>
      </c>
      <c r="D215" s="26">
        <f t="shared" ref="D215:E215" si="64">D74</f>
        <v>524</v>
      </c>
      <c r="E215" s="26">
        <f t="shared" si="64"/>
        <v>524</v>
      </c>
      <c r="F215" s="138">
        <f t="shared" si="53"/>
        <v>0</v>
      </c>
      <c r="G215" s="138">
        <f t="shared" si="54"/>
        <v>54.526534859521334</v>
      </c>
      <c r="H215" s="26">
        <f t="shared" ref="H215:I215" si="65">H74</f>
        <v>1580629</v>
      </c>
      <c r="I215" s="26">
        <f t="shared" si="65"/>
        <v>646388</v>
      </c>
      <c r="J215" s="26">
        <f t="shared" ref="J215" si="66">J74</f>
        <v>655498</v>
      </c>
      <c r="K215" s="138">
        <f t="shared" si="55"/>
        <v>1.4093702234571186</v>
      </c>
      <c r="L215" s="138">
        <f t="shared" si="56"/>
        <v>41.470705649459802</v>
      </c>
      <c r="M215" s="26">
        <f t="shared" ref="M215:N215" si="67">M74</f>
        <v>28706</v>
      </c>
      <c r="N215" s="26">
        <f t="shared" si="67"/>
        <v>29321</v>
      </c>
      <c r="O215" s="138">
        <f t="shared" si="57"/>
        <v>2.1424092524210967</v>
      </c>
      <c r="P215" s="107">
        <f>A73</f>
        <v>24</v>
      </c>
    </row>
    <row r="216" spans="1:17" x14ac:dyDescent="0.25">
      <c r="A216" s="24">
        <f>A100</f>
        <v>22</v>
      </c>
      <c r="B216" s="40" t="s">
        <v>186</v>
      </c>
      <c r="C216" s="26">
        <f t="shared" ref="C216" si="68">C100</f>
        <v>921</v>
      </c>
      <c r="D216" s="26">
        <f t="shared" ref="D216:E216" si="69">D100</f>
        <v>602</v>
      </c>
      <c r="E216" s="26">
        <f t="shared" si="69"/>
        <v>613</v>
      </c>
      <c r="F216" s="138">
        <f t="shared" si="53"/>
        <v>1.8272425249169437</v>
      </c>
      <c r="G216" s="138">
        <f t="shared" si="54"/>
        <v>66.558089033659058</v>
      </c>
      <c r="H216" s="26">
        <f t="shared" ref="H216:I216" si="70">H100</f>
        <v>2816903.1255411254</v>
      </c>
      <c r="I216" s="26">
        <f t="shared" si="70"/>
        <v>857034</v>
      </c>
      <c r="J216" s="26">
        <f t="shared" ref="J216" si="71">J100</f>
        <v>909046</v>
      </c>
      <c r="K216" s="138">
        <f t="shared" si="55"/>
        <v>6.068837409017612</v>
      </c>
      <c r="L216" s="138">
        <f t="shared" si="56"/>
        <v>32.271113328591049</v>
      </c>
      <c r="M216" s="26">
        <f t="shared" ref="M216:N216" si="72">M100</f>
        <v>51823</v>
      </c>
      <c r="N216" s="26">
        <f t="shared" si="72"/>
        <v>56658</v>
      </c>
      <c r="O216" s="138">
        <f t="shared" si="57"/>
        <v>9.3298342434826225</v>
      </c>
      <c r="P216" s="107">
        <f>A99</f>
        <v>23</v>
      </c>
    </row>
    <row r="217" spans="1:17" x14ac:dyDescent="0.25">
      <c r="A217" s="24">
        <f>A149</f>
        <v>36</v>
      </c>
      <c r="B217" s="40" t="s">
        <v>187</v>
      </c>
      <c r="C217" s="26">
        <f t="shared" ref="C217" si="73">C149</f>
        <v>2635</v>
      </c>
      <c r="D217" s="26">
        <f t="shared" ref="D217:E217" si="74">D149</f>
        <v>1827</v>
      </c>
      <c r="E217" s="26">
        <f t="shared" si="74"/>
        <v>1835</v>
      </c>
      <c r="F217" s="138">
        <f t="shared" si="53"/>
        <v>0.43787629994526545</v>
      </c>
      <c r="G217" s="138">
        <f t="shared" si="54"/>
        <v>69.639468690702088</v>
      </c>
      <c r="H217" s="26">
        <f t="shared" ref="H217:I217" si="75">H149</f>
        <v>5982197.8585411254</v>
      </c>
      <c r="I217" s="26">
        <f t="shared" si="75"/>
        <v>2104071</v>
      </c>
      <c r="J217" s="26">
        <f t="shared" ref="J217" si="76">J149</f>
        <v>2225694</v>
      </c>
      <c r="K217" s="138">
        <f t="shared" si="55"/>
        <v>5.7803657766301617</v>
      </c>
      <c r="L217" s="138">
        <f t="shared" si="56"/>
        <v>37.205288969542352</v>
      </c>
      <c r="M217" s="26">
        <f t="shared" ref="M217:N217" si="77">M149</f>
        <v>143260</v>
      </c>
      <c r="N217" s="26">
        <f t="shared" si="77"/>
        <v>150933</v>
      </c>
      <c r="O217" s="138">
        <f t="shared" si="57"/>
        <v>5.3559960910233144</v>
      </c>
      <c r="P217" s="107">
        <f>A148</f>
        <v>36</v>
      </c>
    </row>
    <row r="218" spans="1:17" x14ac:dyDescent="0.25">
      <c r="A218" s="24">
        <f>A167</f>
        <v>10</v>
      </c>
      <c r="B218" s="40" t="s">
        <v>259</v>
      </c>
      <c r="C218" s="26">
        <f t="shared" ref="C218" si="78">C167</f>
        <v>196</v>
      </c>
      <c r="D218" s="26">
        <f t="shared" ref="D218:E218" si="79">D167</f>
        <v>179</v>
      </c>
      <c r="E218" s="26">
        <f t="shared" si="79"/>
        <v>179</v>
      </c>
      <c r="F218" s="138">
        <f t="shared" si="53"/>
        <v>0</v>
      </c>
      <c r="G218" s="138">
        <f t="shared" si="54"/>
        <v>91.326530612244895</v>
      </c>
      <c r="H218" s="26">
        <f t="shared" ref="H218:I218" si="80">H167</f>
        <v>398969.65165781637</v>
      </c>
      <c r="I218" s="26">
        <f t="shared" si="80"/>
        <v>230231</v>
      </c>
      <c r="J218" s="26">
        <f t="shared" ref="J218" si="81">J167</f>
        <v>234074</v>
      </c>
      <c r="K218" s="138">
        <f t="shared" si="55"/>
        <v>1.6691931147412815</v>
      </c>
      <c r="L218" s="138">
        <f t="shared" si="56"/>
        <v>58.66962537811218</v>
      </c>
      <c r="M218" s="26">
        <f t="shared" ref="M218:N218" si="82">M167</f>
        <v>11770</v>
      </c>
      <c r="N218" s="26">
        <f t="shared" si="82"/>
        <v>11945</v>
      </c>
      <c r="O218" s="138">
        <f t="shared" si="57"/>
        <v>1.4868309260832624</v>
      </c>
      <c r="P218" s="107">
        <f>A166</f>
        <v>10</v>
      </c>
    </row>
    <row r="219" spans="1:17" x14ac:dyDescent="0.25">
      <c r="A219" s="24">
        <f>A177</f>
        <v>6</v>
      </c>
      <c r="B219" s="40" t="s">
        <v>260</v>
      </c>
      <c r="C219" s="26">
        <f t="shared" ref="C219" si="83">C177</f>
        <v>103</v>
      </c>
      <c r="D219" s="26">
        <f t="shared" ref="D219:E219" si="84">D177</f>
        <v>94</v>
      </c>
      <c r="E219" s="26">
        <f t="shared" si="84"/>
        <v>94</v>
      </c>
      <c r="F219" s="138">
        <f t="shared" si="53"/>
        <v>0</v>
      </c>
      <c r="G219" s="138">
        <f t="shared" si="54"/>
        <v>91.262135922330089</v>
      </c>
      <c r="H219" s="26">
        <f t="shared" ref="H219:I219" si="85">H177</f>
        <v>108649.83396348439</v>
      </c>
      <c r="I219" s="26">
        <f t="shared" si="85"/>
        <v>75781</v>
      </c>
      <c r="J219" s="26">
        <f t="shared" ref="J219" si="86">J177</f>
        <v>75781</v>
      </c>
      <c r="K219" s="138">
        <f t="shared" si="55"/>
        <v>0</v>
      </c>
      <c r="L219" s="138">
        <f t="shared" si="56"/>
        <v>69.747920669136846</v>
      </c>
      <c r="M219" s="26">
        <f t="shared" ref="M219:N219" si="87">M177</f>
        <v>3282</v>
      </c>
      <c r="N219" s="26">
        <f t="shared" si="87"/>
        <v>3282</v>
      </c>
      <c r="O219" s="138">
        <f t="shared" si="57"/>
        <v>0</v>
      </c>
      <c r="P219" s="107">
        <f>A176</f>
        <v>7</v>
      </c>
    </row>
    <row r="220" spans="1:17" x14ac:dyDescent="0.25">
      <c r="A220" s="24">
        <f>A193</f>
        <v>2</v>
      </c>
      <c r="B220" s="40" t="s">
        <v>261</v>
      </c>
      <c r="C220" s="26">
        <f t="shared" ref="C220" si="88">C193</f>
        <v>190</v>
      </c>
      <c r="D220" s="26">
        <f t="shared" ref="D220:E220" si="89">D193</f>
        <v>6</v>
      </c>
      <c r="E220" s="26">
        <f t="shared" si="89"/>
        <v>6</v>
      </c>
      <c r="F220" s="138">
        <f t="shared" si="53"/>
        <v>0</v>
      </c>
      <c r="G220" s="138">
        <f t="shared" si="54"/>
        <v>3.1578947368421053</v>
      </c>
      <c r="H220" s="26">
        <f t="shared" ref="H220:I220" si="90">H193</f>
        <v>48411</v>
      </c>
      <c r="I220" s="26">
        <f t="shared" si="90"/>
        <v>5848</v>
      </c>
      <c r="J220" s="26">
        <f t="shared" ref="J220" si="91">J193</f>
        <v>5848</v>
      </c>
      <c r="K220" s="138">
        <f t="shared" si="55"/>
        <v>0</v>
      </c>
      <c r="L220" s="138">
        <f t="shared" si="56"/>
        <v>12.079899196463613</v>
      </c>
      <c r="M220" s="26">
        <f t="shared" ref="M220:N220" si="92">M193</f>
        <v>223</v>
      </c>
      <c r="N220" s="26">
        <f t="shared" si="92"/>
        <v>223</v>
      </c>
      <c r="O220" s="138">
        <f t="shared" si="57"/>
        <v>0</v>
      </c>
      <c r="P220" s="107">
        <f>A192</f>
        <v>13</v>
      </c>
    </row>
    <row r="221" spans="1:17" s="5" customFormat="1" ht="14.4" thickBot="1" x14ac:dyDescent="0.3">
      <c r="A221" s="29">
        <f>SUM(A213:A220)</f>
        <v>114</v>
      </c>
      <c r="B221" s="69" t="s">
        <v>241</v>
      </c>
      <c r="C221" s="31">
        <f t="shared" ref="C221:P221" si="93">SUM(C213:C220)</f>
        <v>5565</v>
      </c>
      <c r="D221" s="31">
        <f t="shared" si="93"/>
        <v>3489</v>
      </c>
      <c r="E221" s="31">
        <f t="shared" si="93"/>
        <v>3529</v>
      </c>
      <c r="F221" s="145">
        <f t="shared" si="53"/>
        <v>1.1464603038119805</v>
      </c>
      <c r="G221" s="145">
        <f t="shared" si="54"/>
        <v>63.414195867026059</v>
      </c>
      <c r="H221" s="31">
        <f t="shared" si="93"/>
        <v>11503597.594703551</v>
      </c>
      <c r="I221" s="31">
        <f t="shared" si="93"/>
        <v>4158266</v>
      </c>
      <c r="J221" s="31">
        <f t="shared" si="93"/>
        <v>4355111</v>
      </c>
      <c r="K221" s="145">
        <f t="shared" si="55"/>
        <v>4.7338241468919975</v>
      </c>
      <c r="L221" s="145">
        <f t="shared" si="56"/>
        <v>37.858686938120691</v>
      </c>
      <c r="M221" s="31">
        <f t="shared" si="93"/>
        <v>252933</v>
      </c>
      <c r="N221" s="31">
        <f t="shared" si="93"/>
        <v>266815</v>
      </c>
      <c r="O221" s="145">
        <f t="shared" si="57"/>
        <v>5.4884099741828862</v>
      </c>
      <c r="P221" s="105">
        <f t="shared" si="93"/>
        <v>144</v>
      </c>
    </row>
    <row r="222" spans="1:17" x14ac:dyDescent="0.25">
      <c r="H222" s="12">
        <f>H209-H221</f>
        <v>0</v>
      </c>
      <c r="I222" s="12">
        <f ca="1">I209-I221</f>
        <v>0</v>
      </c>
      <c r="M222" s="12">
        <f ca="1">M209-M221</f>
        <v>0</v>
      </c>
    </row>
    <row r="223" spans="1:17" x14ac:dyDescent="0.25">
      <c r="D223" s="9"/>
      <c r="E223" s="9"/>
      <c r="F223" s="9"/>
      <c r="G223" s="9"/>
      <c r="H223" s="4"/>
    </row>
    <row r="224" spans="1:17" x14ac:dyDescent="0.25">
      <c r="C224" s="9"/>
      <c r="D224" s="9"/>
      <c r="E224" s="9"/>
      <c r="F224" s="9"/>
      <c r="G224" s="9"/>
      <c r="H224" s="4"/>
    </row>
    <row r="225" spans="2:4" x14ac:dyDescent="0.25">
      <c r="B225" s="11"/>
    </row>
    <row r="226" spans="2:4" x14ac:dyDescent="0.25">
      <c r="D226" s="9"/>
    </row>
    <row r="227" spans="2:4" x14ac:dyDescent="0.25">
      <c r="D227" s="9"/>
    </row>
  </sheetData>
  <autoFilter ref="P2:P222"/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53" orientation="landscape" r:id="rId1"/>
  <headerFooter alignWithMargins="0"/>
  <rowBreaks count="6" manualBreakCount="6">
    <brk id="40" max="10" man="1"/>
    <brk id="75" max="10" man="1"/>
    <brk id="100" max="10" man="1"/>
    <brk id="149" max="10" man="1"/>
    <brk id="177" max="10" man="1"/>
    <brk id="19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SheetLayoutView="100" workbookViewId="0">
      <pane xSplit="2" ySplit="3" topLeftCell="F16" activePane="bottomRight" state="frozen"/>
      <selection activeCell="E4" sqref="E4"/>
      <selection pane="topRight" activeCell="E4" sqref="E4"/>
      <selection pane="bottomLeft" activeCell="E4" sqref="E4"/>
      <selection pane="bottomRight" activeCell="O50" sqref="O50"/>
    </sheetView>
  </sheetViews>
  <sheetFormatPr defaultColWidth="9.109375" defaultRowHeight="13.8" x14ac:dyDescent="0.3"/>
  <cols>
    <col min="1" max="1" width="30" style="96" customWidth="1"/>
    <col min="2" max="2" width="21.6640625" style="96" customWidth="1"/>
    <col min="3" max="3" width="12.6640625" style="96" customWidth="1"/>
    <col min="4" max="4" width="10.33203125" style="73" customWidth="1"/>
    <col min="5" max="5" width="16.88671875" style="73" customWidth="1"/>
    <col min="6" max="6" width="22.5546875" style="73" customWidth="1"/>
    <col min="7" max="7" width="11.5546875" style="73" customWidth="1"/>
    <col min="8" max="12" width="10.33203125" style="73" customWidth="1"/>
    <col min="13" max="13" width="12.109375" style="73" bestFit="1" customWidth="1"/>
    <col min="14" max="14" width="10" style="73" bestFit="1" customWidth="1"/>
    <col min="15" max="15" width="13.109375" style="73" bestFit="1" customWidth="1"/>
    <col min="16" max="16384" width="9.109375" style="73"/>
  </cols>
  <sheetData>
    <row r="1" spans="1:15" ht="14.4" thickBot="1" x14ac:dyDescent="0.35">
      <c r="A1" s="97" t="s">
        <v>274</v>
      </c>
      <c r="B1" s="73"/>
      <c r="C1" s="73"/>
      <c r="D1" s="98"/>
      <c r="E1" s="98"/>
      <c r="F1" s="98"/>
      <c r="G1" s="72"/>
      <c r="H1" s="72"/>
      <c r="I1" s="98"/>
      <c r="J1" s="98"/>
      <c r="K1" s="98"/>
      <c r="L1" s="98"/>
    </row>
    <row r="2" spans="1:15" s="99" customFormat="1" x14ac:dyDescent="0.25">
      <c r="A2" s="189" t="s">
        <v>1</v>
      </c>
      <c r="B2" s="190"/>
      <c r="C2" s="153" t="s">
        <v>2</v>
      </c>
      <c r="D2" s="153" t="s">
        <v>3</v>
      </c>
      <c r="E2" s="153" t="s">
        <v>4</v>
      </c>
      <c r="F2" s="153" t="s">
        <v>5</v>
      </c>
      <c r="G2" s="153" t="s">
        <v>6</v>
      </c>
      <c r="H2" s="153" t="s">
        <v>7</v>
      </c>
      <c r="I2" s="153" t="s">
        <v>8</v>
      </c>
      <c r="J2" s="153" t="s">
        <v>9</v>
      </c>
      <c r="K2" s="153" t="s">
        <v>10</v>
      </c>
      <c r="L2" s="153" t="s">
        <v>11</v>
      </c>
      <c r="M2" s="104" t="s">
        <v>19</v>
      </c>
    </row>
    <row r="3" spans="1:15" ht="5.25" customHeight="1" thickBot="1" x14ac:dyDescent="0.35">
      <c r="A3" s="74"/>
      <c r="B3" s="75"/>
      <c r="C3" s="75"/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15" s="76" customFormat="1" x14ac:dyDescent="0.3">
      <c r="A4" s="191" t="s">
        <v>287</v>
      </c>
      <c r="B4" s="192"/>
      <c r="C4" s="101">
        <v>7</v>
      </c>
      <c r="D4" s="101">
        <v>7</v>
      </c>
      <c r="E4" s="101">
        <v>13</v>
      </c>
      <c r="F4" s="101">
        <v>3</v>
      </c>
      <c r="G4" s="101">
        <v>48</v>
      </c>
      <c r="H4" s="101">
        <v>25</v>
      </c>
      <c r="I4" s="101">
        <v>1</v>
      </c>
      <c r="J4" s="101">
        <v>9</v>
      </c>
      <c r="K4" s="101">
        <v>19</v>
      </c>
      <c r="L4" s="101">
        <v>4</v>
      </c>
      <c r="M4" s="101">
        <f>SUM(C4:L4)-22</f>
        <v>114</v>
      </c>
      <c r="N4" s="112"/>
      <c r="O4" s="88"/>
    </row>
    <row r="5" spans="1:15" s="76" customFormat="1" x14ac:dyDescent="0.3">
      <c r="A5" s="193" t="s">
        <v>13</v>
      </c>
      <c r="B5" s="194"/>
      <c r="C5" s="101">
        <v>115</v>
      </c>
      <c r="D5" s="101">
        <v>118</v>
      </c>
      <c r="E5" s="101">
        <v>191</v>
      </c>
      <c r="F5" s="101">
        <v>20</v>
      </c>
      <c r="G5" s="101">
        <v>1806</v>
      </c>
      <c r="H5" s="101">
        <v>833</v>
      </c>
      <c r="I5" s="101">
        <v>11</v>
      </c>
      <c r="J5" s="101">
        <v>286</v>
      </c>
      <c r="K5" s="101">
        <v>424</v>
      </c>
      <c r="L5" s="101">
        <v>112</v>
      </c>
      <c r="M5" s="101">
        <f>SUM(C5:L5)-387</f>
        <v>3529</v>
      </c>
      <c r="N5" s="112"/>
      <c r="O5" s="88"/>
    </row>
    <row r="6" spans="1:15" s="76" customFormat="1" x14ac:dyDescent="0.3">
      <c r="A6" s="193" t="s">
        <v>233</v>
      </c>
      <c r="B6" s="194"/>
      <c r="C6" s="101">
        <v>77929</v>
      </c>
      <c r="D6" s="101">
        <v>108969</v>
      </c>
      <c r="E6" s="101">
        <v>156568</v>
      </c>
      <c r="F6" s="101">
        <v>30501</v>
      </c>
      <c r="G6" s="101">
        <v>1860974</v>
      </c>
      <c r="H6" s="101">
        <v>893737</v>
      </c>
      <c r="I6" s="101">
        <v>10500</v>
      </c>
      <c r="J6" s="101">
        <v>443323</v>
      </c>
      <c r="K6" s="101">
        <v>520475</v>
      </c>
      <c r="L6" s="101">
        <v>252135</v>
      </c>
      <c r="M6" s="101">
        <f t="shared" ref="M6:M58" si="0">SUM(C6:L6)</f>
        <v>4355111</v>
      </c>
      <c r="N6" s="112"/>
      <c r="O6" s="88"/>
    </row>
    <row r="7" spans="1:15" s="76" customFormat="1" x14ac:dyDescent="0.3">
      <c r="A7" s="193" t="s">
        <v>14</v>
      </c>
      <c r="B7" s="194"/>
      <c r="C7" s="101">
        <v>32</v>
      </c>
      <c r="D7" s="101">
        <v>44</v>
      </c>
      <c r="E7" s="101">
        <v>12</v>
      </c>
      <c r="F7" s="101">
        <v>2</v>
      </c>
      <c r="G7" s="101">
        <f>394-C7</f>
        <v>362</v>
      </c>
      <c r="H7" s="101">
        <v>21</v>
      </c>
      <c r="I7" s="101">
        <v>0</v>
      </c>
      <c r="J7" s="101">
        <v>0</v>
      </c>
      <c r="K7" s="101">
        <v>43</v>
      </c>
      <c r="L7" s="101">
        <v>15</v>
      </c>
      <c r="M7" s="101">
        <f t="shared" si="0"/>
        <v>531</v>
      </c>
      <c r="N7" s="112"/>
      <c r="O7" s="88"/>
    </row>
    <row r="8" spans="1:15" s="76" customFormat="1" x14ac:dyDescent="0.3">
      <c r="A8" s="188" t="s">
        <v>15</v>
      </c>
      <c r="B8" s="159" t="s">
        <v>16</v>
      </c>
      <c r="C8" s="101">
        <v>1197</v>
      </c>
      <c r="D8" s="101">
        <v>2018</v>
      </c>
      <c r="E8" s="101">
        <v>2960</v>
      </c>
      <c r="F8" s="101">
        <v>1266</v>
      </c>
      <c r="G8" s="101">
        <v>52117</v>
      </c>
      <c r="H8" s="101">
        <v>20917</v>
      </c>
      <c r="I8" s="101">
        <v>351</v>
      </c>
      <c r="J8" s="101">
        <v>24057</v>
      </c>
      <c r="K8" s="101">
        <v>5446</v>
      </c>
      <c r="L8" s="101">
        <v>7864</v>
      </c>
      <c r="M8" s="101">
        <f t="shared" si="0"/>
        <v>118193</v>
      </c>
      <c r="N8" s="113">
        <f>M8/M11%</f>
        <v>44.297734385248205</v>
      </c>
      <c r="O8" s="88"/>
    </row>
    <row r="9" spans="1:15" s="76" customFormat="1" x14ac:dyDescent="0.3">
      <c r="A9" s="188"/>
      <c r="B9" s="160" t="s">
        <v>17</v>
      </c>
      <c r="C9" s="101">
        <v>1748</v>
      </c>
      <c r="D9" s="101">
        <v>2703</v>
      </c>
      <c r="E9" s="101">
        <v>6632</v>
      </c>
      <c r="F9" s="101">
        <v>1265</v>
      </c>
      <c r="G9" s="101">
        <v>66954</v>
      </c>
      <c r="H9" s="101">
        <v>33191</v>
      </c>
      <c r="I9" s="101">
        <v>367</v>
      </c>
      <c r="J9" s="101">
        <v>3626</v>
      </c>
      <c r="K9" s="101">
        <v>15306</v>
      </c>
      <c r="L9" s="101">
        <v>5674</v>
      </c>
      <c r="M9" s="101">
        <f t="shared" si="0"/>
        <v>137466</v>
      </c>
      <c r="N9" s="112"/>
      <c r="O9" s="88"/>
    </row>
    <row r="10" spans="1:15" s="76" customFormat="1" x14ac:dyDescent="0.3">
      <c r="A10" s="188"/>
      <c r="B10" s="160" t="s">
        <v>18</v>
      </c>
      <c r="C10" s="101">
        <v>834</v>
      </c>
      <c r="D10" s="101">
        <v>0</v>
      </c>
      <c r="E10" s="101">
        <v>52</v>
      </c>
      <c r="F10" s="101">
        <v>0</v>
      </c>
      <c r="G10" s="101">
        <v>7094</v>
      </c>
      <c r="H10" s="101">
        <v>1185</v>
      </c>
      <c r="I10" s="101">
        <v>0</v>
      </c>
      <c r="J10" s="101">
        <v>40</v>
      </c>
      <c r="K10" s="101" t="s">
        <v>273</v>
      </c>
      <c r="L10" s="101">
        <v>1951</v>
      </c>
      <c r="M10" s="101">
        <f t="shared" si="0"/>
        <v>11156</v>
      </c>
      <c r="N10" s="112"/>
      <c r="O10" s="88"/>
    </row>
    <row r="11" spans="1:15" s="76" customFormat="1" x14ac:dyDescent="0.3">
      <c r="A11" s="188"/>
      <c r="B11" s="161" t="s">
        <v>19</v>
      </c>
      <c r="C11" s="136">
        <f>SUM(C8:C10)</f>
        <v>3779</v>
      </c>
      <c r="D11" s="136">
        <f t="shared" ref="D11:M11" si="1">SUM(D8:D10)</f>
        <v>4721</v>
      </c>
      <c r="E11" s="136">
        <f t="shared" si="1"/>
        <v>9644</v>
      </c>
      <c r="F11" s="136">
        <f t="shared" si="1"/>
        <v>2531</v>
      </c>
      <c r="G11" s="136">
        <f t="shared" si="1"/>
        <v>126165</v>
      </c>
      <c r="H11" s="136">
        <f t="shared" si="1"/>
        <v>55293</v>
      </c>
      <c r="I11" s="136">
        <f t="shared" si="1"/>
        <v>718</v>
      </c>
      <c r="J11" s="136">
        <f t="shared" si="1"/>
        <v>27723</v>
      </c>
      <c r="K11" s="136">
        <f t="shared" si="1"/>
        <v>20752</v>
      </c>
      <c r="L11" s="136">
        <f t="shared" si="1"/>
        <v>15489</v>
      </c>
      <c r="M11" s="136">
        <f t="shared" si="1"/>
        <v>266815</v>
      </c>
      <c r="N11" s="112"/>
      <c r="O11" s="88"/>
    </row>
    <row r="12" spans="1:15" s="76" customFormat="1" x14ac:dyDescent="0.3">
      <c r="A12" s="188" t="s">
        <v>20</v>
      </c>
      <c r="B12" s="159" t="s">
        <v>21</v>
      </c>
      <c r="C12" s="101">
        <v>33833</v>
      </c>
      <c r="D12" s="101">
        <v>68007</v>
      </c>
      <c r="E12" s="101">
        <v>48692</v>
      </c>
      <c r="F12" s="101">
        <v>21980</v>
      </c>
      <c r="G12" s="101">
        <v>903098</v>
      </c>
      <c r="H12" s="101">
        <v>369912</v>
      </c>
      <c r="I12" s="101">
        <v>9548</v>
      </c>
      <c r="J12" s="101">
        <v>400031</v>
      </c>
      <c r="K12" s="101">
        <v>139842</v>
      </c>
      <c r="L12" s="101">
        <v>162238</v>
      </c>
      <c r="M12" s="101">
        <f t="shared" si="0"/>
        <v>2157181</v>
      </c>
      <c r="N12" s="178">
        <f>M12/M14%</f>
        <v>46.983946864896005</v>
      </c>
      <c r="O12" s="88"/>
    </row>
    <row r="13" spans="1:15" s="76" customFormat="1" x14ac:dyDescent="0.3">
      <c r="A13" s="188"/>
      <c r="B13" s="160" t="s">
        <v>22</v>
      </c>
      <c r="C13" s="101">
        <v>45042</v>
      </c>
      <c r="D13" s="101">
        <v>108247</v>
      </c>
      <c r="E13" s="101">
        <v>107876</v>
      </c>
      <c r="F13" s="101">
        <v>23908</v>
      </c>
      <c r="G13" s="101">
        <v>957876</v>
      </c>
      <c r="H13" s="101">
        <v>597163</v>
      </c>
      <c r="I13" s="101">
        <v>9859</v>
      </c>
      <c r="J13" s="101">
        <v>65261</v>
      </c>
      <c r="K13" s="101">
        <v>380633</v>
      </c>
      <c r="L13" s="101">
        <v>138269</v>
      </c>
      <c r="M13" s="101">
        <f t="shared" si="0"/>
        <v>2434134</v>
      </c>
      <c r="N13" s="112"/>
      <c r="O13" s="88"/>
    </row>
    <row r="14" spans="1:15" s="76" customFormat="1" x14ac:dyDescent="0.3">
      <c r="A14" s="188"/>
      <c r="B14" s="162" t="s">
        <v>19</v>
      </c>
      <c r="C14" s="136">
        <f>SUM(C12:C13)</f>
        <v>78875</v>
      </c>
      <c r="D14" s="136">
        <f t="shared" ref="D14:M14" si="2">SUM(D12:D13)</f>
        <v>176254</v>
      </c>
      <c r="E14" s="136">
        <f t="shared" si="2"/>
        <v>156568</v>
      </c>
      <c r="F14" s="136">
        <f t="shared" si="2"/>
        <v>45888</v>
      </c>
      <c r="G14" s="136">
        <f t="shared" si="2"/>
        <v>1860974</v>
      </c>
      <c r="H14" s="136">
        <f t="shared" si="2"/>
        <v>967075</v>
      </c>
      <c r="I14" s="136">
        <f t="shared" si="2"/>
        <v>19407</v>
      </c>
      <c r="J14" s="136">
        <f t="shared" si="2"/>
        <v>465292</v>
      </c>
      <c r="K14" s="136">
        <f t="shared" si="2"/>
        <v>520475</v>
      </c>
      <c r="L14" s="136">
        <f t="shared" si="2"/>
        <v>300507</v>
      </c>
      <c r="M14" s="136">
        <f t="shared" si="2"/>
        <v>4591315</v>
      </c>
      <c r="N14" s="178">
        <f>M14/1000000</f>
        <v>4.5913149999999998</v>
      </c>
      <c r="O14" s="88"/>
    </row>
    <row r="15" spans="1:15" s="82" customFormat="1" x14ac:dyDescent="0.3">
      <c r="A15" s="197" t="s">
        <v>297</v>
      </c>
      <c r="B15" s="163" t="s">
        <v>21</v>
      </c>
      <c r="C15" s="154">
        <v>25.509999999999998</v>
      </c>
      <c r="D15" s="154">
        <v>129.43899999999999</v>
      </c>
      <c r="E15" s="154">
        <f>4764169/1000000</f>
        <v>4.7641689999999999</v>
      </c>
      <c r="F15" s="154">
        <v>3.0120900000000002</v>
      </c>
      <c r="G15" s="154">
        <v>188.93906902500001</v>
      </c>
      <c r="H15" s="154">
        <v>48.244453</v>
      </c>
      <c r="I15" s="154">
        <v>0</v>
      </c>
      <c r="J15" s="154">
        <v>35</v>
      </c>
      <c r="K15" s="154">
        <v>34.07</v>
      </c>
      <c r="L15" s="154">
        <v>74.209999999999994</v>
      </c>
      <c r="M15" s="154">
        <f>SUM(C15:L15)</f>
        <v>543.18878102500003</v>
      </c>
      <c r="N15" s="112"/>
      <c r="O15" s="88"/>
    </row>
    <row r="16" spans="1:15" s="82" customFormat="1" x14ac:dyDescent="0.3">
      <c r="A16" s="197"/>
      <c r="B16" s="152" t="s">
        <v>22</v>
      </c>
      <c r="C16" s="154">
        <v>26.02</v>
      </c>
      <c r="D16" s="154">
        <v>371.08199999999994</v>
      </c>
      <c r="E16" s="154">
        <f>7408179/1000000</f>
        <v>7.4081789999999996</v>
      </c>
      <c r="F16" s="154">
        <v>4.3575920000000004</v>
      </c>
      <c r="G16" s="154">
        <v>1079.6677893049998</v>
      </c>
      <c r="H16" s="154">
        <v>75.460959000000003</v>
      </c>
      <c r="I16" s="154">
        <v>0</v>
      </c>
      <c r="J16" s="154">
        <v>19</v>
      </c>
      <c r="K16" s="154">
        <v>90.42</v>
      </c>
      <c r="L16" s="154">
        <v>114.89</v>
      </c>
      <c r="M16" s="154">
        <f t="shared" si="0"/>
        <v>1788.3065193049999</v>
      </c>
      <c r="N16" s="112"/>
      <c r="O16" s="88"/>
    </row>
    <row r="17" spans="1:15" s="82" customFormat="1" x14ac:dyDescent="0.3">
      <c r="A17" s="197"/>
      <c r="B17" s="162" t="s">
        <v>19</v>
      </c>
      <c r="C17" s="156">
        <f t="shared" ref="C17:M17" si="3">SUM(C15:C16)</f>
        <v>51.53</v>
      </c>
      <c r="D17" s="156">
        <f t="shared" si="3"/>
        <v>500.52099999999996</v>
      </c>
      <c r="E17" s="156">
        <f t="shared" si="3"/>
        <v>12.172348</v>
      </c>
      <c r="F17" s="156">
        <f t="shared" si="3"/>
        <v>7.369682000000001</v>
      </c>
      <c r="G17" s="156">
        <f t="shared" si="3"/>
        <v>1268.6068583299998</v>
      </c>
      <c r="H17" s="156">
        <f t="shared" si="3"/>
        <v>123.705412</v>
      </c>
      <c r="I17" s="156">
        <f t="shared" si="3"/>
        <v>0</v>
      </c>
      <c r="J17" s="156">
        <f t="shared" si="3"/>
        <v>54</v>
      </c>
      <c r="K17" s="156">
        <f t="shared" si="3"/>
        <v>124.49000000000001</v>
      </c>
      <c r="L17" s="156">
        <f t="shared" si="3"/>
        <v>189.1</v>
      </c>
      <c r="M17" s="156">
        <f t="shared" si="3"/>
        <v>2331.4953003299997</v>
      </c>
      <c r="N17" s="112"/>
      <c r="O17" s="88"/>
    </row>
    <row r="18" spans="1:15" s="76" customFormat="1" x14ac:dyDescent="0.3">
      <c r="A18" s="188" t="s">
        <v>24</v>
      </c>
      <c r="B18" s="159" t="s">
        <v>21</v>
      </c>
      <c r="C18" s="101">
        <v>9731</v>
      </c>
      <c r="D18" s="101">
        <v>58754</v>
      </c>
      <c r="E18" s="101">
        <v>36909</v>
      </c>
      <c r="F18" s="101">
        <v>9415</v>
      </c>
      <c r="G18" s="101">
        <v>790338</v>
      </c>
      <c r="H18" s="101">
        <v>141817</v>
      </c>
      <c r="I18" s="101">
        <v>4790</v>
      </c>
      <c r="J18" s="101">
        <v>130668</v>
      </c>
      <c r="K18" s="101">
        <v>48815</v>
      </c>
      <c r="L18" s="101">
        <v>58617</v>
      </c>
      <c r="M18" s="101">
        <f t="shared" si="0"/>
        <v>1289854</v>
      </c>
      <c r="N18" s="82">
        <f>M18/1000000</f>
        <v>1.2898540000000001</v>
      </c>
      <c r="O18" s="82">
        <f>M18/M20%</f>
        <v>47.65968170074904</v>
      </c>
    </row>
    <row r="19" spans="1:15" s="76" customFormat="1" x14ac:dyDescent="0.3">
      <c r="A19" s="188"/>
      <c r="B19" s="160" t="s">
        <v>22</v>
      </c>
      <c r="C19" s="101">
        <v>5481</v>
      </c>
      <c r="D19" s="101">
        <v>27804</v>
      </c>
      <c r="E19" s="101">
        <v>88042</v>
      </c>
      <c r="F19" s="101">
        <v>3371</v>
      </c>
      <c r="G19" s="101">
        <v>856248</v>
      </c>
      <c r="H19" s="101">
        <v>288892</v>
      </c>
      <c r="I19" s="101">
        <v>4790</v>
      </c>
      <c r="J19" s="101">
        <v>7811</v>
      </c>
      <c r="K19" s="101">
        <v>58585</v>
      </c>
      <c r="L19" s="101">
        <v>75506</v>
      </c>
      <c r="M19" s="101">
        <f t="shared" si="0"/>
        <v>1416530</v>
      </c>
      <c r="N19" s="112"/>
      <c r="O19" s="88"/>
    </row>
    <row r="20" spans="1:15" s="76" customFormat="1" x14ac:dyDescent="0.3">
      <c r="A20" s="188"/>
      <c r="B20" s="161" t="s">
        <v>19</v>
      </c>
      <c r="C20" s="136">
        <f t="shared" ref="C20:M20" si="4">SUM(C18:C19)</f>
        <v>15212</v>
      </c>
      <c r="D20" s="136">
        <f t="shared" si="4"/>
        <v>86558</v>
      </c>
      <c r="E20" s="136">
        <f t="shared" si="4"/>
        <v>124951</v>
      </c>
      <c r="F20" s="136">
        <f t="shared" si="4"/>
        <v>12786</v>
      </c>
      <c r="G20" s="136">
        <f t="shared" si="4"/>
        <v>1646586</v>
      </c>
      <c r="H20" s="136">
        <f t="shared" si="4"/>
        <v>430709</v>
      </c>
      <c r="I20" s="136">
        <f t="shared" si="4"/>
        <v>9580</v>
      </c>
      <c r="J20" s="136">
        <f t="shared" si="4"/>
        <v>138479</v>
      </c>
      <c r="K20" s="136">
        <f t="shared" si="4"/>
        <v>107400</v>
      </c>
      <c r="L20" s="136">
        <f t="shared" si="4"/>
        <v>134123</v>
      </c>
      <c r="M20" s="136">
        <f t="shared" si="4"/>
        <v>2706384</v>
      </c>
      <c r="N20" s="82">
        <f>M20/1000000</f>
        <v>2.7063839999999999</v>
      </c>
      <c r="O20" s="88"/>
    </row>
    <row r="21" spans="1:15" s="76" customFormat="1" x14ac:dyDescent="0.3">
      <c r="A21" s="199" t="s">
        <v>251</v>
      </c>
      <c r="B21" s="160" t="s">
        <v>248</v>
      </c>
      <c r="C21" s="101">
        <v>6</v>
      </c>
      <c r="D21" s="100">
        <v>12</v>
      </c>
      <c r="E21" s="101">
        <v>2</v>
      </c>
      <c r="F21" s="101">
        <v>1</v>
      </c>
      <c r="G21" s="101">
        <v>194</v>
      </c>
      <c r="H21" s="101">
        <v>1</v>
      </c>
      <c r="I21" s="101">
        <v>0</v>
      </c>
      <c r="J21" s="101">
        <v>0</v>
      </c>
      <c r="K21" s="101" t="s">
        <v>273</v>
      </c>
      <c r="L21" s="101">
        <v>8</v>
      </c>
      <c r="M21" s="101">
        <f t="shared" si="0"/>
        <v>224</v>
      </c>
      <c r="N21" s="112"/>
      <c r="O21" s="88"/>
    </row>
    <row r="22" spans="1:15" s="76" customFormat="1" x14ac:dyDescent="0.3">
      <c r="A22" s="200"/>
      <c r="B22" s="160" t="s">
        <v>249</v>
      </c>
      <c r="C22" s="101">
        <v>0</v>
      </c>
      <c r="D22" s="100">
        <v>0</v>
      </c>
      <c r="E22" s="101">
        <v>0</v>
      </c>
      <c r="F22" s="101">
        <v>1</v>
      </c>
      <c r="G22" s="157">
        <v>1536</v>
      </c>
      <c r="H22" s="101">
        <v>23</v>
      </c>
      <c r="I22" s="101">
        <v>0</v>
      </c>
      <c r="J22" s="101">
        <v>1787</v>
      </c>
      <c r="K22" s="101">
        <v>119</v>
      </c>
      <c r="L22" s="101">
        <v>577</v>
      </c>
      <c r="M22" s="101">
        <f t="shared" si="0"/>
        <v>4043</v>
      </c>
      <c r="N22" s="112"/>
      <c r="O22" s="88"/>
    </row>
    <row r="23" spans="1:15" s="76" customFormat="1" x14ac:dyDescent="0.3">
      <c r="A23" s="200"/>
      <c r="B23" s="160" t="s">
        <v>250</v>
      </c>
      <c r="C23" s="101">
        <v>1094</v>
      </c>
      <c r="D23" s="100">
        <v>2055</v>
      </c>
      <c r="E23" s="101">
        <v>20</v>
      </c>
      <c r="F23" s="101">
        <v>152</v>
      </c>
      <c r="G23" s="101">
        <v>7097</v>
      </c>
      <c r="H23" s="101">
        <v>1115</v>
      </c>
      <c r="I23" s="101">
        <v>0</v>
      </c>
      <c r="J23" s="101">
        <v>49095</v>
      </c>
      <c r="K23" s="101">
        <v>7959</v>
      </c>
      <c r="L23" s="101">
        <v>11723</v>
      </c>
      <c r="M23" s="101">
        <f t="shared" si="0"/>
        <v>80310</v>
      </c>
      <c r="N23" s="112"/>
      <c r="O23" s="88"/>
    </row>
    <row r="24" spans="1:15" s="76" customFormat="1" ht="27.6" x14ac:dyDescent="0.3">
      <c r="A24" s="201"/>
      <c r="B24" s="160" t="s">
        <v>252</v>
      </c>
      <c r="C24" s="154">
        <f>16000000/1000000</f>
        <v>16</v>
      </c>
      <c r="D24" s="158">
        <f>16106083/1000000</f>
        <v>16.106083000000002</v>
      </c>
      <c r="E24" s="154">
        <f>200000/1000000</f>
        <v>0.2</v>
      </c>
      <c r="F24" s="154">
        <v>1.2</v>
      </c>
      <c r="G24" s="154">
        <v>90.320167999999995</v>
      </c>
      <c r="H24" s="154">
        <v>6.5947570000000004</v>
      </c>
      <c r="I24" s="154">
        <v>0</v>
      </c>
      <c r="J24" s="154">
        <v>418.76255900000001</v>
      </c>
      <c r="K24" s="154">
        <v>80</v>
      </c>
      <c r="L24" s="154">
        <v>147.97999999999999</v>
      </c>
      <c r="M24" s="154">
        <f t="shared" si="0"/>
        <v>777.16356700000006</v>
      </c>
      <c r="N24" s="113"/>
      <c r="O24" s="179">
        <f>M24/85</f>
        <v>9.1431007882352944</v>
      </c>
    </row>
    <row r="25" spans="1:15" s="82" customFormat="1" x14ac:dyDescent="0.3">
      <c r="A25" s="198" t="s">
        <v>25</v>
      </c>
      <c r="B25" s="163" t="s">
        <v>21</v>
      </c>
      <c r="C25" s="154">
        <v>40.033000000000001</v>
      </c>
      <c r="D25" s="155">
        <v>195</v>
      </c>
      <c r="E25" s="154">
        <v>9</v>
      </c>
      <c r="F25" s="154">
        <v>203</v>
      </c>
      <c r="G25" s="154">
        <v>17795.216710000001</v>
      </c>
      <c r="H25" s="154">
        <v>2821.548358</v>
      </c>
      <c r="I25" s="154">
        <v>0</v>
      </c>
      <c r="J25" s="154">
        <v>1103</v>
      </c>
      <c r="K25" s="154">
        <v>284</v>
      </c>
      <c r="L25" s="154">
        <v>1298.76</v>
      </c>
      <c r="M25" s="154">
        <f t="shared" si="0"/>
        <v>23749.558067999998</v>
      </c>
      <c r="N25" s="178">
        <f>M25/1000</f>
        <v>23.749558067999999</v>
      </c>
      <c r="O25" s="179">
        <f>M25/85</f>
        <v>279.40656550588233</v>
      </c>
    </row>
    <row r="26" spans="1:15" s="82" customFormat="1" x14ac:dyDescent="0.3">
      <c r="A26" s="198"/>
      <c r="B26" s="152" t="s">
        <v>22</v>
      </c>
      <c r="C26" s="154">
        <v>58</v>
      </c>
      <c r="D26" s="155">
        <v>833</v>
      </c>
      <c r="E26" s="154">
        <v>16</v>
      </c>
      <c r="F26" s="154">
        <v>67.5</v>
      </c>
      <c r="G26" s="154">
        <v>37021.831202000001</v>
      </c>
      <c r="H26" s="154">
        <v>4410.4800939999996</v>
      </c>
      <c r="I26" s="154">
        <v>0</v>
      </c>
      <c r="J26" s="154">
        <v>514</v>
      </c>
      <c r="K26" s="154">
        <v>326</v>
      </c>
      <c r="L26" s="154">
        <v>1796.6780000000001</v>
      </c>
      <c r="M26" s="154">
        <f t="shared" si="0"/>
        <v>45043.489296</v>
      </c>
      <c r="N26" s="112"/>
      <c r="O26" s="179"/>
    </row>
    <row r="27" spans="1:15" s="82" customFormat="1" x14ac:dyDescent="0.3">
      <c r="A27" s="198"/>
      <c r="B27" s="164" t="s">
        <v>19</v>
      </c>
      <c r="C27" s="156">
        <f t="shared" ref="C27:M27" si="5">SUM(C25:C26)</f>
        <v>98.033000000000001</v>
      </c>
      <c r="D27" s="156">
        <f t="shared" si="5"/>
        <v>1028</v>
      </c>
      <c r="E27" s="156">
        <f t="shared" si="5"/>
        <v>25</v>
      </c>
      <c r="F27" s="156">
        <f t="shared" si="5"/>
        <v>270.5</v>
      </c>
      <c r="G27" s="156">
        <f t="shared" si="5"/>
        <v>54817.047912000002</v>
      </c>
      <c r="H27" s="156">
        <f t="shared" si="5"/>
        <v>7232.0284519999996</v>
      </c>
      <c r="I27" s="156">
        <f t="shared" si="5"/>
        <v>0</v>
      </c>
      <c r="J27" s="156">
        <f t="shared" si="5"/>
        <v>1617</v>
      </c>
      <c r="K27" s="156">
        <f t="shared" si="5"/>
        <v>610</v>
      </c>
      <c r="L27" s="156">
        <f t="shared" si="5"/>
        <v>3095.4380000000001</v>
      </c>
      <c r="M27" s="156">
        <f t="shared" si="5"/>
        <v>68793.047363999998</v>
      </c>
      <c r="N27" s="178">
        <f>M27/1000</f>
        <v>68.793047364000003</v>
      </c>
      <c r="O27" s="179">
        <f>M27/85</f>
        <v>809.32996898823524</v>
      </c>
    </row>
    <row r="28" spans="1:15" s="76" customFormat="1" x14ac:dyDescent="0.3">
      <c r="A28" s="188" t="s">
        <v>26</v>
      </c>
      <c r="B28" s="159" t="s">
        <v>21</v>
      </c>
      <c r="C28" s="101">
        <v>1837</v>
      </c>
      <c r="D28" s="100">
        <v>74813.440000000002</v>
      </c>
      <c r="E28" s="101">
        <v>1156</v>
      </c>
      <c r="F28" s="101">
        <v>13265</v>
      </c>
      <c r="G28" s="101">
        <v>1347696</v>
      </c>
      <c r="H28" s="101">
        <v>224792</v>
      </c>
      <c r="I28" s="101">
        <v>0</v>
      </c>
      <c r="J28" s="101">
        <v>81573</v>
      </c>
      <c r="K28" s="101">
        <v>26863</v>
      </c>
      <c r="L28" s="101">
        <v>107822</v>
      </c>
      <c r="M28" s="101">
        <f t="shared" si="0"/>
        <v>1879817.44</v>
      </c>
      <c r="N28" s="178">
        <f>M28/1000000</f>
        <v>1.8798174399999998</v>
      </c>
      <c r="O28" s="88"/>
    </row>
    <row r="29" spans="1:15" s="76" customFormat="1" x14ac:dyDescent="0.3">
      <c r="A29" s="188"/>
      <c r="B29" s="160" t="s">
        <v>22</v>
      </c>
      <c r="C29" s="101">
        <v>3053</v>
      </c>
      <c r="D29" s="100">
        <v>546310.56000000006</v>
      </c>
      <c r="E29" s="101">
        <v>1600</v>
      </c>
      <c r="F29" s="101">
        <v>6010</v>
      </c>
      <c r="G29" s="101">
        <v>2260846</v>
      </c>
      <c r="H29" s="101">
        <v>339850</v>
      </c>
      <c r="I29" s="101">
        <v>0</v>
      </c>
      <c r="J29" s="101">
        <v>38364</v>
      </c>
      <c r="K29" s="101">
        <v>30347</v>
      </c>
      <c r="L29" s="101">
        <v>112434</v>
      </c>
      <c r="M29" s="101">
        <f t="shared" si="0"/>
        <v>3338814.56</v>
      </c>
      <c r="N29" s="178"/>
      <c r="O29" s="88"/>
    </row>
    <row r="30" spans="1:15" s="76" customFormat="1" x14ac:dyDescent="0.3">
      <c r="A30" s="188"/>
      <c r="B30" s="161" t="s">
        <v>19</v>
      </c>
      <c r="C30" s="136">
        <f t="shared" ref="C30:M30" si="6">SUM(C28:C29)</f>
        <v>4890</v>
      </c>
      <c r="D30" s="136">
        <f t="shared" si="6"/>
        <v>621124</v>
      </c>
      <c r="E30" s="136">
        <f t="shared" si="6"/>
        <v>2756</v>
      </c>
      <c r="F30" s="136">
        <f t="shared" si="6"/>
        <v>19275</v>
      </c>
      <c r="G30" s="136">
        <f t="shared" si="6"/>
        <v>3608542</v>
      </c>
      <c r="H30" s="136">
        <f t="shared" si="6"/>
        <v>564642</v>
      </c>
      <c r="I30" s="136">
        <f t="shared" si="6"/>
        <v>0</v>
      </c>
      <c r="J30" s="136">
        <f t="shared" si="6"/>
        <v>119937</v>
      </c>
      <c r="K30" s="136">
        <f t="shared" si="6"/>
        <v>57210</v>
      </c>
      <c r="L30" s="136">
        <f t="shared" si="6"/>
        <v>220256</v>
      </c>
      <c r="M30" s="136">
        <f t="shared" si="6"/>
        <v>5218632</v>
      </c>
      <c r="N30" s="178">
        <f>M30/1000000</f>
        <v>5.2186320000000004</v>
      </c>
      <c r="O30" s="88"/>
    </row>
    <row r="31" spans="1:15" s="76" customFormat="1" hidden="1" x14ac:dyDescent="0.3">
      <c r="A31" s="188" t="s">
        <v>27</v>
      </c>
      <c r="B31" s="159" t="s">
        <v>21</v>
      </c>
      <c r="C31" s="101">
        <v>0</v>
      </c>
      <c r="D31" s="100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f t="shared" si="0"/>
        <v>0</v>
      </c>
      <c r="N31" s="112"/>
      <c r="O31" s="88"/>
    </row>
    <row r="32" spans="1:15" s="76" customFormat="1" hidden="1" x14ac:dyDescent="0.3">
      <c r="A32" s="188"/>
      <c r="B32" s="160" t="s">
        <v>22</v>
      </c>
      <c r="C32" s="101">
        <v>0</v>
      </c>
      <c r="D32" s="100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f t="shared" si="0"/>
        <v>0</v>
      </c>
      <c r="N32" s="112"/>
      <c r="O32" s="88"/>
    </row>
    <row r="33" spans="1:15" s="76" customFormat="1" hidden="1" x14ac:dyDescent="0.3">
      <c r="A33" s="188"/>
      <c r="B33" s="165" t="s">
        <v>19</v>
      </c>
      <c r="C33" s="101">
        <v>0</v>
      </c>
      <c r="D33" s="100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f t="shared" si="0"/>
        <v>0</v>
      </c>
      <c r="N33" s="112"/>
      <c r="O33" s="88"/>
    </row>
    <row r="34" spans="1:15" s="82" customFormat="1" hidden="1" x14ac:dyDescent="0.3">
      <c r="A34" s="202" t="s">
        <v>28</v>
      </c>
      <c r="B34" s="163" t="s">
        <v>21</v>
      </c>
      <c r="C34" s="101">
        <v>0</v>
      </c>
      <c r="D34" s="100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f t="shared" si="0"/>
        <v>0</v>
      </c>
      <c r="N34" s="112"/>
      <c r="O34" s="88"/>
    </row>
    <row r="35" spans="1:15" s="82" customFormat="1" hidden="1" x14ac:dyDescent="0.3">
      <c r="A35" s="202"/>
      <c r="B35" s="152" t="s">
        <v>22</v>
      </c>
      <c r="C35" s="101">
        <v>0</v>
      </c>
      <c r="D35" s="100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f t="shared" si="0"/>
        <v>0</v>
      </c>
      <c r="N35" s="112"/>
      <c r="O35" s="88"/>
    </row>
    <row r="36" spans="1:15" s="82" customFormat="1" hidden="1" x14ac:dyDescent="0.3">
      <c r="A36" s="202"/>
      <c r="B36" s="166" t="s">
        <v>19</v>
      </c>
      <c r="C36" s="101">
        <v>0</v>
      </c>
      <c r="D36" s="100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f t="shared" si="0"/>
        <v>0</v>
      </c>
      <c r="N36" s="112"/>
      <c r="O36" s="88"/>
    </row>
    <row r="37" spans="1:15" s="88" customFormat="1" hidden="1" x14ac:dyDescent="0.3">
      <c r="A37" s="203" t="s">
        <v>29</v>
      </c>
      <c r="B37" s="167" t="s">
        <v>21</v>
      </c>
      <c r="C37" s="101">
        <v>0</v>
      </c>
      <c r="D37" s="100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f t="shared" si="0"/>
        <v>0</v>
      </c>
      <c r="N37" s="112"/>
    </row>
    <row r="38" spans="1:15" s="88" customFormat="1" hidden="1" x14ac:dyDescent="0.3">
      <c r="A38" s="203"/>
      <c r="B38" s="101" t="s">
        <v>22</v>
      </c>
      <c r="C38" s="101">
        <v>0</v>
      </c>
      <c r="D38" s="100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f t="shared" si="0"/>
        <v>0</v>
      </c>
      <c r="N38" s="112"/>
    </row>
    <row r="39" spans="1:15" s="88" customFormat="1" hidden="1" x14ac:dyDescent="0.3">
      <c r="A39" s="203"/>
      <c r="B39" s="168" t="s">
        <v>19</v>
      </c>
      <c r="C39" s="101">
        <v>0</v>
      </c>
      <c r="D39" s="100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f t="shared" si="0"/>
        <v>0</v>
      </c>
      <c r="N39" s="112"/>
    </row>
    <row r="40" spans="1:15" s="88" customFormat="1" x14ac:dyDescent="0.3">
      <c r="A40" s="198" t="s">
        <v>253</v>
      </c>
      <c r="B40" s="159" t="s">
        <v>21</v>
      </c>
      <c r="C40" s="101">
        <v>0</v>
      </c>
      <c r="D40" s="100">
        <v>0</v>
      </c>
      <c r="E40" s="101">
        <v>0</v>
      </c>
      <c r="F40" s="101">
        <v>10167</v>
      </c>
      <c r="G40" s="101">
        <v>487578</v>
      </c>
      <c r="H40" s="101">
        <v>0</v>
      </c>
      <c r="I40" s="101">
        <v>0</v>
      </c>
      <c r="J40" s="101">
        <v>143062</v>
      </c>
      <c r="K40" s="101">
        <v>5834</v>
      </c>
      <c r="L40" s="101">
        <v>56711</v>
      </c>
      <c r="M40" s="101">
        <f t="shared" si="0"/>
        <v>703352</v>
      </c>
    </row>
    <row r="41" spans="1:15" s="88" customFormat="1" x14ac:dyDescent="0.3">
      <c r="A41" s="198"/>
      <c r="B41" s="160" t="s">
        <v>22</v>
      </c>
      <c r="C41" s="101">
        <v>0</v>
      </c>
      <c r="D41" s="100">
        <v>0</v>
      </c>
      <c r="E41" s="101">
        <v>0</v>
      </c>
      <c r="F41" s="101">
        <v>5833</v>
      </c>
      <c r="G41" s="101">
        <v>1681957</v>
      </c>
      <c r="H41" s="101">
        <v>0</v>
      </c>
      <c r="I41" s="101">
        <v>0</v>
      </c>
      <c r="J41" s="101">
        <v>30698</v>
      </c>
      <c r="K41" s="101">
        <v>21566</v>
      </c>
      <c r="L41" s="101">
        <v>63830</v>
      </c>
      <c r="M41" s="101">
        <f t="shared" si="0"/>
        <v>1803884</v>
      </c>
    </row>
    <row r="42" spans="1:15" s="88" customFormat="1" x14ac:dyDescent="0.3">
      <c r="A42" s="198"/>
      <c r="B42" s="161" t="s">
        <v>19</v>
      </c>
      <c r="C42" s="136">
        <f t="shared" ref="C42:M42" si="7">SUM(C40:C41)</f>
        <v>0</v>
      </c>
      <c r="D42" s="136">
        <f t="shared" si="7"/>
        <v>0</v>
      </c>
      <c r="E42" s="136">
        <f t="shared" si="7"/>
        <v>0</v>
      </c>
      <c r="F42" s="136">
        <f t="shared" si="7"/>
        <v>16000</v>
      </c>
      <c r="G42" s="136">
        <f t="shared" si="7"/>
        <v>2169535</v>
      </c>
      <c r="H42" s="136">
        <f t="shared" si="7"/>
        <v>0</v>
      </c>
      <c r="I42" s="136">
        <f t="shared" si="7"/>
        <v>0</v>
      </c>
      <c r="J42" s="136">
        <f t="shared" si="7"/>
        <v>173760</v>
      </c>
      <c r="K42" s="136">
        <f t="shared" si="7"/>
        <v>27400</v>
      </c>
      <c r="L42" s="136">
        <f t="shared" si="7"/>
        <v>120541</v>
      </c>
      <c r="M42" s="136">
        <f t="shared" si="7"/>
        <v>2507236</v>
      </c>
      <c r="N42" s="82">
        <f>M42/1000000</f>
        <v>2.5072359999999998</v>
      </c>
    </row>
    <row r="43" spans="1:15" s="76" customFormat="1" ht="13.2" customHeight="1" x14ac:dyDescent="0.3">
      <c r="A43" s="204" t="s">
        <v>254</v>
      </c>
      <c r="B43" s="160" t="s">
        <v>21</v>
      </c>
      <c r="C43" s="101">
        <v>0</v>
      </c>
      <c r="D43" s="100"/>
      <c r="E43" s="101">
        <v>0</v>
      </c>
      <c r="F43" s="101">
        <v>10167</v>
      </c>
      <c r="G43" s="101">
        <v>1304939</v>
      </c>
      <c r="H43" s="101">
        <v>0</v>
      </c>
      <c r="I43" s="101">
        <v>0</v>
      </c>
      <c r="J43" s="101">
        <v>295840</v>
      </c>
      <c r="K43" s="101">
        <v>5834</v>
      </c>
      <c r="L43" s="101">
        <v>61653</v>
      </c>
      <c r="M43" s="101">
        <f t="shared" si="0"/>
        <v>1678433</v>
      </c>
      <c r="N43" s="82">
        <f>M43/1000000</f>
        <v>1.6784330000000001</v>
      </c>
      <c r="O43" s="88"/>
    </row>
    <row r="44" spans="1:15" s="76" customFormat="1" x14ac:dyDescent="0.3">
      <c r="A44" s="204"/>
      <c r="B44" s="160" t="s">
        <v>22</v>
      </c>
      <c r="C44" s="101">
        <v>0</v>
      </c>
      <c r="D44" s="100"/>
      <c r="E44" s="101">
        <v>0</v>
      </c>
      <c r="F44" s="101">
        <v>5833</v>
      </c>
      <c r="G44" s="101">
        <v>2278340</v>
      </c>
      <c r="H44" s="101">
        <v>0</v>
      </c>
      <c r="I44" s="101">
        <v>0</v>
      </c>
      <c r="J44" s="101">
        <v>230751</v>
      </c>
      <c r="K44" s="101">
        <v>21566</v>
      </c>
      <c r="L44" s="101">
        <v>68748</v>
      </c>
      <c r="M44" s="101">
        <f t="shared" si="0"/>
        <v>2605238</v>
      </c>
      <c r="N44" s="112"/>
      <c r="O44" s="88"/>
    </row>
    <row r="45" spans="1:15" s="76" customFormat="1" x14ac:dyDescent="0.3">
      <c r="A45" s="204"/>
      <c r="B45" s="161" t="s">
        <v>19</v>
      </c>
      <c r="C45" s="136">
        <f t="shared" ref="C45:M45" si="8">SUM(C43:C44)</f>
        <v>0</v>
      </c>
      <c r="D45" s="136">
        <f t="shared" si="8"/>
        <v>0</v>
      </c>
      <c r="E45" s="136">
        <f t="shared" si="8"/>
        <v>0</v>
      </c>
      <c r="F45" s="136">
        <f t="shared" si="8"/>
        <v>16000</v>
      </c>
      <c r="G45" s="136">
        <f t="shared" si="8"/>
        <v>3583279</v>
      </c>
      <c r="H45" s="136">
        <f t="shared" si="8"/>
        <v>0</v>
      </c>
      <c r="I45" s="136">
        <f t="shared" si="8"/>
        <v>0</v>
      </c>
      <c r="J45" s="136">
        <f t="shared" si="8"/>
        <v>526591</v>
      </c>
      <c r="K45" s="136">
        <f t="shared" si="8"/>
        <v>27400</v>
      </c>
      <c r="L45" s="136">
        <f t="shared" si="8"/>
        <v>130401</v>
      </c>
      <c r="M45" s="136">
        <f t="shared" si="8"/>
        <v>4283671</v>
      </c>
      <c r="N45" s="82">
        <f>M45/1000000</f>
        <v>4.283671</v>
      </c>
      <c r="O45" s="88"/>
    </row>
    <row r="46" spans="1:15" s="91" customFormat="1" x14ac:dyDescent="0.3">
      <c r="A46" s="195" t="s">
        <v>31</v>
      </c>
      <c r="B46" s="196"/>
      <c r="C46" s="101">
        <v>861</v>
      </c>
      <c r="D46" s="100">
        <v>3576</v>
      </c>
      <c r="E46" s="101">
        <v>949</v>
      </c>
      <c r="F46" s="101">
        <v>458</v>
      </c>
      <c r="G46" s="101">
        <v>24335</v>
      </c>
      <c r="H46" s="101">
        <v>6610</v>
      </c>
      <c r="I46" s="101">
        <v>0</v>
      </c>
      <c r="J46" s="101">
        <v>29764</v>
      </c>
      <c r="K46" s="101">
        <v>6141</v>
      </c>
      <c r="L46" s="101">
        <v>50108</v>
      </c>
      <c r="M46" s="101">
        <f t="shared" si="0"/>
        <v>122802</v>
      </c>
      <c r="N46" s="112"/>
      <c r="O46" s="88"/>
    </row>
    <row r="47" spans="1:15" s="91" customFormat="1" x14ac:dyDescent="0.3">
      <c r="A47" s="195" t="s">
        <v>32</v>
      </c>
      <c r="B47" s="196"/>
      <c r="C47" s="101">
        <v>800</v>
      </c>
      <c r="D47" s="100">
        <v>3576</v>
      </c>
      <c r="E47" s="101">
        <v>937</v>
      </c>
      <c r="F47" s="101">
        <v>458</v>
      </c>
      <c r="G47" s="101">
        <v>22705</v>
      </c>
      <c r="H47" s="101">
        <v>6381</v>
      </c>
      <c r="I47" s="101">
        <v>16</v>
      </c>
      <c r="J47" s="101">
        <v>29774</v>
      </c>
      <c r="K47" s="101">
        <v>5960</v>
      </c>
      <c r="L47" s="101">
        <v>49370</v>
      </c>
      <c r="M47" s="101">
        <f t="shared" si="0"/>
        <v>119977</v>
      </c>
      <c r="N47" s="112"/>
      <c r="O47" s="88"/>
    </row>
    <row r="48" spans="1:15" s="92" customFormat="1" x14ac:dyDescent="0.3">
      <c r="A48" s="195" t="s">
        <v>33</v>
      </c>
      <c r="B48" s="196"/>
      <c r="C48" s="101">
        <v>66930</v>
      </c>
      <c r="D48" s="100">
        <v>284440</v>
      </c>
      <c r="E48" s="101">
        <v>36312</v>
      </c>
      <c r="F48" s="101">
        <v>56974</v>
      </c>
      <c r="G48" s="101">
        <v>998473</v>
      </c>
      <c r="H48" s="101">
        <v>709744</v>
      </c>
      <c r="I48" s="101">
        <v>0</v>
      </c>
      <c r="J48" s="101">
        <v>96823</v>
      </c>
      <c r="K48" s="101">
        <v>1321649</v>
      </c>
      <c r="L48" s="101">
        <v>307861</v>
      </c>
      <c r="M48" s="101">
        <f t="shared" si="0"/>
        <v>3879206</v>
      </c>
      <c r="N48" s="82">
        <f>M48/1000000</f>
        <v>3.8792059999999999</v>
      </c>
      <c r="O48" s="88"/>
    </row>
    <row r="49" spans="1:15" s="93" customFormat="1" x14ac:dyDescent="0.3">
      <c r="A49" s="205" t="s">
        <v>34</v>
      </c>
      <c r="B49" s="206"/>
      <c r="C49" s="154">
        <v>544</v>
      </c>
      <c r="D49" s="155">
        <v>1825.46</v>
      </c>
      <c r="E49" s="154">
        <v>742</v>
      </c>
      <c r="F49" s="154">
        <v>124</v>
      </c>
      <c r="G49" s="154">
        <v>5459.4028470000003</v>
      </c>
      <c r="H49" s="154">
        <v>1675.4444720000001</v>
      </c>
      <c r="I49" s="154">
        <v>20</v>
      </c>
      <c r="J49" s="154">
        <v>1745</v>
      </c>
      <c r="K49" s="154">
        <v>2714</v>
      </c>
      <c r="L49" s="154">
        <v>531</v>
      </c>
      <c r="M49" s="154">
        <f t="shared" si="0"/>
        <v>15380.307319</v>
      </c>
      <c r="N49" s="112"/>
      <c r="O49" s="179">
        <f>M49/85</f>
        <v>180.94479198823529</v>
      </c>
    </row>
    <row r="50" spans="1:15" s="94" customFormat="1" x14ac:dyDescent="0.3">
      <c r="A50" s="207" t="s">
        <v>35</v>
      </c>
      <c r="B50" s="208" t="s">
        <v>36</v>
      </c>
      <c r="C50" s="101">
        <v>0</v>
      </c>
      <c r="D50" s="100">
        <v>867</v>
      </c>
      <c r="E50" s="101">
        <v>50</v>
      </c>
      <c r="F50" s="101">
        <v>12</v>
      </c>
      <c r="G50" s="101">
        <v>504</v>
      </c>
      <c r="H50" s="101">
        <v>277</v>
      </c>
      <c r="I50" s="101">
        <v>17</v>
      </c>
      <c r="J50" s="101">
        <v>2</v>
      </c>
      <c r="K50" s="101">
        <v>73</v>
      </c>
      <c r="L50" s="101">
        <v>110</v>
      </c>
      <c r="M50" s="101">
        <f t="shared" si="0"/>
        <v>1912</v>
      </c>
      <c r="N50" s="112"/>
      <c r="O50" s="88"/>
    </row>
    <row r="51" spans="1:15" s="76" customFormat="1" x14ac:dyDescent="0.3">
      <c r="A51" s="188" t="s">
        <v>37</v>
      </c>
      <c r="B51" s="77" t="s">
        <v>36</v>
      </c>
      <c r="C51" s="101">
        <v>0</v>
      </c>
      <c r="D51" s="100">
        <v>2900</v>
      </c>
      <c r="E51" s="101">
        <v>687</v>
      </c>
      <c r="F51" s="101">
        <v>780</v>
      </c>
      <c r="G51" s="101">
        <v>8041</v>
      </c>
      <c r="H51" s="101">
        <v>8968</v>
      </c>
      <c r="I51" s="101">
        <v>0</v>
      </c>
      <c r="J51" s="101">
        <v>25</v>
      </c>
      <c r="K51" s="101">
        <v>1991</v>
      </c>
      <c r="L51" s="101">
        <v>0</v>
      </c>
      <c r="M51" s="101">
        <f t="shared" si="0"/>
        <v>23392</v>
      </c>
      <c r="N51" s="112"/>
      <c r="O51" s="88"/>
    </row>
    <row r="52" spans="1:15" s="76" customFormat="1" x14ac:dyDescent="0.3">
      <c r="A52" s="188"/>
      <c r="B52" s="78" t="s">
        <v>38</v>
      </c>
      <c r="C52" s="101">
        <v>0</v>
      </c>
      <c r="D52" s="100">
        <v>7375</v>
      </c>
      <c r="E52" s="101">
        <v>655</v>
      </c>
      <c r="F52" s="101">
        <v>608</v>
      </c>
      <c r="G52" s="101">
        <v>8853</v>
      </c>
      <c r="H52" s="101">
        <v>8863</v>
      </c>
      <c r="I52" s="101">
        <v>0</v>
      </c>
      <c r="J52" s="101">
        <v>55</v>
      </c>
      <c r="K52" s="101">
        <v>2470</v>
      </c>
      <c r="L52" s="101">
        <v>0</v>
      </c>
      <c r="M52" s="101">
        <f t="shared" si="0"/>
        <v>28879</v>
      </c>
      <c r="N52" s="112"/>
      <c r="O52" s="88"/>
    </row>
    <row r="53" spans="1:15" s="76" customFormat="1" x14ac:dyDescent="0.3">
      <c r="A53" s="188"/>
      <c r="B53" s="79" t="s">
        <v>19</v>
      </c>
      <c r="C53" s="136">
        <f t="shared" ref="C53:M53" si="9">SUM(C51:C52)</f>
        <v>0</v>
      </c>
      <c r="D53" s="136">
        <f t="shared" si="9"/>
        <v>10275</v>
      </c>
      <c r="E53" s="136">
        <f t="shared" si="9"/>
        <v>1342</v>
      </c>
      <c r="F53" s="136">
        <f t="shared" si="9"/>
        <v>1388</v>
      </c>
      <c r="G53" s="136">
        <f t="shared" si="9"/>
        <v>16894</v>
      </c>
      <c r="H53" s="136">
        <f t="shared" si="9"/>
        <v>17831</v>
      </c>
      <c r="I53" s="136">
        <f t="shared" si="9"/>
        <v>0</v>
      </c>
      <c r="J53" s="136">
        <f t="shared" si="9"/>
        <v>80</v>
      </c>
      <c r="K53" s="136">
        <f t="shared" si="9"/>
        <v>4461</v>
      </c>
      <c r="L53" s="136">
        <f t="shared" si="9"/>
        <v>0</v>
      </c>
      <c r="M53" s="136">
        <f t="shared" si="9"/>
        <v>52271</v>
      </c>
      <c r="N53" s="113">
        <f>M51/M53%</f>
        <v>44.75139178511985</v>
      </c>
      <c r="O53" s="88"/>
    </row>
    <row r="54" spans="1:15" s="76" customFormat="1" x14ac:dyDescent="0.3">
      <c r="A54" s="209" t="s">
        <v>39</v>
      </c>
      <c r="B54" s="77" t="s">
        <v>21</v>
      </c>
      <c r="C54" s="101">
        <v>0</v>
      </c>
      <c r="D54" s="100">
        <v>0</v>
      </c>
      <c r="E54" s="101">
        <v>0</v>
      </c>
      <c r="F54" s="101">
        <v>0</v>
      </c>
      <c r="G54" s="101">
        <v>21563</v>
      </c>
      <c r="H54" s="101">
        <v>0</v>
      </c>
      <c r="I54" s="101">
        <v>0</v>
      </c>
      <c r="J54" s="101">
        <v>58</v>
      </c>
      <c r="K54" s="101">
        <v>55</v>
      </c>
      <c r="L54" s="101">
        <v>0</v>
      </c>
      <c r="M54" s="101">
        <f t="shared" si="0"/>
        <v>21676</v>
      </c>
      <c r="N54" s="112"/>
      <c r="O54" s="88"/>
    </row>
    <row r="55" spans="1:15" s="76" customFormat="1" x14ac:dyDescent="0.3">
      <c r="A55" s="209"/>
      <c r="B55" s="78" t="s">
        <v>22</v>
      </c>
      <c r="C55" s="101">
        <v>0</v>
      </c>
      <c r="D55" s="100">
        <v>0</v>
      </c>
      <c r="E55" s="101">
        <v>0</v>
      </c>
      <c r="F55" s="101">
        <v>0</v>
      </c>
      <c r="G55" s="101">
        <v>2174</v>
      </c>
      <c r="H55" s="101">
        <v>0</v>
      </c>
      <c r="I55" s="101">
        <v>0</v>
      </c>
      <c r="J55" s="101">
        <v>0</v>
      </c>
      <c r="K55" s="101">
        <v>38</v>
      </c>
      <c r="L55" s="101">
        <v>0</v>
      </c>
      <c r="M55" s="101">
        <f t="shared" si="0"/>
        <v>2212</v>
      </c>
      <c r="N55" s="112"/>
      <c r="O55" s="88"/>
    </row>
    <row r="56" spans="1:15" s="76" customFormat="1" x14ac:dyDescent="0.3">
      <c r="A56" s="209"/>
      <c r="B56" s="79" t="s">
        <v>19</v>
      </c>
      <c r="C56" s="136">
        <f t="shared" ref="C56:M56" si="10">SUM(C54:C55)</f>
        <v>0</v>
      </c>
      <c r="D56" s="136">
        <f t="shared" si="10"/>
        <v>0</v>
      </c>
      <c r="E56" s="136">
        <f t="shared" si="10"/>
        <v>0</v>
      </c>
      <c r="F56" s="136">
        <f t="shared" si="10"/>
        <v>0</v>
      </c>
      <c r="G56" s="136">
        <f t="shared" si="10"/>
        <v>23737</v>
      </c>
      <c r="H56" s="136">
        <f t="shared" si="10"/>
        <v>0</v>
      </c>
      <c r="I56" s="136">
        <f t="shared" si="10"/>
        <v>0</v>
      </c>
      <c r="J56" s="136">
        <f t="shared" si="10"/>
        <v>58</v>
      </c>
      <c r="K56" s="136">
        <f t="shared" si="10"/>
        <v>93</v>
      </c>
      <c r="L56" s="136">
        <f t="shared" si="10"/>
        <v>0</v>
      </c>
      <c r="M56" s="136">
        <f t="shared" si="10"/>
        <v>23888</v>
      </c>
      <c r="N56" s="112"/>
      <c r="O56" s="88"/>
    </row>
    <row r="57" spans="1:15" s="76" customFormat="1" x14ac:dyDescent="0.3">
      <c r="A57" s="188" t="s">
        <v>242</v>
      </c>
      <c r="B57" s="77" t="s">
        <v>21</v>
      </c>
      <c r="C57" s="101">
        <v>31</v>
      </c>
      <c r="D57" s="100">
        <v>1243</v>
      </c>
      <c r="E57" s="101">
        <v>894</v>
      </c>
      <c r="F57" s="101">
        <v>95</v>
      </c>
      <c r="G57" s="101">
        <v>3153</v>
      </c>
      <c r="H57" s="101">
        <v>8442</v>
      </c>
      <c r="I57" s="101">
        <v>0</v>
      </c>
      <c r="J57" s="101">
        <v>3005</v>
      </c>
      <c r="K57" s="101">
        <v>1066</v>
      </c>
      <c r="L57" s="101">
        <v>675</v>
      </c>
      <c r="M57" s="101">
        <f t="shared" si="0"/>
        <v>18604</v>
      </c>
      <c r="N57" s="112"/>
      <c r="O57" s="88"/>
    </row>
    <row r="58" spans="1:15" s="76" customFormat="1" x14ac:dyDescent="0.3">
      <c r="A58" s="188"/>
      <c r="B58" s="78" t="s">
        <v>22</v>
      </c>
      <c r="C58" s="101">
        <v>0</v>
      </c>
      <c r="D58" s="100">
        <v>0</v>
      </c>
      <c r="E58" s="101">
        <v>0</v>
      </c>
      <c r="F58" s="101">
        <v>0</v>
      </c>
      <c r="G58" s="101">
        <v>0</v>
      </c>
      <c r="H58" s="101">
        <v>1770</v>
      </c>
      <c r="I58" s="101">
        <v>0</v>
      </c>
      <c r="J58" s="101">
        <v>0</v>
      </c>
      <c r="K58" s="101">
        <v>467</v>
      </c>
      <c r="L58" s="101">
        <v>675</v>
      </c>
      <c r="M58" s="101">
        <f t="shared" si="0"/>
        <v>2912</v>
      </c>
      <c r="N58" s="112"/>
      <c r="O58" s="88"/>
    </row>
    <row r="59" spans="1:15" s="76" customFormat="1" ht="14.4" thickBot="1" x14ac:dyDescent="0.35">
      <c r="A59" s="210"/>
      <c r="B59" s="95" t="s">
        <v>19</v>
      </c>
      <c r="C59" s="136">
        <f t="shared" ref="C59:M59" si="11">SUM(C57:C58)</f>
        <v>31</v>
      </c>
      <c r="D59" s="136">
        <f t="shared" si="11"/>
        <v>1243</v>
      </c>
      <c r="E59" s="136">
        <f t="shared" si="11"/>
        <v>894</v>
      </c>
      <c r="F59" s="136">
        <f t="shared" si="11"/>
        <v>95</v>
      </c>
      <c r="G59" s="136">
        <f t="shared" si="11"/>
        <v>3153</v>
      </c>
      <c r="H59" s="136">
        <f t="shared" si="11"/>
        <v>10212</v>
      </c>
      <c r="I59" s="136">
        <f t="shared" si="11"/>
        <v>0</v>
      </c>
      <c r="J59" s="136">
        <f t="shared" si="11"/>
        <v>3005</v>
      </c>
      <c r="K59" s="136">
        <f t="shared" si="11"/>
        <v>1533</v>
      </c>
      <c r="L59" s="136">
        <f t="shared" si="11"/>
        <v>1350</v>
      </c>
      <c r="M59" s="136">
        <f t="shared" si="11"/>
        <v>21516</v>
      </c>
      <c r="N59" s="112"/>
      <c r="O59" s="88"/>
    </row>
    <row r="60" spans="1:15" x14ac:dyDescent="0.3">
      <c r="A60" s="96" t="s">
        <v>285</v>
      </c>
      <c r="K60" s="78"/>
    </row>
    <row r="61" spans="1:15" x14ac:dyDescent="0.3">
      <c r="A61" s="96" t="s">
        <v>286</v>
      </c>
    </row>
  </sheetData>
  <mergeCells count="25">
    <mergeCell ref="A49:B49"/>
    <mergeCell ref="A50:B50"/>
    <mergeCell ref="A51:A53"/>
    <mergeCell ref="A54:A56"/>
    <mergeCell ref="A57:A59"/>
    <mergeCell ref="A46:B46"/>
    <mergeCell ref="A47:B47"/>
    <mergeCell ref="A48:B48"/>
    <mergeCell ref="A12:A14"/>
    <mergeCell ref="A15:A17"/>
    <mergeCell ref="A18:A20"/>
    <mergeCell ref="A25:A27"/>
    <mergeCell ref="A28:A30"/>
    <mergeCell ref="A31:A33"/>
    <mergeCell ref="A21:A24"/>
    <mergeCell ref="A40:A42"/>
    <mergeCell ref="A34:A36"/>
    <mergeCell ref="A37:A39"/>
    <mergeCell ref="A43:A45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44" workbookViewId="0">
      <selection activeCell="U75" sqref="U75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'1.RSP Districts '!B212</f>
        <v>Name of Province/Area</v>
      </c>
      <c r="B2" t="s">
        <v>235</v>
      </c>
      <c r="C2" t="s">
        <v>234</v>
      </c>
    </row>
    <row r="3" spans="1:3" ht="26.4" x14ac:dyDescent="0.25">
      <c r="A3" s="129" t="str">
        <f>'1.RSP Districts '!B214</f>
        <v xml:space="preserve">Balochistan </v>
      </c>
      <c r="B3">
        <f>'1.RSP Districts '!P214</f>
        <v>30</v>
      </c>
      <c r="C3">
        <f>'1.RSP Districts '!A214</f>
        <v>18</v>
      </c>
    </row>
    <row r="4" spans="1:3" ht="52.8" x14ac:dyDescent="0.25">
      <c r="A4" s="129" t="str">
        <f>'1.RSP Districts '!B215</f>
        <v>Khyber Pakhtunkhwa (KPK)</v>
      </c>
      <c r="B4">
        <f>'1.RSP Districts '!P215</f>
        <v>24</v>
      </c>
      <c r="C4">
        <f>'1.RSP Districts '!A215</f>
        <v>19</v>
      </c>
    </row>
    <row r="5" spans="1:3" x14ac:dyDescent="0.25">
      <c r="A5" s="129" t="str">
        <f>'1.RSP Districts '!B216</f>
        <v xml:space="preserve">Sindh </v>
      </c>
      <c r="B5">
        <f>'1.RSP Districts '!P216</f>
        <v>23</v>
      </c>
      <c r="C5">
        <f>'1.RSP Districts '!A216</f>
        <v>22</v>
      </c>
    </row>
    <row r="6" spans="1:3" x14ac:dyDescent="0.25">
      <c r="A6" s="129" t="str">
        <f>'1.RSP Districts '!B217</f>
        <v xml:space="preserve">Punjab </v>
      </c>
      <c r="B6">
        <f>'1.RSP Districts '!P213+'1.RSP Districts '!P217</f>
        <v>37</v>
      </c>
      <c r="C6">
        <f>'1.RSP Districts '!A213+'1.RSP Districts '!A217</f>
        <v>37</v>
      </c>
    </row>
    <row r="7" spans="1:3" ht="66" x14ac:dyDescent="0.25">
      <c r="A7" s="129" t="str">
        <f>'1.RSP Districts '!B218</f>
        <v>Azad Jamu and Kashmir (AJK)</v>
      </c>
      <c r="B7">
        <f>'1.RSP Districts '!P218</f>
        <v>10</v>
      </c>
      <c r="C7">
        <f>'1.RSP Districts '!A218</f>
        <v>10</v>
      </c>
    </row>
    <row r="8" spans="1:3" ht="39.6" x14ac:dyDescent="0.25">
      <c r="A8" s="129" t="str">
        <f>'1.RSP Districts '!B219</f>
        <v>Gilgit-Baltistan (GB)</v>
      </c>
      <c r="B8">
        <f>'1.RSP Districts '!P219</f>
        <v>7</v>
      </c>
      <c r="C8">
        <f>'1.RSP Districts '!A219</f>
        <v>6</v>
      </c>
    </row>
    <row r="9" spans="1:3" ht="118.8" x14ac:dyDescent="0.25">
      <c r="A9" s="129" t="str">
        <f>'1.RSP Districts '!B220</f>
        <v>Federal Adminstrated Tribal Areas (FATA)/Frontier Regions (FRs)</v>
      </c>
      <c r="B9">
        <f>'1.RSP Districts '!P220</f>
        <v>13</v>
      </c>
      <c r="C9">
        <f>'1.RSP Districts '!A220</f>
        <v>2</v>
      </c>
    </row>
    <row r="10" spans="1:3" ht="26.4" x14ac:dyDescent="0.25">
      <c r="A10" s="129" t="str">
        <f>'1.RSP Districts '!B221</f>
        <v xml:space="preserve">Grand Total </v>
      </c>
      <c r="B10">
        <f>SUM(B3:B9)</f>
        <v>144</v>
      </c>
      <c r="C10">
        <f>SUM(C3:C9)</f>
        <v>114</v>
      </c>
    </row>
    <row r="13" spans="1:3" x14ac:dyDescent="0.25">
      <c r="A13" t="str">
        <f>A2</f>
        <v>Name of Province/Area</v>
      </c>
      <c r="B13" t="s">
        <v>236</v>
      </c>
      <c r="C13" t="s">
        <v>237</v>
      </c>
    </row>
    <row r="14" spans="1:3" x14ac:dyDescent="0.25">
      <c r="A14" t="str">
        <f t="shared" ref="A14:A21" si="0">A3</f>
        <v xml:space="preserve">Balochistan </v>
      </c>
      <c r="B14">
        <f>'1.RSP Districts '!C214</f>
        <v>547</v>
      </c>
      <c r="C14">
        <f>'1.RSP Districts '!D214</f>
        <v>245</v>
      </c>
    </row>
    <row r="15" spans="1:3" x14ac:dyDescent="0.25">
      <c r="A15" t="str">
        <f t="shared" si="0"/>
        <v>Khyber Pakhtunkhwa (KPK)</v>
      </c>
      <c r="B15">
        <f>'1.RSP Districts '!C215</f>
        <v>961</v>
      </c>
      <c r="C15">
        <f>'1.RSP Districts '!D215</f>
        <v>524</v>
      </c>
    </row>
    <row r="16" spans="1:3" x14ac:dyDescent="0.25">
      <c r="A16" t="str">
        <f t="shared" si="0"/>
        <v xml:space="preserve">Sindh </v>
      </c>
      <c r="B16">
        <f>'1.RSP Districts '!C216</f>
        <v>921</v>
      </c>
      <c r="C16">
        <f>'1.RSP Districts '!D216</f>
        <v>602</v>
      </c>
    </row>
    <row r="17" spans="1:4" x14ac:dyDescent="0.25">
      <c r="A17" t="str">
        <f t="shared" si="0"/>
        <v xml:space="preserve">Punjab </v>
      </c>
      <c r="B17">
        <f>'1.RSP Districts '!C217+'1.RSP Districts '!C213</f>
        <v>2647</v>
      </c>
      <c r="C17">
        <f>'1.RSP Districts '!D217+'1.RSP Districts '!D213</f>
        <v>1839</v>
      </c>
    </row>
    <row r="18" spans="1:4" x14ac:dyDescent="0.25">
      <c r="A18" t="str">
        <f t="shared" si="0"/>
        <v>Azad Jamu and Kashmir (AJK)</v>
      </c>
      <c r="B18">
        <f>'1.RSP Districts '!C218</f>
        <v>196</v>
      </c>
      <c r="C18">
        <f>'1.RSP Districts '!D218</f>
        <v>179</v>
      </c>
    </row>
    <row r="19" spans="1:4" x14ac:dyDescent="0.25">
      <c r="A19" t="str">
        <f t="shared" si="0"/>
        <v>Gilgit-Baltistan (GB)</v>
      </c>
      <c r="B19">
        <f>'1.RSP Districts '!C219</f>
        <v>103</v>
      </c>
      <c r="C19">
        <f>'1.RSP Districts '!D219</f>
        <v>94</v>
      </c>
    </row>
    <row r="20" spans="1:4" x14ac:dyDescent="0.25">
      <c r="A20" t="str">
        <f t="shared" si="0"/>
        <v>Federal Adminstrated Tribal Areas (FATA)/Frontier Regions (FRs)</v>
      </c>
      <c r="B20">
        <f>'1.RSP Districts '!C220</f>
        <v>190</v>
      </c>
      <c r="C20">
        <f>'1.RSP Districts '!D220</f>
        <v>6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>
        <f>SUM(C14:C20)</f>
        <v>3489</v>
      </c>
      <c r="D21">
        <f>C21/B21%</f>
        <v>62.695417789757414</v>
      </c>
    </row>
    <row r="25" spans="1:4" x14ac:dyDescent="0.25">
      <c r="A25" t="str">
        <f>A13</f>
        <v>Name of Province/Area</v>
      </c>
      <c r="B25" t="s">
        <v>240</v>
      </c>
      <c r="C25" t="s">
        <v>239</v>
      </c>
      <c r="D25" t="s">
        <v>238</v>
      </c>
    </row>
    <row r="26" spans="1:4" x14ac:dyDescent="0.25">
      <c r="A26" t="str">
        <f t="shared" ref="A26:A32" si="1">A14</f>
        <v xml:space="preserve">Balochistan </v>
      </c>
      <c r="B26" s="126">
        <f>D26/C26%</f>
        <v>42.955178480899413</v>
      </c>
      <c r="C26" s="127">
        <f>'1.RSP Districts '!H214</f>
        <v>523953.125</v>
      </c>
      <c r="D26" s="127">
        <f>'1.RSP Districts '!I214</f>
        <v>225065</v>
      </c>
    </row>
    <row r="27" spans="1:4" x14ac:dyDescent="0.25">
      <c r="A27" t="str">
        <f t="shared" si="1"/>
        <v>Khyber Pakhtunkhwa (KPK)</v>
      </c>
      <c r="B27" s="126">
        <f t="shared" ref="B27:B33" si="2">D27/C27%</f>
        <v>40.894352817770645</v>
      </c>
      <c r="C27" s="127">
        <f>'1.RSP Districts '!H215</f>
        <v>1580629</v>
      </c>
      <c r="D27" s="127">
        <f>'1.RSP Districts '!I215</f>
        <v>646388</v>
      </c>
    </row>
    <row r="28" spans="1:4" x14ac:dyDescent="0.25">
      <c r="A28" t="str">
        <f t="shared" si="1"/>
        <v xml:space="preserve">Sindh </v>
      </c>
      <c r="B28" s="126">
        <f t="shared" si="2"/>
        <v>30.424688454110907</v>
      </c>
      <c r="C28" s="127">
        <f>'1.RSP Districts '!H216</f>
        <v>2816903.1255411254</v>
      </c>
      <c r="D28" s="127">
        <f>'1.RSP Districts '!I216</f>
        <v>857034</v>
      </c>
    </row>
    <row r="29" spans="1:4" x14ac:dyDescent="0.25">
      <c r="A29" t="str">
        <f t="shared" si="1"/>
        <v xml:space="preserve">Punjab </v>
      </c>
      <c r="B29" s="126">
        <f t="shared" si="2"/>
        <v>35.14587172423068</v>
      </c>
      <c r="C29" s="127">
        <f>'1.RSP Districts '!H217+'1.RSP Districts '!H213</f>
        <v>6026081.8585411254</v>
      </c>
      <c r="D29" s="127">
        <f>'1.RSP Districts '!I217+'1.RSP Districts '!I213</f>
        <v>2117919</v>
      </c>
    </row>
    <row r="30" spans="1:4" x14ac:dyDescent="0.25">
      <c r="A30" t="str">
        <f t="shared" si="1"/>
        <v>Azad Jamu and Kashmir (AJK)</v>
      </c>
      <c r="B30" s="126">
        <f t="shared" si="2"/>
        <v>57.706394219042458</v>
      </c>
      <c r="C30" s="127">
        <f>'1.RSP Districts '!H218</f>
        <v>398969.65165781637</v>
      </c>
      <c r="D30" s="127">
        <f>'1.RSP Districts '!I218</f>
        <v>230231</v>
      </c>
    </row>
    <row r="31" spans="1:4" x14ac:dyDescent="0.25">
      <c r="A31" t="str">
        <f t="shared" si="1"/>
        <v>Gilgit-Baltistan (GB)</v>
      </c>
      <c r="B31" s="126">
        <f t="shared" si="2"/>
        <v>69.747920669136846</v>
      </c>
      <c r="C31" s="127">
        <f>'1.RSP Districts '!H219</f>
        <v>108649.83396348439</v>
      </c>
      <c r="D31" s="127">
        <f>'1.RSP Districts '!I219</f>
        <v>75781</v>
      </c>
    </row>
    <row r="32" spans="1:4" x14ac:dyDescent="0.25">
      <c r="A32" t="str">
        <f t="shared" si="1"/>
        <v>Federal Adminstrated Tribal Areas (FATA)/Frontier Regions (FRs)</v>
      </c>
      <c r="B32" s="126">
        <f t="shared" si="2"/>
        <v>12.079899196463613</v>
      </c>
      <c r="C32" s="127">
        <f>'1.RSP Districts '!H220</f>
        <v>48411</v>
      </c>
      <c r="D32" s="127">
        <f>'1.RSP Districts '!I220</f>
        <v>5848</v>
      </c>
    </row>
    <row r="33" spans="1:4" x14ac:dyDescent="0.25">
      <c r="A33" t="str">
        <f>A21</f>
        <v xml:space="preserve">Grand Total </v>
      </c>
      <c r="B33" s="126">
        <f t="shared" si="2"/>
        <v>36.147526595632442</v>
      </c>
      <c r="C33" s="127">
        <f>SUM(C26:C32)</f>
        <v>11503597.594703551</v>
      </c>
      <c r="D33" s="127">
        <f>SUM(D26:D32)</f>
        <v>4158266</v>
      </c>
    </row>
    <row r="34" spans="1:4" x14ac:dyDescent="0.25">
      <c r="D34" s="128">
        <f>D33/1000000</f>
        <v>4.1582660000000002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37.44140625" style="96" customWidth="1"/>
    <col min="2" max="2" width="12.6640625" style="96" customWidth="1"/>
    <col min="3" max="3" width="12.109375" style="73" bestFit="1" customWidth="1"/>
    <col min="4" max="16384" width="9.109375" style="73"/>
  </cols>
  <sheetData>
    <row r="1" spans="1:4" ht="14.4" thickBot="1" x14ac:dyDescent="0.35">
      <c r="A1" s="97" t="s">
        <v>0</v>
      </c>
      <c r="B1" s="73"/>
    </row>
    <row r="2" spans="1:4" s="99" customFormat="1" x14ac:dyDescent="0.25">
      <c r="A2" s="189" t="s">
        <v>1</v>
      </c>
      <c r="B2" s="190"/>
      <c r="C2" s="104" t="s">
        <v>19</v>
      </c>
    </row>
    <row r="3" spans="1:4" ht="5.25" customHeight="1" thickBot="1" x14ac:dyDescent="0.35">
      <c r="A3" s="74"/>
      <c r="B3" s="75"/>
    </row>
    <row r="4" spans="1:4" s="76" customFormat="1" x14ac:dyDescent="0.3">
      <c r="A4" s="191" t="s">
        <v>12</v>
      </c>
      <c r="B4" s="192"/>
      <c r="C4" s="101">
        <v>110</v>
      </c>
      <c r="D4" s="112"/>
    </row>
    <row r="5" spans="1:4" s="76" customFormat="1" x14ac:dyDescent="0.3">
      <c r="A5" s="193" t="s">
        <v>13</v>
      </c>
      <c r="B5" s="194"/>
      <c r="C5" s="101">
        <v>3526</v>
      </c>
      <c r="D5" s="112"/>
    </row>
    <row r="6" spans="1:4" s="76" customFormat="1" x14ac:dyDescent="0.3">
      <c r="A6" s="193" t="s">
        <v>233</v>
      </c>
      <c r="B6" s="194"/>
      <c r="C6" s="101">
        <v>4167155</v>
      </c>
      <c r="D6" s="112"/>
    </row>
    <row r="7" spans="1:4" s="76" customFormat="1" x14ac:dyDescent="0.3">
      <c r="A7" s="193" t="s">
        <v>14</v>
      </c>
      <c r="B7" s="194"/>
      <c r="C7" s="101">
        <v>520</v>
      </c>
      <c r="D7" s="112"/>
    </row>
    <row r="8" spans="1:4" s="76" customFormat="1" x14ac:dyDescent="0.3">
      <c r="A8" s="211" t="s">
        <v>243</v>
      </c>
      <c r="B8" s="212"/>
      <c r="C8" s="101">
        <v>110</v>
      </c>
      <c r="D8" s="112"/>
    </row>
    <row r="9" spans="1:4" s="76" customFormat="1" x14ac:dyDescent="0.3">
      <c r="A9" s="211" t="s">
        <v>245</v>
      </c>
      <c r="B9" s="212"/>
      <c r="C9" s="101">
        <v>3950</v>
      </c>
      <c r="D9" s="112"/>
    </row>
    <row r="10" spans="1:4" s="76" customFormat="1" x14ac:dyDescent="0.3">
      <c r="A10" s="211" t="s">
        <v>244</v>
      </c>
      <c r="B10" s="212"/>
      <c r="C10" s="101">
        <v>37399</v>
      </c>
      <c r="D10" s="112"/>
    </row>
    <row r="11" spans="1:4" s="76" customFormat="1" x14ac:dyDescent="0.3">
      <c r="A11" s="188" t="s">
        <v>15</v>
      </c>
      <c r="B11" s="77" t="s">
        <v>16</v>
      </c>
      <c r="C11" s="101">
        <v>111388</v>
      </c>
      <c r="D11" s="113">
        <f>C11/$C$14%</f>
        <v>43.106310685247458</v>
      </c>
    </row>
    <row r="12" spans="1:4" s="76" customFormat="1" x14ac:dyDescent="0.3">
      <c r="A12" s="188"/>
      <c r="B12" s="78" t="s">
        <v>17</v>
      </c>
      <c r="C12" s="101">
        <v>136301</v>
      </c>
      <c r="D12" s="113">
        <f>C12/$C$14%</f>
        <v>52.74745262245407</v>
      </c>
    </row>
    <row r="13" spans="1:4" s="76" customFormat="1" x14ac:dyDescent="0.3">
      <c r="A13" s="188"/>
      <c r="B13" s="78" t="s">
        <v>18</v>
      </c>
      <c r="C13" s="101">
        <v>10714</v>
      </c>
      <c r="D13" s="113">
        <f>C13/$C$14%</f>
        <v>4.1462366922984639</v>
      </c>
    </row>
    <row r="14" spans="1:4" s="76" customFormat="1" x14ac:dyDescent="0.3">
      <c r="A14" s="188"/>
      <c r="B14" s="79" t="s">
        <v>19</v>
      </c>
      <c r="C14" s="102">
        <v>258403</v>
      </c>
      <c r="D14" s="113">
        <f>C14/$C$14%</f>
        <v>99.999999999999986</v>
      </c>
    </row>
    <row r="15" spans="1:4" s="76" customFormat="1" x14ac:dyDescent="0.3">
      <c r="A15" s="188" t="s">
        <v>20</v>
      </c>
      <c r="B15" s="77" t="s">
        <v>21</v>
      </c>
      <c r="C15" s="101">
        <v>2056375</v>
      </c>
      <c r="D15" s="82"/>
    </row>
    <row r="16" spans="1:4" s="76" customFormat="1" x14ac:dyDescent="0.3">
      <c r="A16" s="188"/>
      <c r="B16" s="78" t="s">
        <v>22</v>
      </c>
      <c r="C16" s="101">
        <v>2399172</v>
      </c>
    </row>
    <row r="17" spans="1:4" s="76" customFormat="1" x14ac:dyDescent="0.3">
      <c r="A17" s="188"/>
      <c r="B17" s="80" t="s">
        <v>19</v>
      </c>
      <c r="C17" s="102">
        <v>4455547</v>
      </c>
    </row>
    <row r="18" spans="1:4" s="82" customFormat="1" x14ac:dyDescent="0.3">
      <c r="A18" s="197" t="s">
        <v>23</v>
      </c>
      <c r="B18" s="81" t="s">
        <v>21</v>
      </c>
      <c r="C18" s="101">
        <v>517.88534800000002</v>
      </c>
      <c r="D18" s="113">
        <f>C18/$C$20%</f>
        <v>22.953768301102048</v>
      </c>
    </row>
    <row r="19" spans="1:4" s="82" customFormat="1" x14ac:dyDescent="0.3">
      <c r="A19" s="197"/>
      <c r="B19" s="83" t="s">
        <v>22</v>
      </c>
      <c r="C19" s="101">
        <v>1738.3252280000002</v>
      </c>
      <c r="D19" s="113">
        <f>C19/$C$20%</f>
        <v>77.046231698897941</v>
      </c>
    </row>
    <row r="20" spans="1:4" s="82" customFormat="1" x14ac:dyDescent="0.3">
      <c r="A20" s="197"/>
      <c r="B20" s="80" t="s">
        <v>19</v>
      </c>
      <c r="C20" s="102">
        <v>2256.2105760000004</v>
      </c>
      <c r="D20" s="113">
        <f>C20/$C$20%</f>
        <v>100</v>
      </c>
    </row>
    <row r="21" spans="1:4" s="76" customFormat="1" x14ac:dyDescent="0.3">
      <c r="A21" s="188" t="s">
        <v>246</v>
      </c>
      <c r="B21" s="77" t="s">
        <v>21</v>
      </c>
      <c r="C21" s="101">
        <v>1288029</v>
      </c>
      <c r="D21" s="113">
        <f>C21/$C$23%</f>
        <v>49.815458765679629</v>
      </c>
    </row>
    <row r="22" spans="1:4" s="76" customFormat="1" x14ac:dyDescent="0.3">
      <c r="A22" s="188"/>
      <c r="B22" s="78" t="s">
        <v>22</v>
      </c>
      <c r="C22" s="101">
        <v>1297572</v>
      </c>
      <c r="D22" s="113">
        <f t="shared" ref="D22:D23" si="0">C22/$C$23%</f>
        <v>50.184541234320378</v>
      </c>
    </row>
    <row r="23" spans="1:4" s="76" customFormat="1" x14ac:dyDescent="0.3">
      <c r="A23" s="188"/>
      <c r="B23" s="79" t="s">
        <v>19</v>
      </c>
      <c r="C23" s="102">
        <v>2585601</v>
      </c>
      <c r="D23" s="113">
        <f t="shared" si="0"/>
        <v>100</v>
      </c>
    </row>
    <row r="24" spans="1:4" s="82" customFormat="1" x14ac:dyDescent="0.3">
      <c r="A24" s="198" t="s">
        <v>25</v>
      </c>
      <c r="B24" s="81" t="s">
        <v>21</v>
      </c>
      <c r="C24" s="101">
        <v>22039.147732000001</v>
      </c>
      <c r="D24" s="113">
        <f>C24/$C$26%</f>
        <v>33.421033152682703</v>
      </c>
    </row>
    <row r="25" spans="1:4" s="82" customFormat="1" x14ac:dyDescent="0.3">
      <c r="A25" s="198"/>
      <c r="B25" s="83" t="s">
        <v>22</v>
      </c>
      <c r="C25" s="101">
        <v>43904.797302000006</v>
      </c>
      <c r="D25" s="113">
        <f>C25/$C$26%</f>
        <v>66.578966847317304</v>
      </c>
    </row>
    <row r="26" spans="1:4" s="82" customFormat="1" x14ac:dyDescent="0.3">
      <c r="A26" s="198"/>
      <c r="B26" s="84" t="s">
        <v>19</v>
      </c>
      <c r="C26" s="102">
        <v>65943.945034000004</v>
      </c>
      <c r="D26" s="113">
        <f>C26/$C$26%</f>
        <v>100</v>
      </c>
    </row>
    <row r="27" spans="1:4" s="76" customFormat="1" x14ac:dyDescent="0.3">
      <c r="A27" s="188" t="s">
        <v>26</v>
      </c>
      <c r="B27" s="77" t="s">
        <v>21</v>
      </c>
      <c r="C27" s="101">
        <v>1771605.44</v>
      </c>
      <c r="D27" s="113">
        <f>C27/$C$29%</f>
        <v>35.088153664884601</v>
      </c>
    </row>
    <row r="28" spans="1:4" s="76" customFormat="1" x14ac:dyDescent="0.3">
      <c r="A28" s="188"/>
      <c r="B28" s="78" t="s">
        <v>22</v>
      </c>
      <c r="C28" s="101">
        <v>3277407.56</v>
      </c>
      <c r="D28" s="113">
        <f t="shared" ref="D28:D29" si="1">C28/$C$29%</f>
        <v>64.911846335115399</v>
      </c>
    </row>
    <row r="29" spans="1:4" s="76" customFormat="1" x14ac:dyDescent="0.3">
      <c r="A29" s="188"/>
      <c r="B29" s="79" t="s">
        <v>19</v>
      </c>
      <c r="C29" s="102">
        <v>5049013</v>
      </c>
      <c r="D29" s="113">
        <f t="shared" si="1"/>
        <v>100</v>
      </c>
    </row>
    <row r="30" spans="1:4" s="76" customFormat="1" hidden="1" x14ac:dyDescent="0.3">
      <c r="A30" s="188" t="s">
        <v>27</v>
      </c>
      <c r="B30" s="77" t="s">
        <v>21</v>
      </c>
      <c r="C30" s="101">
        <v>0</v>
      </c>
    </row>
    <row r="31" spans="1:4" s="76" customFormat="1" hidden="1" x14ac:dyDescent="0.3">
      <c r="A31" s="188"/>
      <c r="B31" s="78" t="s">
        <v>22</v>
      </c>
      <c r="C31" s="101">
        <v>0</v>
      </c>
    </row>
    <row r="32" spans="1:4" s="76" customFormat="1" hidden="1" x14ac:dyDescent="0.3">
      <c r="A32" s="188"/>
      <c r="B32" s="85" t="s">
        <v>19</v>
      </c>
      <c r="C32" s="101">
        <v>0</v>
      </c>
    </row>
    <row r="33" spans="1:4" s="82" customFormat="1" hidden="1" x14ac:dyDescent="0.3">
      <c r="A33" s="202" t="s">
        <v>28</v>
      </c>
      <c r="B33" s="81" t="s">
        <v>21</v>
      </c>
      <c r="C33" s="101">
        <v>0</v>
      </c>
    </row>
    <row r="34" spans="1:4" s="82" customFormat="1" hidden="1" x14ac:dyDescent="0.3">
      <c r="A34" s="202"/>
      <c r="B34" s="83" t="s">
        <v>22</v>
      </c>
      <c r="C34" s="101">
        <v>0</v>
      </c>
    </row>
    <row r="35" spans="1:4" s="82" customFormat="1" hidden="1" x14ac:dyDescent="0.3">
      <c r="A35" s="202"/>
      <c r="B35" s="86" t="s">
        <v>19</v>
      </c>
      <c r="C35" s="101">
        <v>0</v>
      </c>
    </row>
    <row r="36" spans="1:4" s="88" customFormat="1" hidden="1" x14ac:dyDescent="0.3">
      <c r="A36" s="203" t="s">
        <v>29</v>
      </c>
      <c r="B36" s="87" t="s">
        <v>21</v>
      </c>
      <c r="C36" s="101">
        <v>0</v>
      </c>
    </row>
    <row r="37" spans="1:4" s="88" customFormat="1" hidden="1" x14ac:dyDescent="0.3">
      <c r="A37" s="203"/>
      <c r="B37" s="89" t="s">
        <v>22</v>
      </c>
      <c r="C37" s="101">
        <v>0</v>
      </c>
    </row>
    <row r="38" spans="1:4" s="88" customFormat="1" hidden="1" x14ac:dyDescent="0.3">
      <c r="A38" s="203"/>
      <c r="B38" s="90" t="s">
        <v>19</v>
      </c>
      <c r="C38" s="101">
        <v>0</v>
      </c>
    </row>
    <row r="39" spans="1:4" s="76" customFormat="1" ht="13.2" customHeight="1" x14ac:dyDescent="0.3">
      <c r="A39" s="198" t="s">
        <v>30</v>
      </c>
      <c r="B39" s="77" t="s">
        <v>21</v>
      </c>
      <c r="C39" s="101">
        <v>1626139</v>
      </c>
      <c r="D39" s="113">
        <f>C39/$C$41%</f>
        <v>39.144230065591074</v>
      </c>
    </row>
    <row r="40" spans="1:4" s="76" customFormat="1" x14ac:dyDescent="0.3">
      <c r="A40" s="198"/>
      <c r="B40" s="78" t="s">
        <v>22</v>
      </c>
      <c r="C40" s="101">
        <v>2528085</v>
      </c>
      <c r="D40" s="113">
        <f t="shared" ref="D40:D41" si="2">C40/$C$41%</f>
        <v>60.855769934408933</v>
      </c>
    </row>
    <row r="41" spans="1:4" s="76" customFormat="1" x14ac:dyDescent="0.3">
      <c r="A41" s="198"/>
      <c r="B41" s="79" t="s">
        <v>19</v>
      </c>
      <c r="C41" s="102">
        <v>4154224</v>
      </c>
      <c r="D41" s="113">
        <f t="shared" si="2"/>
        <v>100</v>
      </c>
    </row>
    <row r="42" spans="1:4" s="91" customFormat="1" x14ac:dyDescent="0.3">
      <c r="A42" s="195" t="s">
        <v>31</v>
      </c>
      <c r="B42" s="196"/>
      <c r="C42" s="101">
        <v>96933</v>
      </c>
    </row>
    <row r="43" spans="1:4" s="92" customFormat="1" x14ac:dyDescent="0.3">
      <c r="A43" s="195" t="s">
        <v>33</v>
      </c>
      <c r="B43" s="196"/>
      <c r="C43" s="101">
        <v>3772537</v>
      </c>
    </row>
    <row r="44" spans="1:4" s="93" customFormat="1" x14ac:dyDescent="0.3">
      <c r="A44" s="205" t="s">
        <v>34</v>
      </c>
      <c r="B44" s="206"/>
      <c r="C44" s="101">
        <v>13723.287703</v>
      </c>
    </row>
    <row r="45" spans="1:4" s="94" customFormat="1" x14ac:dyDescent="0.25">
      <c r="A45" s="207" t="s">
        <v>35</v>
      </c>
      <c r="B45" s="208" t="s">
        <v>36</v>
      </c>
      <c r="C45" s="101">
        <v>1904</v>
      </c>
    </row>
    <row r="46" spans="1:4" s="76" customFormat="1" x14ac:dyDescent="0.3">
      <c r="A46" s="188" t="s">
        <v>37</v>
      </c>
      <c r="B46" s="77" t="s">
        <v>36</v>
      </c>
      <c r="C46" s="101">
        <v>22803.95</v>
      </c>
      <c r="D46" s="113">
        <f>C46/$C$48%</f>
        <v>44.37343114553132</v>
      </c>
    </row>
    <row r="47" spans="1:4" s="76" customFormat="1" x14ac:dyDescent="0.3">
      <c r="A47" s="188"/>
      <c r="B47" s="78" t="s">
        <v>38</v>
      </c>
      <c r="C47" s="101">
        <v>28587.05</v>
      </c>
      <c r="D47" s="113">
        <f t="shared" ref="D47:D48" si="3">C47/$C$48%</f>
        <v>55.626568854468687</v>
      </c>
    </row>
    <row r="48" spans="1:4" s="76" customFormat="1" x14ac:dyDescent="0.3">
      <c r="A48" s="188"/>
      <c r="B48" s="79" t="s">
        <v>19</v>
      </c>
      <c r="C48" s="102">
        <v>51391</v>
      </c>
      <c r="D48" s="113">
        <f t="shared" si="3"/>
        <v>100</v>
      </c>
    </row>
    <row r="49" spans="1:3" s="76" customFormat="1" x14ac:dyDescent="0.3">
      <c r="A49" s="188" t="s">
        <v>242</v>
      </c>
      <c r="B49" s="77" t="s">
        <v>21</v>
      </c>
      <c r="C49" s="101">
        <v>16537</v>
      </c>
    </row>
    <row r="50" spans="1:3" s="76" customFormat="1" x14ac:dyDescent="0.3">
      <c r="A50" s="188"/>
      <c r="B50" s="78" t="s">
        <v>22</v>
      </c>
      <c r="C50" s="101">
        <v>2912</v>
      </c>
    </row>
    <row r="51" spans="1:3" s="76" customFormat="1" ht="14.4" thickBot="1" x14ac:dyDescent="0.35">
      <c r="A51" s="210"/>
      <c r="B51" s="95" t="s">
        <v>19</v>
      </c>
      <c r="C51" s="103">
        <v>19449</v>
      </c>
    </row>
    <row r="52" spans="1:3" x14ac:dyDescent="0.3">
      <c r="A52" s="96" t="s">
        <v>231</v>
      </c>
    </row>
  </sheetData>
  <mergeCells count="24">
    <mergeCell ref="A27:A29"/>
    <mergeCell ref="A30:A32"/>
    <mergeCell ref="A2:B2"/>
    <mergeCell ref="A4:B4"/>
    <mergeCell ref="A5:B5"/>
    <mergeCell ref="A6:B6"/>
    <mergeCell ref="A7:B7"/>
    <mergeCell ref="A11:A14"/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3" sqref="D23"/>
    </sheetView>
  </sheetViews>
  <sheetFormatPr defaultRowHeight="13.2" x14ac:dyDescent="0.25"/>
  <cols>
    <col min="1" max="1" width="5.109375" bestFit="1" customWidth="1"/>
    <col min="2" max="2" width="21.33203125" customWidth="1"/>
    <col min="3" max="3" width="20.5546875" customWidth="1"/>
    <col min="4" max="4" width="13.44140625" customWidth="1"/>
    <col min="5" max="5" width="12.6640625" customWidth="1"/>
    <col min="6" max="6" width="10.44140625" customWidth="1"/>
    <col min="7" max="7" width="11.88671875" customWidth="1"/>
    <col min="8" max="8" width="12.6640625" customWidth="1"/>
    <col min="9" max="9" width="9.33203125" customWidth="1"/>
  </cols>
  <sheetData>
    <row r="1" spans="1:10" ht="13.8" thickBot="1" x14ac:dyDescent="0.3">
      <c r="A1" s="148" t="s">
        <v>284</v>
      </c>
    </row>
    <row r="2" spans="1:10" ht="13.8" x14ac:dyDescent="0.25">
      <c r="A2" s="218" t="s">
        <v>280</v>
      </c>
      <c r="B2" s="213" t="s">
        <v>41</v>
      </c>
      <c r="C2" s="213" t="s">
        <v>226</v>
      </c>
      <c r="D2" s="216" t="s">
        <v>281</v>
      </c>
      <c r="E2" s="213" t="s">
        <v>45</v>
      </c>
      <c r="F2" s="221" t="s">
        <v>282</v>
      </c>
      <c r="G2" s="221"/>
      <c r="H2" s="213" t="s">
        <v>283</v>
      </c>
      <c r="I2" s="213"/>
      <c r="J2" s="214" t="s">
        <v>229</v>
      </c>
    </row>
    <row r="3" spans="1:10" ht="42" thickBot="1" x14ac:dyDescent="0.3">
      <c r="A3" s="219"/>
      <c r="B3" s="220"/>
      <c r="C3" s="220"/>
      <c r="D3" s="217"/>
      <c r="E3" s="220"/>
      <c r="F3" s="149" t="s">
        <v>275</v>
      </c>
      <c r="G3" s="149" t="s">
        <v>276</v>
      </c>
      <c r="H3" s="150" t="s">
        <v>277</v>
      </c>
      <c r="I3" s="149" t="s">
        <v>275</v>
      </c>
      <c r="J3" s="215"/>
    </row>
    <row r="4" spans="1:10" ht="13.8" x14ac:dyDescent="0.25">
      <c r="A4" s="24">
        <v>1</v>
      </c>
      <c r="B4" s="25" t="s">
        <v>128</v>
      </c>
      <c r="C4" s="26">
        <v>87</v>
      </c>
      <c r="D4" s="138">
        <v>42.52873563218391</v>
      </c>
      <c r="E4" s="26">
        <v>111973</v>
      </c>
      <c r="F4" s="151">
        <v>85.81146744412051</v>
      </c>
      <c r="G4" s="138">
        <v>35.858644494654961</v>
      </c>
      <c r="H4" s="26">
        <v>2621</v>
      </c>
      <c r="I4" s="138">
        <v>68.878865979381445</v>
      </c>
      <c r="J4" s="39" t="s">
        <v>7</v>
      </c>
    </row>
    <row r="5" spans="1:10" ht="13.8" x14ac:dyDescent="0.3">
      <c r="A5" s="24">
        <v>2</v>
      </c>
      <c r="B5" s="25" t="s">
        <v>98</v>
      </c>
      <c r="C5" s="26">
        <v>37</v>
      </c>
      <c r="D5" s="138">
        <v>27.027027027027028</v>
      </c>
      <c r="E5" s="26">
        <v>128856</v>
      </c>
      <c r="F5" s="151">
        <v>78.9301310043668</v>
      </c>
      <c r="G5" s="138">
        <v>8.9037375054324208</v>
      </c>
      <c r="H5" s="26">
        <v>700</v>
      </c>
      <c r="I5" s="138">
        <v>57.657657657657651</v>
      </c>
      <c r="J5" s="38" t="s">
        <v>6</v>
      </c>
    </row>
    <row r="6" spans="1:10" ht="13.8" x14ac:dyDescent="0.3">
      <c r="A6" s="24">
        <v>3</v>
      </c>
      <c r="B6" s="25" t="s">
        <v>99</v>
      </c>
      <c r="C6" s="26">
        <v>40</v>
      </c>
      <c r="D6" s="138">
        <v>72.5</v>
      </c>
      <c r="E6" s="26">
        <v>90682.077922077922</v>
      </c>
      <c r="F6" s="151">
        <v>45.15545278608591</v>
      </c>
      <c r="G6" s="138">
        <v>63.687336377124595</v>
      </c>
      <c r="H6" s="26">
        <v>3479</v>
      </c>
      <c r="I6" s="138">
        <v>16.862613369163586</v>
      </c>
      <c r="J6" s="38" t="s">
        <v>9</v>
      </c>
    </row>
    <row r="7" spans="1:10" ht="13.8" x14ac:dyDescent="0.25">
      <c r="A7" s="24">
        <v>4</v>
      </c>
      <c r="B7" s="25" t="s">
        <v>87</v>
      </c>
      <c r="C7" s="26">
        <v>67</v>
      </c>
      <c r="D7" s="138">
        <v>14.925373134328357</v>
      </c>
      <c r="E7" s="37">
        <v>132070</v>
      </c>
      <c r="F7" s="151">
        <v>44.593619171358455</v>
      </c>
      <c r="G7" s="138">
        <v>7.5838570455061705</v>
      </c>
      <c r="H7" s="26">
        <v>457</v>
      </c>
      <c r="I7" s="138">
        <v>40.615384615384613</v>
      </c>
      <c r="J7" s="28" t="s">
        <v>10</v>
      </c>
    </row>
    <row r="8" spans="1:10" ht="13.8" x14ac:dyDescent="0.3">
      <c r="A8" s="24">
        <v>5</v>
      </c>
      <c r="B8" s="25" t="s">
        <v>113</v>
      </c>
      <c r="C8" s="26">
        <v>16</v>
      </c>
      <c r="D8" s="138">
        <v>68.75</v>
      </c>
      <c r="E8" s="26">
        <v>39648</v>
      </c>
      <c r="F8" s="151">
        <v>41.16906726331981</v>
      </c>
      <c r="G8" s="138">
        <v>25.461561743341402</v>
      </c>
      <c r="H8" s="26">
        <v>682</v>
      </c>
      <c r="I8" s="138">
        <v>31.153846153846153</v>
      </c>
      <c r="J8" s="38" t="s">
        <v>6</v>
      </c>
    </row>
    <row r="9" spans="1:10" ht="13.8" x14ac:dyDescent="0.25">
      <c r="A9" s="24">
        <v>6</v>
      </c>
      <c r="B9" s="25" t="s">
        <v>86</v>
      </c>
      <c r="C9" s="26">
        <v>48</v>
      </c>
      <c r="D9" s="138">
        <v>20.833333333333336</v>
      </c>
      <c r="E9" s="26">
        <v>84851</v>
      </c>
      <c r="F9" s="151">
        <v>30.693524650478292</v>
      </c>
      <c r="G9" s="138">
        <v>16.745825034472194</v>
      </c>
      <c r="H9" s="26">
        <v>608</v>
      </c>
      <c r="I9" s="138">
        <v>33.333333333333336</v>
      </c>
      <c r="J9" s="28" t="s">
        <v>10</v>
      </c>
    </row>
    <row r="10" spans="1:10" ht="13.8" x14ac:dyDescent="0.25">
      <c r="A10" s="24">
        <v>7</v>
      </c>
      <c r="B10" s="25" t="s">
        <v>145</v>
      </c>
      <c r="C10" s="26">
        <v>74</v>
      </c>
      <c r="D10" s="138">
        <v>82.432432432432435</v>
      </c>
      <c r="E10" s="37">
        <v>150406</v>
      </c>
      <c r="F10" s="151">
        <v>29.999082596862483</v>
      </c>
      <c r="G10" s="138">
        <v>56.528329986835637</v>
      </c>
      <c r="H10" s="26">
        <v>4294</v>
      </c>
      <c r="I10" s="138">
        <v>33.519900497512438</v>
      </c>
      <c r="J10" s="39" t="s">
        <v>7</v>
      </c>
    </row>
    <row r="11" spans="1:10" ht="13.8" x14ac:dyDescent="0.25">
      <c r="A11" s="24">
        <v>8</v>
      </c>
      <c r="B11" s="25" t="s">
        <v>129</v>
      </c>
      <c r="C11" s="26">
        <v>40</v>
      </c>
      <c r="D11" s="138">
        <v>37.5</v>
      </c>
      <c r="E11" s="26">
        <v>164715</v>
      </c>
      <c r="F11" s="151">
        <v>22.087454127013746</v>
      </c>
      <c r="G11" s="138">
        <v>11.916340345445162</v>
      </c>
      <c r="H11" s="26">
        <v>1252</v>
      </c>
      <c r="I11" s="138">
        <v>12.691269126912692</v>
      </c>
      <c r="J11" s="39" t="s">
        <v>7</v>
      </c>
    </row>
    <row r="12" spans="1:10" ht="13.8" x14ac:dyDescent="0.25">
      <c r="A12" s="24">
        <v>9</v>
      </c>
      <c r="B12" s="25" t="s">
        <v>52</v>
      </c>
      <c r="C12" s="26">
        <v>13</v>
      </c>
      <c r="D12" s="138">
        <v>100</v>
      </c>
      <c r="E12" s="26">
        <v>16691</v>
      </c>
      <c r="F12" s="151">
        <v>21.673178579636865</v>
      </c>
      <c r="G12" s="138">
        <v>95.153076508297886</v>
      </c>
      <c r="H12" s="26">
        <v>664</v>
      </c>
      <c r="I12" s="138">
        <v>4.8973143759873619</v>
      </c>
      <c r="J12" s="28" t="s">
        <v>6</v>
      </c>
    </row>
    <row r="13" spans="1:10" ht="13.8" x14ac:dyDescent="0.25">
      <c r="A13" s="24">
        <v>10</v>
      </c>
      <c r="B13" s="25" t="s">
        <v>143</v>
      </c>
      <c r="C13" s="26">
        <v>93</v>
      </c>
      <c r="D13" s="138">
        <v>86.021505376344081</v>
      </c>
      <c r="E13" s="26">
        <v>317647</v>
      </c>
      <c r="F13" s="151">
        <v>20.031878486709484</v>
      </c>
      <c r="G13" s="138">
        <v>32.242080044829642</v>
      </c>
      <c r="H13" s="26">
        <v>7101</v>
      </c>
      <c r="I13" s="138">
        <v>28.82801161103048</v>
      </c>
      <c r="J13" s="39" t="s">
        <v>7</v>
      </c>
    </row>
  </sheetData>
  <sortState ref="A7:P19">
    <sortCondition descending="1" ref="F7:F19"/>
  </sortState>
  <mergeCells count="8">
    <mergeCell ref="H2:I2"/>
    <mergeCell ref="J2:J3"/>
    <mergeCell ref="D2:D3"/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topLeftCell="B46" workbookViewId="0">
      <selection activeCell="A63" sqref="A63:D74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124" t="s">
        <v>230</v>
      </c>
      <c r="B3" s="170" t="str">
        <f>'1.RSP Districts '!P212</f>
        <v>Number of total districts/areas in the province/area</v>
      </c>
      <c r="C3" s="170" t="str">
        <f>'1.RSP Districts '!A212</f>
        <v xml:space="preserve">Number of districts/areas having RSPs presence  </v>
      </c>
    </row>
    <row r="4" spans="1:3" ht="13.8" x14ac:dyDescent="0.25">
      <c r="A4" s="40" t="s">
        <v>185</v>
      </c>
      <c r="B4" s="170">
        <f>'1.RSP Districts '!P214</f>
        <v>30</v>
      </c>
      <c r="C4" s="170">
        <f>'1.RSP Districts '!A214</f>
        <v>18</v>
      </c>
    </row>
    <row r="5" spans="1:3" ht="13.8" x14ac:dyDescent="0.25">
      <c r="A5" s="40" t="s">
        <v>258</v>
      </c>
      <c r="B5" s="170">
        <f>'1.RSP Districts '!P215</f>
        <v>24</v>
      </c>
      <c r="C5" s="170">
        <f>'1.RSP Districts '!A215</f>
        <v>19</v>
      </c>
    </row>
    <row r="6" spans="1:3" ht="13.8" x14ac:dyDescent="0.25">
      <c r="A6" s="40" t="s">
        <v>186</v>
      </c>
      <c r="B6" s="170">
        <f>'1.RSP Districts '!P216</f>
        <v>23</v>
      </c>
      <c r="C6" s="170">
        <f>'1.RSP Districts '!A216</f>
        <v>22</v>
      </c>
    </row>
    <row r="7" spans="1:3" ht="13.8" x14ac:dyDescent="0.25">
      <c r="A7" s="40" t="s">
        <v>288</v>
      </c>
      <c r="B7" s="170">
        <f>'1.RSP Districts '!P217+'1.RSP Districts '!P213</f>
        <v>37</v>
      </c>
      <c r="C7" s="170">
        <f>'1.RSP Districts '!A217+'1.RSP Districts '!A213</f>
        <v>37</v>
      </c>
    </row>
    <row r="8" spans="1:3" ht="13.8" x14ac:dyDescent="0.25">
      <c r="A8" s="40" t="s">
        <v>259</v>
      </c>
      <c r="B8" s="170">
        <f>'1.RSP Districts '!P218</f>
        <v>10</v>
      </c>
      <c r="C8" s="170">
        <f>'1.RSP Districts '!A218</f>
        <v>10</v>
      </c>
    </row>
    <row r="9" spans="1:3" ht="13.8" x14ac:dyDescent="0.25">
      <c r="A9" s="40" t="s">
        <v>260</v>
      </c>
      <c r="B9" s="170">
        <f>'1.RSP Districts '!P219</f>
        <v>7</v>
      </c>
      <c r="C9" s="170">
        <f>'1.RSP Districts '!A219</f>
        <v>6</v>
      </c>
    </row>
    <row r="10" spans="1:3" ht="13.8" x14ac:dyDescent="0.25">
      <c r="A10" s="40" t="s">
        <v>261</v>
      </c>
      <c r="B10" s="170">
        <f>'1.RSP Districts '!P220</f>
        <v>13</v>
      </c>
      <c r="C10" s="170">
        <f>'1.RSP Districts '!A220</f>
        <v>2</v>
      </c>
    </row>
    <row r="11" spans="1:3" ht="13.8" x14ac:dyDescent="0.25">
      <c r="A11" s="169" t="s">
        <v>289</v>
      </c>
      <c r="B11">
        <f>SUM(B4:B10)</f>
        <v>144</v>
      </c>
      <c r="C11">
        <f>SUM(C4:C10)</f>
        <v>114</v>
      </c>
    </row>
    <row r="15" spans="1:3" x14ac:dyDescent="0.25">
      <c r="A15" s="170" t="s">
        <v>230</v>
      </c>
      <c r="B15" s="170" t="s">
        <v>293</v>
      </c>
      <c r="C15" s="170" t="s">
        <v>292</v>
      </c>
    </row>
    <row r="16" spans="1:3" x14ac:dyDescent="0.25">
      <c r="A16" s="170" t="s">
        <v>185</v>
      </c>
      <c r="B16" s="170">
        <f>'1.RSP Districts '!C214</f>
        <v>547</v>
      </c>
      <c r="C16" s="170">
        <f>'1.RSP Districts '!E214+'1.RSP Districts '!E213</f>
        <v>278</v>
      </c>
    </row>
    <row r="17" spans="1:4" x14ac:dyDescent="0.25">
      <c r="A17" s="170" t="s">
        <v>258</v>
      </c>
      <c r="B17" s="170">
        <f>'1.RSP Districts '!C215</f>
        <v>961</v>
      </c>
      <c r="C17" s="170">
        <f>'1.RSP Districts '!E215</f>
        <v>524</v>
      </c>
    </row>
    <row r="18" spans="1:4" x14ac:dyDescent="0.25">
      <c r="A18" s="170" t="s">
        <v>186</v>
      </c>
      <c r="B18" s="170">
        <f>'1.RSP Districts '!C216</f>
        <v>921</v>
      </c>
      <c r="C18" s="170">
        <f>'1.RSP Districts '!E216</f>
        <v>613</v>
      </c>
    </row>
    <row r="19" spans="1:4" x14ac:dyDescent="0.25">
      <c r="A19" s="170" t="s">
        <v>288</v>
      </c>
      <c r="B19" s="170">
        <f>'1.RSP Districts '!C217+'1.RSP Districts '!C213</f>
        <v>2647</v>
      </c>
      <c r="C19" s="170">
        <f>'1.RSP Districts '!E217</f>
        <v>1835</v>
      </c>
    </row>
    <row r="20" spans="1:4" x14ac:dyDescent="0.25">
      <c r="A20" s="170" t="s">
        <v>259</v>
      </c>
      <c r="B20" s="170">
        <f>'1.RSP Districts '!C218</f>
        <v>196</v>
      </c>
      <c r="C20" s="170">
        <f>'1.RSP Districts '!E218</f>
        <v>179</v>
      </c>
    </row>
    <row r="21" spans="1:4" x14ac:dyDescent="0.25">
      <c r="A21" s="170" t="s">
        <v>260</v>
      </c>
      <c r="B21" s="170">
        <f>'1.RSP Districts '!C219</f>
        <v>103</v>
      </c>
      <c r="C21" s="170">
        <f>'1.RSP Districts '!E219</f>
        <v>94</v>
      </c>
    </row>
    <row r="22" spans="1:4" x14ac:dyDescent="0.25">
      <c r="A22" s="170" t="s">
        <v>261</v>
      </c>
      <c r="B22" s="170">
        <f>'1.RSP Districts '!C220</f>
        <v>190</v>
      </c>
      <c r="C22" s="170">
        <f>'1.RSP Districts '!E220</f>
        <v>6</v>
      </c>
    </row>
    <row r="23" spans="1:4" x14ac:dyDescent="0.25">
      <c r="A23" s="170" t="s">
        <v>241</v>
      </c>
      <c r="B23" s="170">
        <f>SUM(B16:B22)</f>
        <v>5565</v>
      </c>
      <c r="C23" s="170">
        <f>SUM(C16:C22)</f>
        <v>3529</v>
      </c>
    </row>
    <row r="24" spans="1:4" ht="13.8" thickBot="1" x14ac:dyDescent="0.3">
      <c r="C24" s="171">
        <f>C23/B23%</f>
        <v>63.414195867026059</v>
      </c>
    </row>
    <row r="25" spans="1:4" ht="13.8" x14ac:dyDescent="0.25">
      <c r="B25" s="172"/>
    </row>
    <row r="26" spans="1:4" ht="13.8" x14ac:dyDescent="0.25">
      <c r="B26" s="173"/>
    </row>
    <row r="27" spans="1:4" ht="12.75" customHeight="1" x14ac:dyDescent="0.25">
      <c r="A27" s="174" t="s">
        <v>230</v>
      </c>
      <c r="B27" s="170" t="s">
        <v>296</v>
      </c>
      <c r="C27" s="170" t="s">
        <v>294</v>
      </c>
      <c r="D27" s="170" t="s">
        <v>295</v>
      </c>
    </row>
    <row r="28" spans="1:4" ht="13.8" x14ac:dyDescent="0.25">
      <c r="A28" s="40" t="s">
        <v>185</v>
      </c>
      <c r="B28" s="176">
        <f t="shared" ref="B28:B35" si="0">D28/C28%</f>
        <v>44.878251274863565</v>
      </c>
      <c r="C28" s="175">
        <f>'1.RSP Districts '!H214</f>
        <v>523953.125</v>
      </c>
      <c r="D28" s="175">
        <f>'1.RSP Districts '!J214</f>
        <v>235141</v>
      </c>
    </row>
    <row r="29" spans="1:4" ht="13.8" x14ac:dyDescent="0.25">
      <c r="A29" s="40" t="s">
        <v>258</v>
      </c>
      <c r="B29" s="176">
        <f t="shared" si="0"/>
        <v>41.470705649459802</v>
      </c>
      <c r="C29" s="175">
        <f>'1.RSP Districts '!H215</f>
        <v>1580629</v>
      </c>
      <c r="D29" s="175">
        <f>'1.RSP Districts '!J215</f>
        <v>655498</v>
      </c>
    </row>
    <row r="30" spans="1:4" ht="13.8" x14ac:dyDescent="0.25">
      <c r="A30" s="40" t="s">
        <v>186</v>
      </c>
      <c r="B30" s="176">
        <f t="shared" si="0"/>
        <v>32.271113328591049</v>
      </c>
      <c r="C30" s="175">
        <f>'1.RSP Districts '!H216</f>
        <v>2816903.1255411254</v>
      </c>
      <c r="D30" s="175">
        <f>'1.RSP Districts '!J216</f>
        <v>909046</v>
      </c>
    </row>
    <row r="31" spans="1:4" ht="13.8" x14ac:dyDescent="0.25">
      <c r="A31" s="40" t="s">
        <v>288</v>
      </c>
      <c r="B31" s="176">
        <f t="shared" si="0"/>
        <v>37.167151933482401</v>
      </c>
      <c r="C31" s="175">
        <f>'1.RSP Districts '!H217+'1.RSP Districts '!H213</f>
        <v>6026081.8585411254</v>
      </c>
      <c r="D31" s="175">
        <f>'1.RSP Districts '!J217+'1.RSP Districts '!J213</f>
        <v>2239723</v>
      </c>
    </row>
    <row r="32" spans="1:4" ht="13.8" x14ac:dyDescent="0.25">
      <c r="A32" s="40" t="s">
        <v>259</v>
      </c>
      <c r="B32" s="176">
        <f t="shared" si="0"/>
        <v>58.66962537811218</v>
      </c>
      <c r="C32" s="175">
        <f>'1.RSP Districts '!H218</f>
        <v>398969.65165781637</v>
      </c>
      <c r="D32" s="175">
        <f>'1.RSP Districts '!J218</f>
        <v>234074</v>
      </c>
    </row>
    <row r="33" spans="1:4" ht="13.8" x14ac:dyDescent="0.25">
      <c r="A33" s="40" t="s">
        <v>260</v>
      </c>
      <c r="B33" s="176">
        <f t="shared" si="0"/>
        <v>69.747920669136846</v>
      </c>
      <c r="C33" s="175">
        <f>'1.RSP Districts '!H219</f>
        <v>108649.83396348439</v>
      </c>
      <c r="D33" s="175">
        <f>'1.RSP Districts '!J219</f>
        <v>75781</v>
      </c>
    </row>
    <row r="34" spans="1:4" ht="13.8" x14ac:dyDescent="0.25">
      <c r="A34" s="40" t="s">
        <v>261</v>
      </c>
      <c r="B34" s="176">
        <f t="shared" si="0"/>
        <v>12.079899196463613</v>
      </c>
      <c r="C34" s="175">
        <f>'1.RSP Districts '!H220</f>
        <v>48411</v>
      </c>
      <c r="D34" s="175">
        <f>'1.RSP Districts '!J220</f>
        <v>5848</v>
      </c>
    </row>
    <row r="35" spans="1:4" ht="13.8" x14ac:dyDescent="0.25">
      <c r="A35" s="177" t="s">
        <v>19</v>
      </c>
      <c r="B35" s="176">
        <f t="shared" si="0"/>
        <v>37.858686938120691</v>
      </c>
      <c r="C35" s="175">
        <f>SUM(C28:C34)</f>
        <v>11503597.594703551</v>
      </c>
      <c r="D35" s="175">
        <f>SUM(D28:D34)</f>
        <v>4355111</v>
      </c>
    </row>
    <row r="63" spans="1:2" x14ac:dyDescent="0.25">
      <c r="A63" t="s">
        <v>298</v>
      </c>
      <c r="B63" t="s">
        <v>300</v>
      </c>
    </row>
    <row r="64" spans="1:2" x14ac:dyDescent="0.25">
      <c r="A64" t="s">
        <v>305</v>
      </c>
    </row>
    <row r="65" spans="1:4" x14ac:dyDescent="0.25">
      <c r="A65" t="s">
        <v>299</v>
      </c>
    </row>
    <row r="66" spans="1:4" x14ac:dyDescent="0.25">
      <c r="A66" t="s">
        <v>301</v>
      </c>
    </row>
    <row r="67" spans="1:4" x14ac:dyDescent="0.25">
      <c r="A67">
        <v>512</v>
      </c>
      <c r="B67" t="s">
        <v>302</v>
      </c>
      <c r="C67" t="s">
        <v>303</v>
      </c>
      <c r="D67" t="s">
        <v>304</v>
      </c>
    </row>
    <row r="69" spans="1:4" x14ac:dyDescent="0.25">
      <c r="A69" t="s">
        <v>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1.RSP Districts </vt:lpstr>
      <vt:lpstr>2. Overall com progres Jun 11</vt:lpstr>
      <vt:lpstr>Figs for ppt</vt:lpstr>
      <vt:lpstr>Overall commulative progres (2)</vt:lpstr>
      <vt:lpstr>3. Top 10</vt:lpstr>
      <vt:lpstr>Graphs for presentation</vt:lpstr>
      <vt:lpstr>'1.RSP Districts '!Print_Area</vt:lpstr>
      <vt:lpstr>'2. Overall com progres Jun 11'!Print_Area</vt:lpstr>
      <vt:lpstr>'Overall commulative progres (2)'!Print_Area</vt:lpstr>
      <vt:lpstr>'1.RSP Districts '!Print_Titles</vt:lpstr>
      <vt:lpstr>'2. Overall com progres Jun 11'!Print_Titles</vt:lpstr>
      <vt:lpstr>'Overall commulative progres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2011-09-20T04:11:42Z</cp:lastPrinted>
  <dcterms:created xsi:type="dcterms:W3CDTF">2011-06-02T11:20:26Z</dcterms:created>
  <dcterms:modified xsi:type="dcterms:W3CDTF">2015-12-03T06:29:35Z</dcterms:modified>
</cp:coreProperties>
</file>