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96" windowWidth="11916" windowHeight="5616" firstSheet="1" activeTab="1"/>
  </bookViews>
  <sheets>
    <sheet name="Graphs for presentation" sheetId="10" state="hidden" r:id="rId1"/>
    <sheet name="1.RSP Districts " sheetId="2" r:id="rId2"/>
    <sheet name="2. Overall com progres Dec 11" sheetId="5" r:id="rId3"/>
    <sheet name="Overall com progres Sep11(4Ref)" sheetId="11" state="hidden" r:id="rId4"/>
    <sheet name="Figs for ppt" sheetId="3" state="hidden" r:id="rId5"/>
    <sheet name="Overall commulative progres (2)" sheetId="4" state="hidden" r:id="rId6"/>
    <sheet name="3. Overall com progres Jun(ref)" sheetId="9" state="hidden" r:id="rId7"/>
  </sheets>
  <externalReferences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</externalReferences>
  <definedNames>
    <definedName name="_xlnm._FilterDatabase" localSheetId="1" hidden="1">'1.RSP Districts '!$O$1:$O$227</definedName>
    <definedName name="_xlnm._FilterDatabase" localSheetId="2" hidden="1">'2. Overall com progres Dec 11'!#REF!</definedName>
    <definedName name="_xlnm._FilterDatabase" localSheetId="6" hidden="1">'3. Overall com progres Jun(ref)'!#REF!</definedName>
    <definedName name="_xlnm._FilterDatabase" localSheetId="3" hidden="1">'Overall com progres Sep11(4Ref)'!#REF!</definedName>
    <definedName name="_xlnm._FilterDatabase" localSheetId="5" hidden="1">'Overall commulative progres (2)'!#REF!</definedName>
    <definedName name="_xlnm.Print_Area" localSheetId="1">'1.RSP Districts '!$A$1:$P$223</definedName>
    <definedName name="_xlnm.Print_Area" localSheetId="2">'2. Overall com progres Dec 11'!$A$1:$M$61</definedName>
    <definedName name="_xlnm.Print_Area" localSheetId="6">'3. Overall com progres Jun(ref)'!$A$1:$M$61</definedName>
    <definedName name="_xlnm.Print_Area" localSheetId="3">'Overall com progres Sep11(4Ref)'!$A$1:$M$61</definedName>
    <definedName name="_xlnm.Print_Area" localSheetId="5">'Overall commulative progres (2)'!$A$1:$D$52</definedName>
    <definedName name="_xlnm.Print_Titles" localSheetId="1">'1.RSP Districts '!$1:$3</definedName>
    <definedName name="_xlnm.Print_Titles" localSheetId="2">'2. Overall com progres Dec 11'!$1:$3</definedName>
    <definedName name="_xlnm.Print_Titles" localSheetId="6">'3. Overall com progres Jun(ref)'!$1:$3</definedName>
    <definedName name="_xlnm.Print_Titles" localSheetId="3">'Overall com progres Sep11(4Ref)'!$1:$3</definedName>
    <definedName name="_xlnm.Print_Titles" localSheetId="5">'Overall commulative progres (2)'!$1:$3</definedName>
  </definedNames>
  <calcPr calcId="145621"/>
</workbook>
</file>

<file path=xl/calcChain.xml><?xml version="1.0" encoding="utf-8"?>
<calcChain xmlns="http://schemas.openxmlformats.org/spreadsheetml/2006/main">
  <c r="G7" i="5" l="1"/>
  <c r="O6" i="5" l="1"/>
  <c r="N6" i="5"/>
  <c r="D31" i="10" l="1"/>
  <c r="D34" i="10"/>
  <c r="D33" i="10"/>
  <c r="D32" i="10"/>
  <c r="D30" i="10"/>
  <c r="D29" i="10"/>
  <c r="D28" i="10"/>
  <c r="C31" i="10"/>
  <c r="C34" i="10"/>
  <c r="C33" i="10"/>
  <c r="C32" i="10"/>
  <c r="C30" i="10"/>
  <c r="C29" i="10"/>
  <c r="C28" i="10"/>
  <c r="C19" i="10"/>
  <c r="C22" i="10"/>
  <c r="C21" i="10"/>
  <c r="C20" i="10"/>
  <c r="C18" i="10"/>
  <c r="C17" i="10"/>
  <c r="C16" i="10"/>
  <c r="C7" i="10"/>
  <c r="C10" i="10"/>
  <c r="C9" i="10"/>
  <c r="C8" i="10"/>
  <c r="C6" i="10"/>
  <c r="C5" i="10"/>
  <c r="C4" i="10"/>
  <c r="M27" i="5"/>
  <c r="L27" i="5"/>
  <c r="K27" i="5"/>
  <c r="J27" i="5"/>
  <c r="I27" i="5"/>
  <c r="H27" i="5"/>
  <c r="G27" i="5"/>
  <c r="F27" i="5"/>
  <c r="E27" i="5"/>
  <c r="D27" i="5"/>
  <c r="M20" i="5"/>
  <c r="L20" i="5"/>
  <c r="K20" i="5"/>
  <c r="J20" i="5"/>
  <c r="I20" i="5"/>
  <c r="H20" i="5"/>
  <c r="G20" i="5"/>
  <c r="F20" i="5"/>
  <c r="E20" i="5"/>
  <c r="D20" i="5"/>
  <c r="M17" i="5"/>
  <c r="L17" i="5"/>
  <c r="K17" i="5"/>
  <c r="J17" i="5"/>
  <c r="I17" i="5"/>
  <c r="H17" i="5"/>
  <c r="G17" i="5"/>
  <c r="F17" i="5"/>
  <c r="E17" i="5"/>
  <c r="D17" i="5"/>
  <c r="M14" i="5"/>
  <c r="L14" i="5"/>
  <c r="K14" i="5"/>
  <c r="J14" i="5"/>
  <c r="I14" i="5"/>
  <c r="H14" i="5"/>
  <c r="G14" i="5"/>
  <c r="F14" i="5"/>
  <c r="E14" i="5"/>
  <c r="D14" i="5"/>
  <c r="M11" i="5"/>
  <c r="L11" i="5"/>
  <c r="K11" i="5"/>
  <c r="J11" i="5"/>
  <c r="I11" i="5"/>
  <c r="H11" i="5"/>
  <c r="G11" i="5"/>
  <c r="F11" i="5"/>
  <c r="E11" i="5"/>
  <c r="D11" i="5"/>
  <c r="C11" i="5"/>
  <c r="L64" i="2"/>
  <c r="L63" i="2"/>
  <c r="M4" i="5"/>
  <c r="A151" i="2"/>
  <c r="A179" i="2"/>
  <c r="A169" i="2"/>
  <c r="A102" i="2"/>
  <c r="A76" i="2"/>
  <c r="P9" i="11" l="1"/>
  <c r="P8" i="11"/>
  <c r="J205" i="2"/>
  <c r="C169" i="2" l="1"/>
  <c r="C151" i="2"/>
  <c r="C102" i="2"/>
  <c r="H76" i="2"/>
  <c r="D76" i="2"/>
  <c r="C76" i="2"/>
  <c r="E209" i="2"/>
  <c r="C209" i="2"/>
  <c r="J56" i="5" l="1"/>
  <c r="J45" i="5"/>
  <c r="J30" i="5"/>
  <c r="J59" i="5"/>
  <c r="J53" i="5"/>
  <c r="J42" i="5"/>
  <c r="K59" i="5"/>
  <c r="K56" i="5"/>
  <c r="K53" i="5"/>
  <c r="K42" i="5"/>
  <c r="P10" i="11"/>
  <c r="K30" i="5" l="1"/>
  <c r="K45" i="5"/>
  <c r="C59" i="5"/>
  <c r="C53" i="5"/>
  <c r="C14" i="5" l="1"/>
  <c r="C20" i="5"/>
  <c r="C30" i="5"/>
  <c r="C45" i="5"/>
  <c r="C56" i="5"/>
  <c r="C17" i="5"/>
  <c r="C27" i="5"/>
  <c r="C42" i="5"/>
  <c r="A206" i="2"/>
  <c r="H56" i="5"/>
  <c r="H42" i="5"/>
  <c r="L59" i="5"/>
  <c r="L53" i="5"/>
  <c r="L42" i="5"/>
  <c r="L30" i="5" l="1"/>
  <c r="L45" i="5"/>
  <c r="H53" i="5"/>
  <c r="H59" i="5"/>
  <c r="L56" i="5"/>
  <c r="H30" i="5"/>
  <c r="H45" i="5"/>
  <c r="F42" i="5"/>
  <c r="F30" i="5" l="1"/>
  <c r="F45" i="5"/>
  <c r="F56" i="5"/>
  <c r="F53" i="5" l="1"/>
  <c r="F59" i="5"/>
  <c r="E59" i="5" l="1"/>
  <c r="E53" i="5"/>
  <c r="E42" i="5"/>
  <c r="E56" i="5" l="1"/>
  <c r="E30" i="5"/>
  <c r="E45" i="5"/>
  <c r="G30" i="5"/>
  <c r="L68" i="2"/>
  <c r="G68" i="2"/>
  <c r="G53" i="5" l="1"/>
  <c r="G59" i="5"/>
  <c r="G56" i="5"/>
  <c r="G42" i="5"/>
  <c r="G45" i="5"/>
  <c r="E76" i="2"/>
  <c r="G60" i="11"/>
  <c r="R60" i="11" s="1"/>
  <c r="G59" i="11"/>
  <c r="E59" i="11"/>
  <c r="R58" i="11"/>
  <c r="L58" i="11"/>
  <c r="K58" i="11"/>
  <c r="J58" i="11"/>
  <c r="I58" i="11"/>
  <c r="H58" i="11"/>
  <c r="F58" i="11"/>
  <c r="D58" i="11"/>
  <c r="C58" i="11"/>
  <c r="R57" i="11"/>
  <c r="L57" i="11"/>
  <c r="L59" i="11" s="1"/>
  <c r="K57" i="11"/>
  <c r="J57" i="11"/>
  <c r="I57" i="11"/>
  <c r="H57" i="11"/>
  <c r="H59" i="11" s="1"/>
  <c r="F57" i="11"/>
  <c r="D57" i="11"/>
  <c r="C57" i="11"/>
  <c r="G56" i="11"/>
  <c r="E56" i="11"/>
  <c r="R55" i="11"/>
  <c r="L55" i="11"/>
  <c r="K55" i="11"/>
  <c r="J55" i="11"/>
  <c r="I55" i="11"/>
  <c r="H55" i="11"/>
  <c r="F55" i="11"/>
  <c r="D55" i="11"/>
  <c r="C55" i="11"/>
  <c r="R54" i="11"/>
  <c r="L54" i="11"/>
  <c r="K54" i="11"/>
  <c r="J54" i="11"/>
  <c r="I54" i="11"/>
  <c r="H54" i="11"/>
  <c r="F54" i="11"/>
  <c r="D54" i="11"/>
  <c r="C54" i="11"/>
  <c r="H53" i="11"/>
  <c r="G53" i="11"/>
  <c r="E53" i="11"/>
  <c r="R52" i="11"/>
  <c r="L52" i="11"/>
  <c r="K52" i="11"/>
  <c r="J52" i="11"/>
  <c r="I52" i="11"/>
  <c r="F52" i="11"/>
  <c r="D52" i="11"/>
  <c r="C52" i="11"/>
  <c r="R51" i="11"/>
  <c r="L51" i="11"/>
  <c r="L53" i="11" s="1"/>
  <c r="K51" i="11"/>
  <c r="J51" i="11"/>
  <c r="J53" i="11" s="1"/>
  <c r="I51" i="11"/>
  <c r="I53" i="5" s="1"/>
  <c r="F51" i="11"/>
  <c r="F53" i="11" s="1"/>
  <c r="D51" i="11"/>
  <c r="C51" i="11"/>
  <c r="R50" i="11"/>
  <c r="L50" i="11"/>
  <c r="K50" i="11"/>
  <c r="J50" i="11"/>
  <c r="I50" i="11"/>
  <c r="F50" i="11"/>
  <c r="D50" i="11"/>
  <c r="C50" i="11"/>
  <c r="R49" i="11"/>
  <c r="L49" i="11"/>
  <c r="K49" i="11"/>
  <c r="J49" i="11"/>
  <c r="I49" i="11"/>
  <c r="H49" i="11"/>
  <c r="F49" i="11"/>
  <c r="D49" i="11"/>
  <c r="C49" i="11"/>
  <c r="R48" i="11"/>
  <c r="L48" i="11"/>
  <c r="K48" i="11"/>
  <c r="J48" i="11"/>
  <c r="I48" i="11"/>
  <c r="H48" i="11"/>
  <c r="F48" i="11"/>
  <c r="D48" i="11"/>
  <c r="C48" i="11"/>
  <c r="R47" i="11"/>
  <c r="L47" i="11"/>
  <c r="K47" i="11"/>
  <c r="J47" i="11"/>
  <c r="I47" i="11"/>
  <c r="H47" i="11"/>
  <c r="F47" i="11"/>
  <c r="D47" i="11"/>
  <c r="C47" i="11"/>
  <c r="R46" i="11"/>
  <c r="L46" i="11"/>
  <c r="K46" i="11"/>
  <c r="J46" i="11"/>
  <c r="I46" i="11"/>
  <c r="H46" i="11"/>
  <c r="F46" i="11"/>
  <c r="D46" i="11"/>
  <c r="C46" i="11"/>
  <c r="G45" i="11"/>
  <c r="E45" i="11"/>
  <c r="R44" i="11"/>
  <c r="L44" i="11"/>
  <c r="K44" i="11"/>
  <c r="J44" i="11"/>
  <c r="I44" i="11"/>
  <c r="H44" i="11"/>
  <c r="F44" i="11"/>
  <c r="D44" i="11"/>
  <c r="C44" i="11"/>
  <c r="R43" i="11"/>
  <c r="L43" i="11"/>
  <c r="K43" i="11"/>
  <c r="J43" i="11"/>
  <c r="I43" i="11"/>
  <c r="H43" i="11"/>
  <c r="F43" i="11"/>
  <c r="D43" i="11"/>
  <c r="C43" i="11"/>
  <c r="G42" i="11"/>
  <c r="E42" i="11"/>
  <c r="R41" i="11"/>
  <c r="L41" i="11"/>
  <c r="K41" i="11"/>
  <c r="J41" i="11"/>
  <c r="I41" i="11"/>
  <c r="H41" i="11"/>
  <c r="F41" i="11"/>
  <c r="D41" i="11"/>
  <c r="C41" i="11"/>
  <c r="R40" i="11"/>
  <c r="L40" i="11"/>
  <c r="L42" i="11" s="1"/>
  <c r="K40" i="11"/>
  <c r="J40" i="11"/>
  <c r="I40" i="11"/>
  <c r="H40" i="11"/>
  <c r="H42" i="11" s="1"/>
  <c r="F40" i="11"/>
  <c r="D40" i="11"/>
  <c r="C40" i="11"/>
  <c r="M39" i="11"/>
  <c r="M38" i="11"/>
  <c r="M37" i="11"/>
  <c r="M36" i="11"/>
  <c r="M35" i="11"/>
  <c r="M34" i="11"/>
  <c r="M33" i="11"/>
  <c r="M32" i="11"/>
  <c r="M31" i="11"/>
  <c r="G30" i="11"/>
  <c r="E30" i="11"/>
  <c r="R29" i="11"/>
  <c r="L29" i="11"/>
  <c r="K29" i="11"/>
  <c r="J29" i="11"/>
  <c r="I29" i="11"/>
  <c r="H29" i="11"/>
  <c r="F29" i="11"/>
  <c r="D29" i="11"/>
  <c r="C29" i="11"/>
  <c r="R28" i="11"/>
  <c r="L28" i="11"/>
  <c r="K28" i="11"/>
  <c r="J28" i="11"/>
  <c r="I28" i="11"/>
  <c r="H28" i="11"/>
  <c r="F28" i="11"/>
  <c r="D28" i="11"/>
  <c r="C28" i="11"/>
  <c r="C30" i="11" s="1"/>
  <c r="G27" i="11"/>
  <c r="E27" i="11"/>
  <c r="R26" i="11"/>
  <c r="L26" i="11"/>
  <c r="K26" i="11"/>
  <c r="J26" i="11"/>
  <c r="I26" i="11"/>
  <c r="H26" i="11"/>
  <c r="F26" i="11"/>
  <c r="D26" i="11"/>
  <c r="C26" i="11"/>
  <c r="R25" i="11"/>
  <c r="L25" i="11"/>
  <c r="K25" i="11"/>
  <c r="J25" i="11"/>
  <c r="I25" i="11"/>
  <c r="H25" i="11"/>
  <c r="F25" i="11"/>
  <c r="D25" i="11"/>
  <c r="C25" i="11"/>
  <c r="C27" i="11" s="1"/>
  <c r="R24" i="11"/>
  <c r="L24" i="11"/>
  <c r="K24" i="11"/>
  <c r="J24" i="11"/>
  <c r="I24" i="11"/>
  <c r="H24" i="11"/>
  <c r="F24" i="11"/>
  <c r="C24" i="11"/>
  <c r="R23" i="11"/>
  <c r="L23" i="11"/>
  <c r="K23" i="11"/>
  <c r="J23" i="11"/>
  <c r="I23" i="11"/>
  <c r="H23" i="11"/>
  <c r="F23" i="11"/>
  <c r="D23" i="11"/>
  <c r="C23" i="11"/>
  <c r="R22" i="11"/>
  <c r="L22" i="11"/>
  <c r="K22" i="11"/>
  <c r="J22" i="11"/>
  <c r="I22" i="11"/>
  <c r="H22" i="11"/>
  <c r="F22" i="11"/>
  <c r="D22" i="11"/>
  <c r="C22" i="11"/>
  <c r="R21" i="11"/>
  <c r="K21" i="11"/>
  <c r="J21" i="11"/>
  <c r="I21" i="11"/>
  <c r="H21" i="11"/>
  <c r="F21" i="11"/>
  <c r="D21" i="11"/>
  <c r="C21" i="11"/>
  <c r="G20" i="11"/>
  <c r="E20" i="11"/>
  <c r="R19" i="11"/>
  <c r="L19" i="11"/>
  <c r="K19" i="11"/>
  <c r="J19" i="11"/>
  <c r="I19" i="11"/>
  <c r="H19" i="11"/>
  <c r="F19" i="11"/>
  <c r="D19" i="11"/>
  <c r="C19" i="11"/>
  <c r="R18" i="11"/>
  <c r="L18" i="11"/>
  <c r="L20" i="11" s="1"/>
  <c r="K18" i="11"/>
  <c r="J18" i="11"/>
  <c r="I18" i="11"/>
  <c r="H18" i="11"/>
  <c r="H20" i="11" s="1"/>
  <c r="F18" i="11"/>
  <c r="D18" i="11"/>
  <c r="C18" i="11"/>
  <c r="G17" i="11"/>
  <c r="E17" i="11"/>
  <c r="R16" i="11"/>
  <c r="L16" i="11"/>
  <c r="K16" i="11"/>
  <c r="J16" i="11"/>
  <c r="I16" i="11"/>
  <c r="H16" i="11"/>
  <c r="F16" i="11"/>
  <c r="D16" i="11"/>
  <c r="C16" i="11"/>
  <c r="R15" i="11"/>
  <c r="L15" i="11"/>
  <c r="L17" i="11" s="1"/>
  <c r="K15" i="11"/>
  <c r="J15" i="11"/>
  <c r="I15" i="11"/>
  <c r="H15" i="11"/>
  <c r="H17" i="11" s="1"/>
  <c r="F15" i="11"/>
  <c r="D15" i="11"/>
  <c r="C15" i="11"/>
  <c r="G14" i="11"/>
  <c r="E14" i="11"/>
  <c r="R13" i="11"/>
  <c r="L13" i="11"/>
  <c r="K13" i="11"/>
  <c r="J13" i="11"/>
  <c r="I13" i="11"/>
  <c r="H13" i="11"/>
  <c r="F13" i="11"/>
  <c r="D13" i="11"/>
  <c r="C13" i="11"/>
  <c r="R12" i="11"/>
  <c r="L12" i="11"/>
  <c r="L14" i="11" s="1"/>
  <c r="K12" i="11"/>
  <c r="J12" i="11"/>
  <c r="I12" i="11"/>
  <c r="H12" i="11"/>
  <c r="H14" i="11" s="1"/>
  <c r="F12" i="11"/>
  <c r="D12" i="11"/>
  <c r="C12" i="11"/>
  <c r="G11" i="11"/>
  <c r="E11" i="11"/>
  <c r="R10" i="11"/>
  <c r="L10" i="11"/>
  <c r="K10" i="11"/>
  <c r="J10" i="11"/>
  <c r="I10" i="11"/>
  <c r="H10" i="11"/>
  <c r="F10" i="11"/>
  <c r="D10" i="11"/>
  <c r="C10" i="11"/>
  <c r="R9" i="11"/>
  <c r="L9" i="11"/>
  <c r="K9" i="11"/>
  <c r="J9" i="11"/>
  <c r="I9" i="11"/>
  <c r="H9" i="11"/>
  <c r="F9" i="11"/>
  <c r="D9" i="11"/>
  <c r="C9" i="11"/>
  <c r="R8" i="11"/>
  <c r="L8" i="11"/>
  <c r="K8" i="11"/>
  <c r="J8" i="11"/>
  <c r="I8" i="11"/>
  <c r="H8" i="11"/>
  <c r="F8" i="11"/>
  <c r="D8" i="11"/>
  <c r="C8" i="11"/>
  <c r="L7" i="11"/>
  <c r="H7" i="11"/>
  <c r="F7" i="11"/>
  <c r="C7" i="11"/>
  <c r="L6" i="11"/>
  <c r="I6" i="11"/>
  <c r="H6" i="11"/>
  <c r="D6" i="11"/>
  <c r="C6" i="11"/>
  <c r="L5" i="11"/>
  <c r="I5" i="11"/>
  <c r="H5" i="11"/>
  <c r="D5" i="11"/>
  <c r="C5" i="11"/>
  <c r="L4" i="11"/>
  <c r="I4" i="11"/>
  <c r="D4" i="11"/>
  <c r="C4" i="11"/>
  <c r="C35" i="10"/>
  <c r="B22" i="10"/>
  <c r="B21" i="10"/>
  <c r="B20" i="10"/>
  <c r="B19" i="10"/>
  <c r="B18" i="10"/>
  <c r="B17" i="10"/>
  <c r="B16" i="10"/>
  <c r="B10" i="10"/>
  <c r="B9" i="10"/>
  <c r="B8" i="10"/>
  <c r="B7" i="10"/>
  <c r="B6" i="10"/>
  <c r="B5" i="10"/>
  <c r="B4" i="10"/>
  <c r="C3" i="10"/>
  <c r="B3" i="10"/>
  <c r="J7" i="2"/>
  <c r="K6" i="2"/>
  <c r="R60" i="5"/>
  <c r="R44" i="5"/>
  <c r="R40" i="5"/>
  <c r="R19" i="5"/>
  <c r="R15" i="5"/>
  <c r="R58" i="5"/>
  <c r="R57" i="5"/>
  <c r="R55" i="5"/>
  <c r="R54" i="5"/>
  <c r="R52" i="5"/>
  <c r="R51" i="5"/>
  <c r="R50" i="5"/>
  <c r="R49" i="5"/>
  <c r="R48" i="5"/>
  <c r="R47" i="5"/>
  <c r="R46" i="5"/>
  <c r="R43" i="5"/>
  <c r="R41" i="5"/>
  <c r="R29" i="5"/>
  <c r="R28" i="5"/>
  <c r="R26" i="5"/>
  <c r="R25" i="5"/>
  <c r="R24" i="5"/>
  <c r="R23" i="5"/>
  <c r="R22" i="5"/>
  <c r="R21" i="5"/>
  <c r="R18" i="5"/>
  <c r="R16" i="5"/>
  <c r="R13" i="5"/>
  <c r="R12" i="5"/>
  <c r="R10" i="5"/>
  <c r="R9" i="5"/>
  <c r="R8" i="5"/>
  <c r="O6" i="2"/>
  <c r="L10" i="2"/>
  <c r="L6" i="2"/>
  <c r="F6" i="2"/>
  <c r="E7" i="2"/>
  <c r="B23" i="10" l="1"/>
  <c r="H30" i="11"/>
  <c r="B11" i="10"/>
  <c r="M8" i="11"/>
  <c r="F11" i="11"/>
  <c r="K11" i="11"/>
  <c r="M10" i="11"/>
  <c r="J14" i="11"/>
  <c r="M13" i="11"/>
  <c r="J17" i="11"/>
  <c r="M16" i="11"/>
  <c r="J20" i="11"/>
  <c r="M19" i="11"/>
  <c r="M23" i="11"/>
  <c r="F27" i="11"/>
  <c r="K27" i="11"/>
  <c r="F30" i="11"/>
  <c r="K30" i="11"/>
  <c r="J42" i="11"/>
  <c r="D45" i="5"/>
  <c r="J59" i="11"/>
  <c r="I11" i="11"/>
  <c r="D14" i="11"/>
  <c r="D17" i="11"/>
  <c r="D20" i="11"/>
  <c r="M21" i="11"/>
  <c r="I27" i="11"/>
  <c r="I30" i="11"/>
  <c r="I30" i="5"/>
  <c r="D30" i="11"/>
  <c r="D30" i="5"/>
  <c r="D42" i="11"/>
  <c r="D42" i="5"/>
  <c r="D53" i="11"/>
  <c r="D53" i="5"/>
  <c r="I56" i="11"/>
  <c r="I56" i="5"/>
  <c r="D59" i="11"/>
  <c r="D59" i="5"/>
  <c r="I42" i="5"/>
  <c r="I45" i="5"/>
  <c r="D56" i="5"/>
  <c r="I59" i="5"/>
  <c r="J30" i="11"/>
  <c r="L30" i="11"/>
  <c r="M41" i="11"/>
  <c r="M58" i="11"/>
  <c r="F42" i="11"/>
  <c r="H11" i="11"/>
  <c r="C45" i="11"/>
  <c r="F45" i="11"/>
  <c r="K45" i="11"/>
  <c r="H45" i="11"/>
  <c r="J45" i="11"/>
  <c r="L45" i="11"/>
  <c r="H56" i="11"/>
  <c r="J56" i="11"/>
  <c r="L56" i="11"/>
  <c r="F56" i="11"/>
  <c r="C59" i="11"/>
  <c r="F59" i="11"/>
  <c r="D11" i="11"/>
  <c r="I14" i="11"/>
  <c r="I17" i="11"/>
  <c r="I20" i="11"/>
  <c r="D27" i="11"/>
  <c r="I42" i="11"/>
  <c r="I45" i="11"/>
  <c r="D45" i="11"/>
  <c r="M46" i="11"/>
  <c r="M48" i="11"/>
  <c r="N48" i="11" s="1"/>
  <c r="M51" i="11"/>
  <c r="D56" i="11"/>
  <c r="M55" i="11"/>
  <c r="I59" i="11"/>
  <c r="I53" i="11"/>
  <c r="J11" i="11"/>
  <c r="L11" i="11"/>
  <c r="M9" i="11"/>
  <c r="C14" i="11"/>
  <c r="F14" i="11"/>
  <c r="K14" i="11"/>
  <c r="C17" i="11"/>
  <c r="F17" i="11"/>
  <c r="K17" i="11"/>
  <c r="C20" i="11"/>
  <c r="F20" i="11"/>
  <c r="K20" i="11"/>
  <c r="M22" i="11"/>
  <c r="H27" i="11"/>
  <c r="J27" i="11"/>
  <c r="L27" i="11"/>
  <c r="M26" i="11"/>
  <c r="M29" i="11"/>
  <c r="C42" i="11"/>
  <c r="K42" i="11"/>
  <c r="M44" i="11"/>
  <c r="M47" i="11"/>
  <c r="M49" i="11"/>
  <c r="N49" i="11" s="1"/>
  <c r="M50" i="11"/>
  <c r="M52" i="11"/>
  <c r="M53" i="11" s="1"/>
  <c r="N53" i="11" s="1"/>
  <c r="K53" i="11"/>
  <c r="C56" i="11"/>
  <c r="K56" i="11"/>
  <c r="K59" i="11"/>
  <c r="M11" i="11"/>
  <c r="N8" i="11" s="1"/>
  <c r="G7" i="11"/>
  <c r="C11" i="11"/>
  <c r="M12" i="11"/>
  <c r="M15" i="11"/>
  <c r="M17" i="11" s="1"/>
  <c r="M18" i="11"/>
  <c r="M25" i="11"/>
  <c r="M28" i="11"/>
  <c r="M43" i="11"/>
  <c r="C53" i="11"/>
  <c r="M40" i="11"/>
  <c r="M42" i="11" s="1"/>
  <c r="N42" i="11" s="1"/>
  <c r="M54" i="11"/>
  <c r="M57" i="11"/>
  <c r="G6" i="2"/>
  <c r="F33" i="2"/>
  <c r="M59" i="11" l="1"/>
  <c r="M56" i="11"/>
  <c r="O49" i="11"/>
  <c r="M30" i="11"/>
  <c r="N30" i="11" s="1"/>
  <c r="N28" i="11"/>
  <c r="M14" i="11"/>
  <c r="N14" i="11" s="1"/>
  <c r="M45" i="11"/>
  <c r="N45" i="11" s="1"/>
  <c r="N43" i="11"/>
  <c r="N25" i="11"/>
  <c r="M27" i="11"/>
  <c r="O25" i="11"/>
  <c r="M7" i="11"/>
  <c r="N18" i="11"/>
  <c r="M20" i="11"/>
  <c r="N20" i="11" s="1"/>
  <c r="N12" i="11" l="1"/>
  <c r="N27" i="11"/>
  <c r="O27" i="11"/>
  <c r="O18" i="11"/>
  <c r="L59" i="9" l="1"/>
  <c r="K59" i="9"/>
  <c r="J59" i="9"/>
  <c r="I59" i="9"/>
  <c r="H59" i="9"/>
  <c r="G59" i="9"/>
  <c r="R59" i="11" s="1"/>
  <c r="F59" i="9"/>
  <c r="E59" i="9"/>
  <c r="D59" i="9"/>
  <c r="C59" i="9"/>
  <c r="M58" i="9"/>
  <c r="M57" i="9"/>
  <c r="L56" i="9"/>
  <c r="K56" i="9"/>
  <c r="J56" i="9"/>
  <c r="I56" i="9"/>
  <c r="H56" i="9"/>
  <c r="G56" i="9"/>
  <c r="R56" i="11" s="1"/>
  <c r="F56" i="9"/>
  <c r="E56" i="9"/>
  <c r="D56" i="9"/>
  <c r="C56" i="9"/>
  <c r="M55" i="9"/>
  <c r="M54" i="9"/>
  <c r="L53" i="9"/>
  <c r="K53" i="9"/>
  <c r="J53" i="9"/>
  <c r="I53" i="9"/>
  <c r="H53" i="9"/>
  <c r="G53" i="9"/>
  <c r="R53" i="11" s="1"/>
  <c r="F53" i="9"/>
  <c r="E53" i="9"/>
  <c r="D53" i="9"/>
  <c r="C53" i="9"/>
  <c r="M52" i="9"/>
  <c r="M51" i="9"/>
  <c r="M50" i="9"/>
  <c r="M49" i="9"/>
  <c r="O49" i="9" s="1"/>
  <c r="M48" i="9"/>
  <c r="N48" i="9" s="1"/>
  <c r="M47" i="9"/>
  <c r="M46" i="9"/>
  <c r="L45" i="9"/>
  <c r="K45" i="9"/>
  <c r="J45" i="9"/>
  <c r="I45" i="9"/>
  <c r="H45" i="9"/>
  <c r="G45" i="9"/>
  <c r="R45" i="11" s="1"/>
  <c r="F45" i="9"/>
  <c r="E45" i="9"/>
  <c r="D45" i="9"/>
  <c r="C45" i="9"/>
  <c r="M44" i="9"/>
  <c r="M43" i="9"/>
  <c r="M45" i="9" s="1"/>
  <c r="N45" i="9" s="1"/>
  <c r="L42" i="9"/>
  <c r="K42" i="9"/>
  <c r="J42" i="9"/>
  <c r="I42" i="9"/>
  <c r="H42" i="9"/>
  <c r="G42" i="9"/>
  <c r="R42" i="11" s="1"/>
  <c r="F42" i="9"/>
  <c r="E42" i="9"/>
  <c r="D42" i="9"/>
  <c r="C42" i="9"/>
  <c r="M41" i="9"/>
  <c r="M40" i="9"/>
  <c r="M39" i="9"/>
  <c r="M38" i="9"/>
  <c r="M37" i="9"/>
  <c r="M36" i="9"/>
  <c r="M35" i="9"/>
  <c r="M34" i="9"/>
  <c r="M33" i="9"/>
  <c r="M32" i="9"/>
  <c r="M31" i="9"/>
  <c r="L30" i="9"/>
  <c r="K30" i="9"/>
  <c r="J30" i="9"/>
  <c r="I30" i="9"/>
  <c r="H30" i="9"/>
  <c r="G30" i="9"/>
  <c r="R30" i="11" s="1"/>
  <c r="F30" i="9"/>
  <c r="E30" i="9"/>
  <c r="D30" i="9"/>
  <c r="C30" i="9"/>
  <c r="M29" i="9"/>
  <c r="M28" i="9"/>
  <c r="M30" i="9" s="1"/>
  <c r="N30" i="9" s="1"/>
  <c r="L27" i="9"/>
  <c r="K27" i="9"/>
  <c r="J27" i="9"/>
  <c r="I27" i="9"/>
  <c r="H27" i="9"/>
  <c r="G27" i="9"/>
  <c r="F27" i="9"/>
  <c r="E27" i="9"/>
  <c r="D27" i="9"/>
  <c r="C27" i="9"/>
  <c r="M26" i="9"/>
  <c r="M25" i="9"/>
  <c r="N25" i="9" s="1"/>
  <c r="E24" i="9"/>
  <c r="D24" i="9"/>
  <c r="D24" i="11" s="1"/>
  <c r="C24" i="9"/>
  <c r="M23" i="9"/>
  <c r="M22" i="9"/>
  <c r="M21" i="9"/>
  <c r="L20" i="9"/>
  <c r="K20" i="9"/>
  <c r="J20" i="9"/>
  <c r="I20" i="9"/>
  <c r="H20" i="9"/>
  <c r="G20" i="9"/>
  <c r="R20" i="11" s="1"/>
  <c r="F20" i="9"/>
  <c r="E20" i="9"/>
  <c r="D20" i="9"/>
  <c r="C20" i="9"/>
  <c r="M19" i="9"/>
  <c r="M18" i="9"/>
  <c r="N18" i="9" s="1"/>
  <c r="L17" i="9"/>
  <c r="K17" i="9"/>
  <c r="J17" i="9"/>
  <c r="I17" i="9"/>
  <c r="H17" i="9"/>
  <c r="G17" i="9"/>
  <c r="R17" i="11" s="1"/>
  <c r="F17" i="9"/>
  <c r="D17" i="9"/>
  <c r="C17" i="9"/>
  <c r="M16" i="9"/>
  <c r="E16" i="9"/>
  <c r="E15" i="9"/>
  <c r="M15" i="9" s="1"/>
  <c r="M17" i="9" s="1"/>
  <c r="L14" i="9"/>
  <c r="K14" i="9"/>
  <c r="J14" i="9"/>
  <c r="I14" i="9"/>
  <c r="H14" i="9"/>
  <c r="G14" i="9"/>
  <c r="R14" i="11" s="1"/>
  <c r="F14" i="9"/>
  <c r="E14" i="9"/>
  <c r="D14" i="9"/>
  <c r="C14" i="9"/>
  <c r="M13" i="9"/>
  <c r="M12" i="9"/>
  <c r="L11" i="9"/>
  <c r="K11" i="9"/>
  <c r="J11" i="9"/>
  <c r="I11" i="9"/>
  <c r="H11" i="9"/>
  <c r="G11" i="9"/>
  <c r="R11" i="11" s="1"/>
  <c r="F11" i="9"/>
  <c r="E11" i="9"/>
  <c r="D11" i="9"/>
  <c r="C11" i="9"/>
  <c r="M10" i="9"/>
  <c r="M9" i="9"/>
  <c r="M8" i="9"/>
  <c r="G7" i="9"/>
  <c r="M6" i="9"/>
  <c r="M5" i="9"/>
  <c r="M4" i="9"/>
  <c r="N210" i="2"/>
  <c r="N209" i="2"/>
  <c r="N208" i="2"/>
  <c r="N207" i="2"/>
  <c r="N206" i="2"/>
  <c r="N205" i="2"/>
  <c r="N204" i="2"/>
  <c r="N203" i="2"/>
  <c r="N202" i="2"/>
  <c r="N201" i="2"/>
  <c r="J210" i="2"/>
  <c r="J209" i="2"/>
  <c r="J208" i="2"/>
  <c r="J207" i="2"/>
  <c r="J206" i="2"/>
  <c r="J204" i="2"/>
  <c r="J203" i="2"/>
  <c r="J202" i="2"/>
  <c r="J201" i="2"/>
  <c r="E210" i="2"/>
  <c r="K5" i="11"/>
  <c r="E208" i="2"/>
  <c r="E207" i="2"/>
  <c r="E206" i="2"/>
  <c r="E205" i="2"/>
  <c r="E204" i="2"/>
  <c r="E203" i="2"/>
  <c r="E202" i="2"/>
  <c r="E201" i="2"/>
  <c r="N195" i="2"/>
  <c r="N222" i="2" s="1"/>
  <c r="J195" i="2"/>
  <c r="J222" i="2" s="1"/>
  <c r="B34" i="10" s="1"/>
  <c r="E195" i="2"/>
  <c r="E222" i="2" s="1"/>
  <c r="N179" i="2"/>
  <c r="N221" i="2" s="1"/>
  <c r="J179" i="2"/>
  <c r="J221" i="2" s="1"/>
  <c r="B33" i="10" s="1"/>
  <c r="E179" i="2"/>
  <c r="E221" i="2" s="1"/>
  <c r="N169" i="2"/>
  <c r="N220" i="2" s="1"/>
  <c r="J169" i="2"/>
  <c r="J220" i="2" s="1"/>
  <c r="B32" i="10" s="1"/>
  <c r="E169" i="2"/>
  <c r="E220" i="2" s="1"/>
  <c r="N151" i="2"/>
  <c r="N219" i="2" s="1"/>
  <c r="J151" i="2"/>
  <c r="J219" i="2" s="1"/>
  <c r="E151" i="2"/>
  <c r="E219" i="2" s="1"/>
  <c r="N102" i="2"/>
  <c r="N218" i="2" s="1"/>
  <c r="J102" i="2"/>
  <c r="J218" i="2" s="1"/>
  <c r="B30" i="10" s="1"/>
  <c r="E102" i="2"/>
  <c r="E218" i="2" s="1"/>
  <c r="N76" i="2"/>
  <c r="N217" i="2" s="1"/>
  <c r="J76" i="2"/>
  <c r="J217" i="2" s="1"/>
  <c r="E217" i="2"/>
  <c r="N40" i="2"/>
  <c r="N216" i="2" s="1"/>
  <c r="J40" i="2"/>
  <c r="I40" i="2"/>
  <c r="H40" i="2"/>
  <c r="E40" i="2"/>
  <c r="N7" i="2"/>
  <c r="N215" i="2" s="1"/>
  <c r="J215" i="2"/>
  <c r="I7" i="2"/>
  <c r="H7" i="2"/>
  <c r="C7" i="2"/>
  <c r="E21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78" i="2"/>
  <c r="G177" i="2"/>
  <c r="G176" i="2"/>
  <c r="G175" i="2"/>
  <c r="G174" i="2"/>
  <c r="G173" i="2"/>
  <c r="G172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4" i="2"/>
  <c r="G83" i="2"/>
  <c r="G82" i="2"/>
  <c r="G81" i="2"/>
  <c r="G80" i="2"/>
  <c r="G79" i="2"/>
  <c r="G75" i="2"/>
  <c r="G74" i="2"/>
  <c r="G73" i="2"/>
  <c r="G72" i="2"/>
  <c r="G71" i="2"/>
  <c r="G70" i="2"/>
  <c r="G69" i="2"/>
  <c r="G67" i="2"/>
  <c r="G66" i="2"/>
  <c r="G65" i="2"/>
  <c r="G64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F193" i="2"/>
  <c r="F184" i="2"/>
  <c r="D179" i="2"/>
  <c r="F180" i="2"/>
  <c r="F178" i="2"/>
  <c r="F177" i="2"/>
  <c r="F176" i="2"/>
  <c r="F175" i="2"/>
  <c r="F174" i="2"/>
  <c r="F172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0" i="2"/>
  <c r="F109" i="2"/>
  <c r="F108" i="2"/>
  <c r="F107" i="2"/>
  <c r="F106" i="2"/>
  <c r="F105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4" i="2"/>
  <c r="F83" i="2"/>
  <c r="F82" i="2"/>
  <c r="F81" i="2"/>
  <c r="F80" i="2"/>
  <c r="F79" i="2"/>
  <c r="F74" i="2"/>
  <c r="F73" i="2"/>
  <c r="F72" i="2"/>
  <c r="F71" i="2"/>
  <c r="F70" i="2"/>
  <c r="F69" i="2"/>
  <c r="F67" i="2"/>
  <c r="F66" i="2"/>
  <c r="F65" i="2"/>
  <c r="F64" i="2"/>
  <c r="F62" i="2"/>
  <c r="F60" i="2"/>
  <c r="F59" i="2"/>
  <c r="F58" i="2"/>
  <c r="F57" i="2"/>
  <c r="F56" i="2"/>
  <c r="F55" i="2"/>
  <c r="F52" i="2"/>
  <c r="F51" i="2"/>
  <c r="F50" i="2"/>
  <c r="F49" i="2"/>
  <c r="F48" i="2"/>
  <c r="F47" i="2"/>
  <c r="F46" i="2"/>
  <c r="F45" i="2"/>
  <c r="F43" i="2"/>
  <c r="F38" i="2"/>
  <c r="F35" i="2"/>
  <c r="F34" i="2"/>
  <c r="F32" i="2"/>
  <c r="F28" i="2"/>
  <c r="F27" i="2"/>
  <c r="F24" i="2"/>
  <c r="F22" i="2"/>
  <c r="F21" i="2"/>
  <c r="F20" i="2"/>
  <c r="F19" i="2"/>
  <c r="F18" i="2"/>
  <c r="F17" i="2"/>
  <c r="F15" i="2"/>
  <c r="F12" i="2"/>
  <c r="F10" i="2"/>
  <c r="F111" i="2"/>
  <c r="O193" i="2"/>
  <c r="O184" i="2"/>
  <c r="O178" i="2"/>
  <c r="O177" i="2"/>
  <c r="O176" i="2"/>
  <c r="O175" i="2"/>
  <c r="O174" i="2"/>
  <c r="O172" i="2"/>
  <c r="O168" i="2"/>
  <c r="O167" i="2"/>
  <c r="O166" i="2"/>
  <c r="O165" i="2"/>
  <c r="O164" i="2"/>
  <c r="O163" i="2"/>
  <c r="O162" i="2"/>
  <c r="O161" i="2"/>
  <c r="O160" i="2"/>
  <c r="O159" i="2"/>
  <c r="O158" i="2"/>
  <c r="O157" i="2"/>
  <c r="O156" i="2"/>
  <c r="O155" i="2"/>
  <c r="O154" i="2"/>
  <c r="O150" i="2"/>
  <c r="O149" i="2"/>
  <c r="O148" i="2"/>
  <c r="O147" i="2"/>
  <c r="O146" i="2"/>
  <c r="O145" i="2"/>
  <c r="O144" i="2"/>
  <c r="O143" i="2"/>
  <c r="O142" i="2"/>
  <c r="O141" i="2"/>
  <c r="O140" i="2"/>
  <c r="O139" i="2"/>
  <c r="O138" i="2"/>
  <c r="O137" i="2"/>
  <c r="O136" i="2"/>
  <c r="O135" i="2"/>
  <c r="O134" i="2"/>
  <c r="O132" i="2"/>
  <c r="O131" i="2"/>
  <c r="O130" i="2"/>
  <c r="O129" i="2"/>
  <c r="O128" i="2"/>
  <c r="O127" i="2"/>
  <c r="O126" i="2"/>
  <c r="O125" i="2"/>
  <c r="O124" i="2"/>
  <c r="O123" i="2"/>
  <c r="O122" i="2"/>
  <c r="O121" i="2"/>
  <c r="O120" i="2"/>
  <c r="O119" i="2"/>
  <c r="O118" i="2"/>
  <c r="O117" i="2"/>
  <c r="O116" i="2"/>
  <c r="O115" i="2"/>
  <c r="O114" i="2"/>
  <c r="O113" i="2"/>
  <c r="O112" i="2"/>
  <c r="O111" i="2"/>
  <c r="O110" i="2"/>
  <c r="O109" i="2"/>
  <c r="O108" i="2"/>
  <c r="O107" i="2"/>
  <c r="O106" i="2"/>
  <c r="O105" i="2"/>
  <c r="O101" i="2"/>
  <c r="O100" i="2"/>
  <c r="O99" i="2"/>
  <c r="O98" i="2"/>
  <c r="O97" i="2"/>
  <c r="O96" i="2"/>
  <c r="O95" i="2"/>
  <c r="O94" i="2"/>
  <c r="O93" i="2"/>
  <c r="O92" i="2"/>
  <c r="O91" i="2"/>
  <c r="O90" i="2"/>
  <c r="O89" i="2"/>
  <c r="O88" i="2"/>
  <c r="O87" i="2"/>
  <c r="O86" i="2"/>
  <c r="O84" i="2"/>
  <c r="O83" i="2"/>
  <c r="O82" i="2"/>
  <c r="O81" i="2"/>
  <c r="O80" i="2"/>
  <c r="O79" i="2"/>
  <c r="O74" i="2"/>
  <c r="O73" i="2"/>
  <c r="O72" i="2"/>
  <c r="O71" i="2"/>
  <c r="O70" i="2"/>
  <c r="O69" i="2"/>
  <c r="O67" i="2"/>
  <c r="O66" i="2"/>
  <c r="O65" i="2"/>
  <c r="O64" i="2"/>
  <c r="O62" i="2"/>
  <c r="O60" i="2"/>
  <c r="O59" i="2"/>
  <c r="O58" i="2"/>
  <c r="O57" i="2"/>
  <c r="O56" i="2"/>
  <c r="O55" i="2"/>
  <c r="O52" i="2"/>
  <c r="O51" i="2"/>
  <c r="O50" i="2"/>
  <c r="O49" i="2"/>
  <c r="O48" i="2"/>
  <c r="O47" i="2"/>
  <c r="O46" i="2"/>
  <c r="O45" i="2"/>
  <c r="O43" i="2"/>
  <c r="O38" i="2"/>
  <c r="O35" i="2"/>
  <c r="O34" i="2"/>
  <c r="O33" i="2"/>
  <c r="O32" i="2"/>
  <c r="O28" i="2"/>
  <c r="O27" i="2"/>
  <c r="O24" i="2"/>
  <c r="O22" i="2"/>
  <c r="O21" i="2"/>
  <c r="O20" i="2"/>
  <c r="O19" i="2"/>
  <c r="O17" i="2"/>
  <c r="O15" i="2"/>
  <c r="O12" i="2"/>
  <c r="O10" i="2"/>
  <c r="M179" i="2"/>
  <c r="L193" i="2"/>
  <c r="L184" i="2"/>
  <c r="L178" i="2"/>
  <c r="L177" i="2"/>
  <c r="L176" i="2"/>
  <c r="L175" i="2"/>
  <c r="L174" i="2"/>
  <c r="L172" i="2"/>
  <c r="L168" i="2"/>
  <c r="L167" i="2"/>
  <c r="L166" i="2"/>
  <c r="L165" i="2"/>
  <c r="L164" i="2"/>
  <c r="L163" i="2"/>
  <c r="L162" i="2"/>
  <c r="L161" i="2"/>
  <c r="L160" i="2"/>
  <c r="L159" i="2"/>
  <c r="L158" i="2"/>
  <c r="L157" i="2"/>
  <c r="L156" i="2"/>
  <c r="L155" i="2"/>
  <c r="L154" i="2"/>
  <c r="L150" i="2"/>
  <c r="L149" i="2"/>
  <c r="L148" i="2"/>
  <c r="L147" i="2"/>
  <c r="L146" i="2"/>
  <c r="L145" i="2"/>
  <c r="L144" i="2"/>
  <c r="L143" i="2"/>
  <c r="L142" i="2"/>
  <c r="L141" i="2"/>
  <c r="L140" i="2"/>
  <c r="L139" i="2"/>
  <c r="L138" i="2"/>
  <c r="L137" i="2"/>
  <c r="L136" i="2"/>
  <c r="L135" i="2"/>
  <c r="L134" i="2"/>
  <c r="L133" i="2"/>
  <c r="L132" i="2"/>
  <c r="L131" i="2"/>
  <c r="L130" i="2"/>
  <c r="L129" i="2"/>
  <c r="L128" i="2"/>
  <c r="L127" i="2"/>
  <c r="L126" i="2"/>
  <c r="L125" i="2"/>
  <c r="L124" i="2"/>
  <c r="L123" i="2"/>
  <c r="L122" i="2"/>
  <c r="L121" i="2"/>
  <c r="L120" i="2"/>
  <c r="L119" i="2"/>
  <c r="L118" i="2"/>
  <c r="L117" i="2"/>
  <c r="L116" i="2"/>
  <c r="L115" i="2"/>
  <c r="L114" i="2"/>
  <c r="L113" i="2"/>
  <c r="L112" i="2"/>
  <c r="L110" i="2"/>
  <c r="L109" i="2"/>
  <c r="L108" i="2"/>
  <c r="L107" i="2"/>
  <c r="L106" i="2"/>
  <c r="L105" i="2"/>
  <c r="L101" i="2"/>
  <c r="L100" i="2"/>
  <c r="L99" i="2"/>
  <c r="L98" i="2"/>
  <c r="L97" i="2"/>
  <c r="L96" i="2"/>
  <c r="L95" i="2"/>
  <c r="L94" i="2"/>
  <c r="L93" i="2"/>
  <c r="L92" i="2"/>
  <c r="L91" i="2"/>
  <c r="L90" i="2"/>
  <c r="L89" i="2"/>
  <c r="L88" i="2"/>
  <c r="L87" i="2"/>
  <c r="L86" i="2"/>
  <c r="L84" i="2"/>
  <c r="L83" i="2"/>
  <c r="L82" i="2"/>
  <c r="L81" i="2"/>
  <c r="L80" i="2"/>
  <c r="L79" i="2"/>
  <c r="L74" i="2"/>
  <c r="L73" i="2"/>
  <c r="L72" i="2"/>
  <c r="L71" i="2"/>
  <c r="L70" i="2"/>
  <c r="L69" i="2"/>
  <c r="L67" i="2"/>
  <c r="L66" i="2"/>
  <c r="L65" i="2"/>
  <c r="L62" i="2"/>
  <c r="L60" i="2"/>
  <c r="L59" i="2"/>
  <c r="L58" i="2"/>
  <c r="L57" i="2"/>
  <c r="L56" i="2"/>
  <c r="L55" i="2"/>
  <c r="L52" i="2"/>
  <c r="L51" i="2"/>
  <c r="L50" i="2"/>
  <c r="L49" i="2"/>
  <c r="L48" i="2"/>
  <c r="L47" i="2"/>
  <c r="L46" i="2"/>
  <c r="L45" i="2"/>
  <c r="L43" i="2"/>
  <c r="L38" i="2"/>
  <c r="L35" i="2"/>
  <c r="L33" i="2"/>
  <c r="L32" i="2"/>
  <c r="L28" i="2"/>
  <c r="L26" i="2"/>
  <c r="L24" i="2"/>
  <c r="L22" i="2"/>
  <c r="L21" i="2"/>
  <c r="L20" i="2"/>
  <c r="L19" i="2"/>
  <c r="L18" i="2"/>
  <c r="L17" i="2"/>
  <c r="L15" i="2"/>
  <c r="L12" i="2"/>
  <c r="I179" i="2"/>
  <c r="K193" i="2"/>
  <c r="K184" i="2"/>
  <c r="K178" i="2"/>
  <c r="K177" i="2"/>
  <c r="K176" i="2"/>
  <c r="K175" i="2"/>
  <c r="K174" i="2"/>
  <c r="K172" i="2"/>
  <c r="K168" i="2"/>
  <c r="K167" i="2"/>
  <c r="K166" i="2"/>
  <c r="K165" i="2"/>
  <c r="K164" i="2"/>
  <c r="K163" i="2"/>
  <c r="K162" i="2"/>
  <c r="K161" i="2"/>
  <c r="K160" i="2"/>
  <c r="K159" i="2"/>
  <c r="K158" i="2"/>
  <c r="K157" i="2"/>
  <c r="K156" i="2"/>
  <c r="K155" i="2"/>
  <c r="K154" i="2"/>
  <c r="K150" i="2"/>
  <c r="K149" i="2"/>
  <c r="K148" i="2"/>
  <c r="K147" i="2"/>
  <c r="K146" i="2"/>
  <c r="K145" i="2"/>
  <c r="K144" i="2"/>
  <c r="K143" i="2"/>
  <c r="K142" i="2"/>
  <c r="K141" i="2"/>
  <c r="K140" i="2"/>
  <c r="K139" i="2"/>
  <c r="K138" i="2"/>
  <c r="K137" i="2"/>
  <c r="K136" i="2"/>
  <c r="K135" i="2"/>
  <c r="K134" i="2"/>
  <c r="K132" i="2"/>
  <c r="K131" i="2"/>
  <c r="K130" i="2"/>
  <c r="K129" i="2"/>
  <c r="K128" i="2"/>
  <c r="K127" i="2"/>
  <c r="K126" i="2"/>
  <c r="K125" i="2"/>
  <c r="K124" i="2"/>
  <c r="K123" i="2"/>
  <c r="K122" i="2"/>
  <c r="K121" i="2"/>
  <c r="K120" i="2"/>
  <c r="K119" i="2"/>
  <c r="K118" i="2"/>
  <c r="K117" i="2"/>
  <c r="K116" i="2"/>
  <c r="K115" i="2"/>
  <c r="K114" i="2"/>
  <c r="K113" i="2"/>
  <c r="K112" i="2"/>
  <c r="K111" i="2"/>
  <c r="K110" i="2"/>
  <c r="K109" i="2"/>
  <c r="K108" i="2"/>
  <c r="K107" i="2"/>
  <c r="K106" i="2"/>
  <c r="K105" i="2"/>
  <c r="K101" i="2"/>
  <c r="K100" i="2"/>
  <c r="K99" i="2"/>
  <c r="K98" i="2"/>
  <c r="K97" i="2"/>
  <c r="K96" i="2"/>
  <c r="K95" i="2"/>
  <c r="K94" i="2"/>
  <c r="K93" i="2"/>
  <c r="K92" i="2"/>
  <c r="K91" i="2"/>
  <c r="K90" i="2"/>
  <c r="K89" i="2"/>
  <c r="K88" i="2"/>
  <c r="K87" i="2"/>
  <c r="K86" i="2"/>
  <c r="K84" i="2"/>
  <c r="K83" i="2"/>
  <c r="K82" i="2"/>
  <c r="K81" i="2"/>
  <c r="K80" i="2"/>
  <c r="K79" i="2"/>
  <c r="K74" i="2"/>
  <c r="K73" i="2"/>
  <c r="K72" i="2"/>
  <c r="K71" i="2"/>
  <c r="K70" i="2"/>
  <c r="K69" i="2"/>
  <c r="K67" i="2"/>
  <c r="K66" i="2"/>
  <c r="K65" i="2"/>
  <c r="K64" i="2"/>
  <c r="K62" i="2"/>
  <c r="K60" i="2"/>
  <c r="K59" i="2"/>
  <c r="K58" i="2"/>
  <c r="K57" i="2"/>
  <c r="K56" i="2"/>
  <c r="K55" i="2"/>
  <c r="K52" i="2"/>
  <c r="K51" i="2"/>
  <c r="K50" i="2"/>
  <c r="K49" i="2"/>
  <c r="K48" i="2"/>
  <c r="K47" i="2"/>
  <c r="K46" i="2"/>
  <c r="K45" i="2"/>
  <c r="K43" i="2"/>
  <c r="K38" i="2"/>
  <c r="K35" i="2"/>
  <c r="K34" i="2"/>
  <c r="K33" i="2"/>
  <c r="K32" i="2"/>
  <c r="K28" i="2"/>
  <c r="K27" i="2"/>
  <c r="K24" i="2"/>
  <c r="K22" i="2"/>
  <c r="K21" i="2"/>
  <c r="K20" i="2"/>
  <c r="K19" i="2"/>
  <c r="K18" i="2"/>
  <c r="K17" i="2"/>
  <c r="K15" i="2"/>
  <c r="K12" i="2"/>
  <c r="K10" i="2"/>
  <c r="P11" i="11" l="1"/>
  <c r="R7" i="5"/>
  <c r="R7" i="11"/>
  <c r="M53" i="9"/>
  <c r="N53" i="9" s="1"/>
  <c r="M56" i="9"/>
  <c r="M59" i="9"/>
  <c r="F179" i="2"/>
  <c r="M24" i="11"/>
  <c r="R27" i="5"/>
  <c r="R27" i="11"/>
  <c r="N43" i="9"/>
  <c r="K6" i="11"/>
  <c r="J5" i="11"/>
  <c r="J6" i="11"/>
  <c r="F5" i="11"/>
  <c r="F6" i="11"/>
  <c r="R5" i="5"/>
  <c r="G5" i="11"/>
  <c r="R6" i="5"/>
  <c r="G6" i="11"/>
  <c r="B29" i="10"/>
  <c r="B31" i="10"/>
  <c r="J216" i="2"/>
  <c r="B28" i="10" s="1"/>
  <c r="J197" i="2"/>
  <c r="E216" i="2"/>
  <c r="C23" i="10" s="1"/>
  <c r="C24" i="10" s="1"/>
  <c r="E197" i="2"/>
  <c r="K179" i="2"/>
  <c r="O179" i="2"/>
  <c r="N197" i="2"/>
  <c r="M7" i="9"/>
  <c r="M42" i="9"/>
  <c r="N42" i="9" s="1"/>
  <c r="M24" i="9"/>
  <c r="O24" i="9" s="1"/>
  <c r="M14" i="9"/>
  <c r="N14" i="9" s="1"/>
  <c r="E17" i="9"/>
  <c r="N28" i="9"/>
  <c r="M11" i="9"/>
  <c r="N8" i="9" s="1"/>
  <c r="G7" i="2"/>
  <c r="N211" i="2"/>
  <c r="N223" i="2"/>
  <c r="M20" i="9"/>
  <c r="N20" i="9" s="1"/>
  <c r="O25" i="9"/>
  <c r="M27" i="9"/>
  <c r="J211" i="2"/>
  <c r="O24" i="11" l="1"/>
  <c r="N24" i="11"/>
  <c r="N12" i="9"/>
  <c r="M5" i="11"/>
  <c r="R6" i="11"/>
  <c r="R5" i="11"/>
  <c r="M6" i="11"/>
  <c r="E223" i="2"/>
  <c r="E211" i="2" s="1"/>
  <c r="J223" i="2"/>
  <c r="D35" i="10"/>
  <c r="B35" i="10" s="1"/>
  <c r="N27" i="9"/>
  <c r="O27" i="9"/>
  <c r="O18" i="9"/>
  <c r="M15" i="5" l="1"/>
  <c r="R59" i="5" l="1"/>
  <c r="R56" i="5"/>
  <c r="R53" i="5"/>
  <c r="R45" i="5"/>
  <c r="R42" i="5"/>
  <c r="R30" i="5"/>
  <c r="R20" i="5"/>
  <c r="R17" i="5"/>
  <c r="R14" i="5"/>
  <c r="R11" i="5"/>
  <c r="G169" i="2" l="1"/>
  <c r="H151" i="2"/>
  <c r="L151" i="2" s="1"/>
  <c r="G151" i="2"/>
  <c r="I202" i="2" l="1"/>
  <c r="K202" i="2" s="1"/>
  <c r="M202" i="2"/>
  <c r="O202" i="2" s="1"/>
  <c r="M204" i="2"/>
  <c r="O204" i="2" s="1"/>
  <c r="D204" i="2"/>
  <c r="F204" i="2" s="1"/>
  <c r="I204" i="2"/>
  <c r="K204" i="2" s="1"/>
  <c r="D203" i="2"/>
  <c r="F203" i="2" s="1"/>
  <c r="I203" i="2"/>
  <c r="K203" i="2" s="1"/>
  <c r="M203" i="2"/>
  <c r="O203" i="2" s="1"/>
  <c r="I207" i="2" l="1"/>
  <c r="K207" i="2" s="1"/>
  <c r="D195" i="2"/>
  <c r="F195" i="2" s="1"/>
  <c r="M195" i="2"/>
  <c r="D207" i="2"/>
  <c r="F207" i="2" s="1"/>
  <c r="M207" i="2"/>
  <c r="O207" i="2" s="1"/>
  <c r="I206" i="2"/>
  <c r="K206" i="2" s="1"/>
  <c r="M206" i="2"/>
  <c r="O206" i="2" s="1"/>
  <c r="D206" i="2"/>
  <c r="F206" i="2" s="1"/>
  <c r="D209" i="2"/>
  <c r="F209" i="2" s="1"/>
  <c r="I195" i="2"/>
  <c r="K195" i="2" s="1"/>
  <c r="M209" i="2"/>
  <c r="O209" i="2" s="1"/>
  <c r="I209" i="2"/>
  <c r="K209" i="2" s="1"/>
  <c r="D222" i="2" l="1"/>
  <c r="F222" i="2" s="1"/>
  <c r="M222" i="2"/>
  <c r="O222" i="2" s="1"/>
  <c r="O195" i="2"/>
  <c r="I222" i="2"/>
  <c r="M208" i="2"/>
  <c r="O208" i="2" s="1"/>
  <c r="I208" i="2"/>
  <c r="K208" i="2" s="1"/>
  <c r="D208" i="2"/>
  <c r="F208" i="2" s="1"/>
  <c r="K222" i="2" l="1"/>
  <c r="D210" i="2" l="1"/>
  <c r="F210" i="2" s="1"/>
  <c r="I210" i="2"/>
  <c r="K210" i="2" s="1"/>
  <c r="M210" i="2"/>
  <c r="O210" i="2" s="1"/>
  <c r="M201" i="2"/>
  <c r="O201" i="2" s="1"/>
  <c r="I201" i="2"/>
  <c r="K201" i="2" s="1"/>
  <c r="D201" i="2"/>
  <c r="F201" i="2" s="1"/>
  <c r="M58" i="5" l="1"/>
  <c r="M57" i="5"/>
  <c r="M55" i="5"/>
  <c r="M54" i="5"/>
  <c r="M52" i="5"/>
  <c r="M51" i="5"/>
  <c r="M50" i="5"/>
  <c r="M49" i="5"/>
  <c r="M48" i="5"/>
  <c r="M47" i="5"/>
  <c r="M46" i="5"/>
  <c r="M44" i="5"/>
  <c r="M43" i="5"/>
  <c r="M41" i="5"/>
  <c r="M40" i="5"/>
  <c r="M39" i="5"/>
  <c r="M38" i="5"/>
  <c r="M37" i="5"/>
  <c r="M36" i="5"/>
  <c r="M35" i="5"/>
  <c r="M34" i="5"/>
  <c r="M33" i="5"/>
  <c r="M32" i="5"/>
  <c r="M31" i="5"/>
  <c r="M29" i="5"/>
  <c r="M28" i="5"/>
  <c r="M26" i="5"/>
  <c r="M25" i="5"/>
  <c r="M24" i="5"/>
  <c r="M23" i="5"/>
  <c r="M22" i="5"/>
  <c r="M21" i="5"/>
  <c r="M19" i="5"/>
  <c r="M18" i="5"/>
  <c r="M16" i="5"/>
  <c r="M13" i="5"/>
  <c r="M12" i="5"/>
  <c r="M10" i="5"/>
  <c r="M9" i="5"/>
  <c r="M7" i="5"/>
  <c r="M56" i="5" l="1"/>
  <c r="N48" i="5"/>
  <c r="M30" i="5"/>
  <c r="M53" i="5"/>
  <c r="M59" i="5"/>
  <c r="N43" i="5"/>
  <c r="M45" i="5"/>
  <c r="M42" i="5"/>
  <c r="O49" i="5"/>
  <c r="N49" i="5"/>
  <c r="O24" i="5"/>
  <c r="N24" i="5"/>
  <c r="N28" i="5"/>
  <c r="N25" i="5"/>
  <c r="O25" i="5"/>
  <c r="N18" i="5"/>
  <c r="D169" i="2"/>
  <c r="I76" i="2"/>
  <c r="I102" i="2"/>
  <c r="K102" i="2" s="1"/>
  <c r="I169" i="2"/>
  <c r="M40" i="2"/>
  <c r="I151" i="2"/>
  <c r="K151" i="2" s="1"/>
  <c r="D40" i="2"/>
  <c r="F40" i="2" s="1"/>
  <c r="I205" i="2"/>
  <c r="K205" i="2" s="1"/>
  <c r="K7" i="2"/>
  <c r="D205" i="2"/>
  <c r="F205" i="2" s="1"/>
  <c r="D7" i="2"/>
  <c r="F7" i="2" s="1"/>
  <c r="M205" i="2"/>
  <c r="O205" i="2" s="1"/>
  <c r="M7" i="2"/>
  <c r="O7" i="2" s="1"/>
  <c r="D102" i="2"/>
  <c r="F102" i="2" s="1"/>
  <c r="D151" i="2"/>
  <c r="F151" i="2" s="1"/>
  <c r="K40" i="2"/>
  <c r="M76" i="2"/>
  <c r="M102" i="2"/>
  <c r="O102" i="2" s="1"/>
  <c r="M151" i="2"/>
  <c r="M169" i="2"/>
  <c r="O169" i="2" s="1"/>
  <c r="M8" i="5"/>
  <c r="D48" i="4"/>
  <c r="D47" i="4"/>
  <c r="D46" i="4"/>
  <c r="D41" i="4"/>
  <c r="D40" i="4"/>
  <c r="D39" i="4"/>
  <c r="D29" i="4"/>
  <c r="D28" i="4"/>
  <c r="D27" i="4"/>
  <c r="D26" i="4"/>
  <c r="D25" i="4"/>
  <c r="D24" i="4"/>
  <c r="D23" i="4"/>
  <c r="D22" i="4"/>
  <c r="D21" i="4"/>
  <c r="D20" i="4"/>
  <c r="D19" i="4"/>
  <c r="D18" i="4"/>
  <c r="D14" i="4"/>
  <c r="D13" i="4"/>
  <c r="D12" i="4"/>
  <c r="D11" i="4"/>
  <c r="A10" i="3"/>
  <c r="A21" i="3" s="1"/>
  <c r="A33" i="3" s="1"/>
  <c r="A9" i="3"/>
  <c r="A20" i="3" s="1"/>
  <c r="A32" i="3" s="1"/>
  <c r="A8" i="3"/>
  <c r="A19" i="3" s="1"/>
  <c r="A31" i="3" s="1"/>
  <c r="A7" i="3"/>
  <c r="A18" i="3" s="1"/>
  <c r="A30" i="3" s="1"/>
  <c r="A6" i="3"/>
  <c r="A17" i="3" s="1"/>
  <c r="A29" i="3" s="1"/>
  <c r="A5" i="3"/>
  <c r="A16" i="3" s="1"/>
  <c r="A28" i="3" s="1"/>
  <c r="A4" i="3"/>
  <c r="A15" i="3" s="1"/>
  <c r="A27" i="3" s="1"/>
  <c r="A3" i="3"/>
  <c r="A14" i="3" s="1"/>
  <c r="A26" i="3" s="1"/>
  <c r="A2" i="3"/>
  <c r="A13" i="3" s="1"/>
  <c r="A25" i="3" s="1"/>
  <c r="N53" i="5" l="1"/>
  <c r="N45" i="5"/>
  <c r="N42" i="5"/>
  <c r="N30" i="5"/>
  <c r="N20" i="5"/>
  <c r="N14" i="5"/>
  <c r="O18" i="5"/>
  <c r="D220" i="2"/>
  <c r="F220" i="2" s="1"/>
  <c r="F169" i="2"/>
  <c r="O27" i="5"/>
  <c r="N27" i="5"/>
  <c r="N12" i="5"/>
  <c r="M219" i="2"/>
  <c r="O219" i="2" s="1"/>
  <c r="O151" i="2"/>
  <c r="M217" i="2"/>
  <c r="O217" i="2" s="1"/>
  <c r="O76" i="2"/>
  <c r="M216" i="2"/>
  <c r="O216" i="2" s="1"/>
  <c r="O40" i="2"/>
  <c r="I220" i="2"/>
  <c r="K169" i="2"/>
  <c r="I218" i="2"/>
  <c r="I217" i="2"/>
  <c r="K76" i="2"/>
  <c r="M220" i="2"/>
  <c r="O220" i="2" s="1"/>
  <c r="M218" i="2"/>
  <c r="O218" i="2" s="1"/>
  <c r="M215" i="2"/>
  <c r="O215" i="2" s="1"/>
  <c r="I219" i="2"/>
  <c r="K219" i="2" s="1"/>
  <c r="M211" i="2"/>
  <c r="O211" i="2" s="1"/>
  <c r="I211" i="2"/>
  <c r="K211" i="2" s="1"/>
  <c r="D219" i="2"/>
  <c r="F219" i="2" s="1"/>
  <c r="D218" i="2"/>
  <c r="F218" i="2" s="1"/>
  <c r="D215" i="2"/>
  <c r="F215" i="2" s="1"/>
  <c r="I215" i="2"/>
  <c r="K215" i="2" s="1"/>
  <c r="D216" i="2"/>
  <c r="F216" i="2" s="1"/>
  <c r="I216" i="2"/>
  <c r="P222" i="2"/>
  <c r="P221" i="2"/>
  <c r="P220" i="2"/>
  <c r="P219" i="2"/>
  <c r="P218" i="2"/>
  <c r="P217" i="2"/>
  <c r="P216" i="2"/>
  <c r="H169" i="2"/>
  <c r="L169" i="2" s="1"/>
  <c r="L76" i="2"/>
  <c r="G76" i="2"/>
  <c r="A195" i="2"/>
  <c r="H195" i="2"/>
  <c r="L195" i="2" s="1"/>
  <c r="C195" i="2"/>
  <c r="G195" i="2" s="1"/>
  <c r="A40" i="2"/>
  <c r="L40" i="2"/>
  <c r="C40" i="2"/>
  <c r="G40" i="2" s="1"/>
  <c r="N8" i="5" l="1"/>
  <c r="K220" i="2"/>
  <c r="K218" i="2"/>
  <c r="K217" i="2"/>
  <c r="K216" i="2"/>
  <c r="B4" i="3"/>
  <c r="B8" i="3"/>
  <c r="B3" i="3"/>
  <c r="B5" i="3"/>
  <c r="B7" i="3"/>
  <c r="B9" i="3"/>
  <c r="C205" i="2"/>
  <c r="G205" i="2" s="1"/>
  <c r="C202" i="2"/>
  <c r="G202" i="2" s="1"/>
  <c r="H205" i="2"/>
  <c r="L205" i="2" s="1"/>
  <c r="H202" i="2"/>
  <c r="L202" i="2" s="1"/>
  <c r="M6" i="5" l="1"/>
  <c r="M5" i="5"/>
  <c r="D31" i="3"/>
  <c r="G209" i="2"/>
  <c r="M221" i="2" l="1"/>
  <c r="O221" i="2" s="1"/>
  <c r="M197" i="2"/>
  <c r="O197" i="2" s="1"/>
  <c r="I221" i="2"/>
  <c r="I197" i="2"/>
  <c r="K197" i="2" s="1"/>
  <c r="H209" i="2"/>
  <c r="L209" i="2" s="1"/>
  <c r="K221" i="2" l="1"/>
  <c r="I223" i="2"/>
  <c r="K223" i="2" s="1"/>
  <c r="M223" i="2"/>
  <c r="O223" i="2" s="1"/>
  <c r="D32" i="3" l="1"/>
  <c r="C20" i="3"/>
  <c r="A210" i="2"/>
  <c r="A209" i="2"/>
  <c r="A208" i="2"/>
  <c r="A207" i="2"/>
  <c r="H4" i="11"/>
  <c r="A205" i="2"/>
  <c r="A204" i="2"/>
  <c r="A203" i="2"/>
  <c r="A202" i="2"/>
  <c r="A201" i="2"/>
  <c r="H207" i="2"/>
  <c r="L207" i="2" s="1"/>
  <c r="H206" i="2"/>
  <c r="L206" i="2" s="1"/>
  <c r="C206" i="2"/>
  <c r="G206" i="2" s="1"/>
  <c r="C204" i="2"/>
  <c r="G204" i="2" s="1"/>
  <c r="H210" i="2"/>
  <c r="L210" i="2" s="1"/>
  <c r="C210" i="2"/>
  <c r="G210" i="2" s="1"/>
  <c r="H203" i="2"/>
  <c r="L203" i="2" s="1"/>
  <c r="C203" i="2"/>
  <c r="G203" i="2" s="1"/>
  <c r="H208" i="2"/>
  <c r="L208" i="2" s="1"/>
  <c r="K4" i="11" l="1"/>
  <c r="J4" i="11"/>
  <c r="F4" i="11"/>
  <c r="R4" i="5"/>
  <c r="G4" i="11"/>
  <c r="A211" i="2"/>
  <c r="C201" i="2"/>
  <c r="G201" i="2" s="1"/>
  <c r="H220" i="2"/>
  <c r="H201" i="2"/>
  <c r="L201" i="2" s="1"/>
  <c r="H204" i="2"/>
  <c r="L204" i="2" s="1"/>
  <c r="H217" i="2"/>
  <c r="C207" i="2"/>
  <c r="G207" i="2" s="1"/>
  <c r="C208" i="2"/>
  <c r="G208" i="2" s="1"/>
  <c r="G102" i="2"/>
  <c r="R4" i="11" l="1"/>
  <c r="M4" i="11"/>
  <c r="L217" i="2"/>
  <c r="L220" i="2"/>
  <c r="C27" i="3"/>
  <c r="C30" i="3"/>
  <c r="D27" i="3" l="1"/>
  <c r="B27" i="3" s="1"/>
  <c r="D26" i="3"/>
  <c r="C18" i="3"/>
  <c r="C16" i="3"/>
  <c r="D30" i="3"/>
  <c r="B30" i="3" s="1"/>
  <c r="D28" i="3" l="1"/>
  <c r="D29" i="3" l="1"/>
  <c r="D33" i="3"/>
  <c r="C17" i="3" l="1"/>
  <c r="D34" i="3"/>
  <c r="A222" i="2"/>
  <c r="A221" i="2"/>
  <c r="A220" i="2"/>
  <c r="A219" i="2"/>
  <c r="A218" i="2"/>
  <c r="H179" i="2"/>
  <c r="L179" i="2" s="1"/>
  <c r="C179" i="2"/>
  <c r="C220" i="2"/>
  <c r="G220" i="2" s="1"/>
  <c r="H102" i="2"/>
  <c r="L102" i="2" s="1"/>
  <c r="C218" i="2"/>
  <c r="G218" i="2" s="1"/>
  <c r="A217" i="2"/>
  <c r="L7" i="2"/>
  <c r="A7" i="2"/>
  <c r="C221" i="2" l="1"/>
  <c r="G221" i="2" s="1"/>
  <c r="G179" i="2"/>
  <c r="C4" i="3"/>
  <c r="C5" i="3"/>
  <c r="C7" i="3"/>
  <c r="C9" i="3"/>
  <c r="C8" i="3"/>
  <c r="H218" i="2"/>
  <c r="H221" i="2"/>
  <c r="C215" i="2"/>
  <c r="G215" i="2" s="1"/>
  <c r="H215" i="2"/>
  <c r="L215" i="2" s="1"/>
  <c r="C14" i="3"/>
  <c r="B16" i="3"/>
  <c r="B18" i="3"/>
  <c r="A215" i="2"/>
  <c r="C6" i="3" s="1"/>
  <c r="P215" i="2"/>
  <c r="C216" i="2"/>
  <c r="G216" i="2" s="1"/>
  <c r="C222" i="2"/>
  <c r="G222" i="2" s="1"/>
  <c r="H216" i="2"/>
  <c r="H219" i="2"/>
  <c r="H222" i="2"/>
  <c r="L222" i="2" s="1"/>
  <c r="A216" i="2"/>
  <c r="A197" i="2"/>
  <c r="H197" i="2"/>
  <c r="L197" i="2" s="1"/>
  <c r="C217" i="2"/>
  <c r="G217" i="2" s="1"/>
  <c r="C219" i="2"/>
  <c r="G219" i="2" s="1"/>
  <c r="C197" i="2"/>
  <c r="G197" i="2" s="1"/>
  <c r="C11" i="10" l="1"/>
  <c r="B19" i="3"/>
  <c r="L216" i="2"/>
  <c r="L218" i="2"/>
  <c r="L219" i="2"/>
  <c r="L221" i="2"/>
  <c r="C3" i="3"/>
  <c r="C10" i="3" s="1"/>
  <c r="C26" i="3"/>
  <c r="B26" i="3" s="1"/>
  <c r="C31" i="3"/>
  <c r="B31" i="3" s="1"/>
  <c r="C28" i="3"/>
  <c r="B28" i="3" s="1"/>
  <c r="A223" i="2"/>
  <c r="B15" i="3"/>
  <c r="C32" i="3"/>
  <c r="B32" i="3" s="1"/>
  <c r="C29" i="3"/>
  <c r="B29" i="3" s="1"/>
  <c r="B20" i="3"/>
  <c r="B17" i="3"/>
  <c r="B14" i="3"/>
  <c r="P223" i="2"/>
  <c r="B6" i="3"/>
  <c r="B10" i="3" s="1"/>
  <c r="H223" i="2"/>
  <c r="L223" i="2" s="1"/>
  <c r="C223" i="2"/>
  <c r="C211" i="2" l="1"/>
  <c r="G211" i="2" s="1"/>
  <c r="G223" i="2"/>
  <c r="H211" i="2"/>
  <c r="L211" i="2" s="1"/>
  <c r="B21" i="3"/>
  <c r="C33" i="3"/>
  <c r="B33" i="3" s="1"/>
  <c r="H224" i="2" l="1"/>
  <c r="D221" i="2"/>
  <c r="F221" i="2" s="1"/>
  <c r="C19" i="3"/>
  <c r="F76" i="2" l="1"/>
  <c r="C15" i="3"/>
  <c r="C21" i="3" s="1"/>
  <c r="D21" i="3" s="1"/>
  <c r="D202" i="2"/>
  <c r="F202" i="2" s="1"/>
  <c r="D217" i="2" l="1"/>
  <c r="F217" i="2" s="1"/>
  <c r="D197" i="2"/>
  <c r="F197" i="2" s="1"/>
  <c r="D223" i="2" l="1"/>
  <c r="F223" i="2" s="1"/>
  <c r="D211" i="2" l="1"/>
  <c r="F211" i="2" s="1"/>
</calcChain>
</file>

<file path=xl/sharedStrings.xml><?xml version="1.0" encoding="utf-8"?>
<sst xmlns="http://schemas.openxmlformats.org/spreadsheetml/2006/main" count="751" uniqueCount="300">
  <si>
    <t>Rural Support Programmes (RSPs) in Pakistan, Cumulative Progress as of Mar-2011</t>
  </si>
  <si>
    <t>Indicators</t>
  </si>
  <si>
    <t>AJKRSP</t>
  </si>
  <si>
    <t>AKRSP</t>
  </si>
  <si>
    <t>BRSP</t>
  </si>
  <si>
    <t>GBTI</t>
  </si>
  <si>
    <t>NRSP</t>
  </si>
  <si>
    <t>PRSP</t>
  </si>
  <si>
    <t>SGA</t>
  </si>
  <si>
    <t>SRSO</t>
  </si>
  <si>
    <t>SRSP</t>
  </si>
  <si>
    <t>TRDP</t>
  </si>
  <si>
    <t># of RSP working districts*</t>
  </si>
  <si>
    <t># of rural union councils with RSP presence*</t>
  </si>
  <si>
    <t># of Local Support Organisations (LSOs)</t>
  </si>
  <si>
    <t xml:space="preserve"># of Community Organizations (COs) formed </t>
  </si>
  <si>
    <t xml:space="preserve">Women COs </t>
  </si>
  <si>
    <t>Men COs</t>
  </si>
  <si>
    <t>Mix COs</t>
  </si>
  <si>
    <t xml:space="preserve">Total </t>
  </si>
  <si>
    <t># of COs members</t>
  </si>
  <si>
    <t xml:space="preserve">Women </t>
  </si>
  <si>
    <t xml:space="preserve">Men </t>
  </si>
  <si>
    <t>Amount of savings of COs (Rs. Million)</t>
  </si>
  <si>
    <t># of community members trained</t>
  </si>
  <si>
    <t>Amount of micro-credit disbursement (Rs. Million)</t>
  </si>
  <si>
    <t xml:space="preserve"># of loans </t>
  </si>
  <si>
    <t># of borrowers (persons)</t>
  </si>
  <si>
    <t>Current credit portfolio (Amount in Million Rs)</t>
  </si>
  <si>
    <t>Number of active borrowers</t>
  </si>
  <si>
    <t># of health micro insurance scheme clients / members</t>
  </si>
  <si>
    <t># of PPI/CPI Schemes Initiated</t>
  </si>
  <si>
    <t xml:space="preserve"># of PPI/CPI Schemes completed </t>
  </si>
  <si>
    <t xml:space="preserve"># of beneficiary households of initiated CPIs </t>
  </si>
  <si>
    <t xml:space="preserve">Total Cost of initiated CPIs (Rs. Million) </t>
  </si>
  <si>
    <t># of community schools established</t>
  </si>
  <si>
    <t xml:space="preserve">Girls </t>
  </si>
  <si>
    <t># of students enrolled</t>
  </si>
  <si>
    <t xml:space="preserve">Boys </t>
  </si>
  <si>
    <t># of adults Literated or Graduated</t>
  </si>
  <si>
    <t xml:space="preserve">S. No. </t>
  </si>
  <si>
    <t xml:space="preserve">Name of District </t>
  </si>
  <si>
    <t>RSP</t>
  </si>
  <si>
    <t>Total rural HHs in the District (1998 Census)</t>
  </si>
  <si>
    <t>ISLAMABAD</t>
  </si>
  <si>
    <t>ICT</t>
  </si>
  <si>
    <t>Sub Total</t>
  </si>
  <si>
    <t>BALOCHISTAN</t>
  </si>
  <si>
    <t xml:space="preserve">Awaran </t>
  </si>
  <si>
    <t xml:space="preserve">Bolan </t>
  </si>
  <si>
    <t xml:space="preserve">Gawadar </t>
  </si>
  <si>
    <t xml:space="preserve">Jhal Magsi </t>
  </si>
  <si>
    <t>Jaffarabad</t>
  </si>
  <si>
    <t xml:space="preserve">Kallat </t>
  </si>
  <si>
    <t>Kech / Turbat</t>
  </si>
  <si>
    <t>Kharan</t>
  </si>
  <si>
    <t xml:space="preserve">Khuzdar </t>
  </si>
  <si>
    <t>Killa Saifullah</t>
  </si>
  <si>
    <t>Lasbella</t>
  </si>
  <si>
    <t>Mastung</t>
  </si>
  <si>
    <t xml:space="preserve">Panjgoor </t>
  </si>
  <si>
    <t xml:space="preserve">Pishin </t>
  </si>
  <si>
    <t xml:space="preserve">Sherani </t>
  </si>
  <si>
    <t xml:space="preserve">Zhob </t>
  </si>
  <si>
    <t>KHYBER PUKHTUNKHWA (KPK)</t>
  </si>
  <si>
    <t xml:space="preserve">Abbottabad </t>
  </si>
  <si>
    <t>Battagram</t>
  </si>
  <si>
    <t>Buner</t>
  </si>
  <si>
    <t>Buner (overlapping)</t>
  </si>
  <si>
    <t>Charsadda</t>
  </si>
  <si>
    <t>Charsadda (overlapping)</t>
  </si>
  <si>
    <t>Chitral</t>
  </si>
  <si>
    <t>Chitral  (overlapping)</t>
  </si>
  <si>
    <t>Dir Upper</t>
  </si>
  <si>
    <t xml:space="preserve">Hangu </t>
  </si>
  <si>
    <t>Haripur</t>
  </si>
  <si>
    <t>Haripur  (overlapping)</t>
  </si>
  <si>
    <t xml:space="preserve">Karak </t>
  </si>
  <si>
    <t>Kohat</t>
  </si>
  <si>
    <t>Kohistan</t>
  </si>
  <si>
    <t>Malakand P.A</t>
  </si>
  <si>
    <t xml:space="preserve">Mansehra </t>
  </si>
  <si>
    <t xml:space="preserve">Mardan </t>
  </si>
  <si>
    <t>Mardan(overlapping)</t>
  </si>
  <si>
    <t xml:space="preserve">Nowshera </t>
  </si>
  <si>
    <t xml:space="preserve">Peshawar </t>
  </si>
  <si>
    <t>Shangla</t>
  </si>
  <si>
    <t>Swabi</t>
  </si>
  <si>
    <t>Swabi  (overlapping)</t>
  </si>
  <si>
    <t>Swat</t>
  </si>
  <si>
    <t>Swat (overlapping)</t>
  </si>
  <si>
    <t>TOTAL</t>
  </si>
  <si>
    <t>SINDH</t>
  </si>
  <si>
    <t>Badin</t>
  </si>
  <si>
    <t>Dadu</t>
  </si>
  <si>
    <t>Ghotki</t>
  </si>
  <si>
    <t xml:space="preserve">Hyderabad </t>
  </si>
  <si>
    <t>Jacobabad</t>
  </si>
  <si>
    <t>Jamshoro</t>
  </si>
  <si>
    <t xml:space="preserve">Kashmore </t>
  </si>
  <si>
    <t>Khairpur</t>
  </si>
  <si>
    <t xml:space="preserve">Larkana </t>
  </si>
  <si>
    <t>Matiari</t>
  </si>
  <si>
    <t>Mirpur Khas</t>
  </si>
  <si>
    <t>Nausharo Feroz</t>
  </si>
  <si>
    <t>Nawabshah</t>
  </si>
  <si>
    <t xml:space="preserve">Shahdad Kot </t>
  </si>
  <si>
    <t>Sanghar</t>
  </si>
  <si>
    <t>Shikarpur</t>
  </si>
  <si>
    <t xml:space="preserve">Sukkhur </t>
  </si>
  <si>
    <t>Tando Allahyar</t>
  </si>
  <si>
    <t>Tando Muhammad Khan</t>
  </si>
  <si>
    <t>Tharparkar</t>
  </si>
  <si>
    <t xml:space="preserve">Thattha </t>
  </si>
  <si>
    <t>Umer Kot</t>
  </si>
  <si>
    <t>PUNJAB</t>
  </si>
  <si>
    <t>Attock</t>
  </si>
  <si>
    <t>Attock (overlapping)</t>
  </si>
  <si>
    <t>Bahawalnagar</t>
  </si>
  <si>
    <t>Bahawalpur</t>
  </si>
  <si>
    <t>Bhakkar</t>
  </si>
  <si>
    <t>Chakwal</t>
  </si>
  <si>
    <t>D G Khan</t>
  </si>
  <si>
    <t>Faisalabad</t>
  </si>
  <si>
    <t>Gujranwala</t>
  </si>
  <si>
    <t>Gujrat</t>
  </si>
  <si>
    <t xml:space="preserve">Hafiz Abad </t>
  </si>
  <si>
    <t>Jhang</t>
  </si>
  <si>
    <t>Jhelum</t>
  </si>
  <si>
    <t xml:space="preserve">Kasur </t>
  </si>
  <si>
    <t>Khanewal</t>
  </si>
  <si>
    <t>Khanewal (overlapping)</t>
  </si>
  <si>
    <t>Khushab</t>
  </si>
  <si>
    <t>Lahore</t>
  </si>
  <si>
    <t>Layyah</t>
  </si>
  <si>
    <t>Lodhran</t>
  </si>
  <si>
    <t>Mandi Bahauddin</t>
  </si>
  <si>
    <t>Mianwali</t>
  </si>
  <si>
    <t>Multan</t>
  </si>
  <si>
    <t>Multan (overlapping)</t>
  </si>
  <si>
    <t>Muzaffargarh</t>
  </si>
  <si>
    <t>Muzaffargarh (overlapping)</t>
  </si>
  <si>
    <t>Narrowal</t>
  </si>
  <si>
    <t>Okara</t>
  </si>
  <si>
    <t>Pakpattan</t>
  </si>
  <si>
    <t>Pakpattan (overlapping)</t>
  </si>
  <si>
    <t>Rahim Yar Khan</t>
  </si>
  <si>
    <t>Rajanpur</t>
  </si>
  <si>
    <t>Rawalpindi</t>
  </si>
  <si>
    <t>Sahiwal</t>
  </si>
  <si>
    <t>Sahiwal (overlapping)</t>
  </si>
  <si>
    <t>Sargodha</t>
  </si>
  <si>
    <t>Sheikhupura</t>
  </si>
  <si>
    <t>Sialkot</t>
  </si>
  <si>
    <t>Toba Tek Singh</t>
  </si>
  <si>
    <t>Toba Tek Singh (overlapping)</t>
  </si>
  <si>
    <t>Vehari</t>
  </si>
  <si>
    <t>AZAD JAMMU AND KASHMIR (AJK)</t>
  </si>
  <si>
    <t>Bagh</t>
  </si>
  <si>
    <t>Kotli</t>
  </si>
  <si>
    <t>Kotli (overlapping)</t>
  </si>
  <si>
    <t>Muzuffarabad</t>
  </si>
  <si>
    <t>Muzuffarabad (overlapping)</t>
  </si>
  <si>
    <t>Neelum</t>
  </si>
  <si>
    <t>Neelum (overlapping)</t>
  </si>
  <si>
    <t>Poonch (Rawalakot)</t>
  </si>
  <si>
    <t>Bhimber</t>
  </si>
  <si>
    <t>Sudhnoti</t>
  </si>
  <si>
    <t>Mirpur</t>
  </si>
  <si>
    <t>GILGIT-BALTISTAN (GB)</t>
  </si>
  <si>
    <t>Astore</t>
  </si>
  <si>
    <t>Ghanche</t>
  </si>
  <si>
    <t>Ghizer</t>
  </si>
  <si>
    <t>Gilgit</t>
  </si>
  <si>
    <t>Hunza-Nagar</t>
  </si>
  <si>
    <t>Skardu</t>
  </si>
  <si>
    <t>Kurram Agency</t>
  </si>
  <si>
    <t>T.A.Adj Peshawar Distt</t>
  </si>
  <si>
    <t xml:space="preserve">G. Total </t>
  </si>
  <si>
    <t xml:space="preserve">RSP-wise Summary of Coverage/Outreach  </t>
  </si>
  <si>
    <t>Page 4</t>
  </si>
  <si>
    <t xml:space="preserve">Balochistan </t>
  </si>
  <si>
    <t xml:space="preserve">Sindh </t>
  </si>
  <si>
    <t xml:space="preserve">Punjab </t>
  </si>
  <si>
    <t>Forward Kahuta</t>
  </si>
  <si>
    <t xml:space="preserve">Hattian </t>
  </si>
  <si>
    <t>Bagh (overlapping)</t>
  </si>
  <si>
    <t>Hattian (overlapping)</t>
  </si>
  <si>
    <t>Barkhan</t>
  </si>
  <si>
    <t>Chaqhi</t>
  </si>
  <si>
    <t>Dera Bugti</t>
  </si>
  <si>
    <t>Harnai</t>
  </si>
  <si>
    <t>Killa Abdullah</t>
  </si>
  <si>
    <t>Kohlu</t>
  </si>
  <si>
    <t>Loralai</t>
  </si>
  <si>
    <t>Musa Khel</t>
  </si>
  <si>
    <t>Naseerabad</t>
  </si>
  <si>
    <t>Noshki</t>
  </si>
  <si>
    <t>Sibi</t>
  </si>
  <si>
    <t>Washuk</t>
  </si>
  <si>
    <t>Ziarat</t>
  </si>
  <si>
    <t>Quetta</t>
  </si>
  <si>
    <t xml:space="preserve">Khyber Agency </t>
  </si>
  <si>
    <t>Mohmand Agency</t>
  </si>
  <si>
    <t xml:space="preserve">North Waziristan Agency </t>
  </si>
  <si>
    <t xml:space="preserve">Orakzai Agency </t>
  </si>
  <si>
    <t xml:space="preserve">South Waziristan Agency </t>
  </si>
  <si>
    <t>T.A.Adj Lakki Marwat Distt</t>
  </si>
  <si>
    <t>T.A.Adj Bannu Distt</t>
  </si>
  <si>
    <t>T.A..Adj D.I.Khan Distt</t>
  </si>
  <si>
    <t>T.A.Adj Kohat Distt</t>
  </si>
  <si>
    <t>T.A.Adj Tank Distt</t>
  </si>
  <si>
    <t xml:space="preserve">Bajaur Agency </t>
  </si>
  <si>
    <t>Diamir</t>
  </si>
  <si>
    <t>Banu</t>
  </si>
  <si>
    <t>Dir Lower</t>
  </si>
  <si>
    <t>D.I.Khan</t>
  </si>
  <si>
    <t>Tank</t>
  </si>
  <si>
    <t>Lakki Marwat</t>
  </si>
  <si>
    <t>Karachi</t>
  </si>
  <si>
    <t>Total rural and Peri-Urban UCs in the District</t>
  </si>
  <si>
    <t xml:space="preserve">Number of Districts  </t>
  </si>
  <si>
    <t>Province-wise Summary of RSPs Coverage/Outreach</t>
  </si>
  <si>
    <t>Name of RSP</t>
  </si>
  <si>
    <t>Name of Province/Area</t>
  </si>
  <si>
    <t xml:space="preserve">*overlapping in 21 districts and 385 Ucs. </t>
  </si>
  <si>
    <t># of Organized Households</t>
  </si>
  <si>
    <t>Number of Districts with RSP Presence</t>
  </si>
  <si>
    <t xml:space="preserve">Number of Total Districts </t>
  </si>
  <si>
    <t xml:space="preserve">Number of Total Rural UCs </t>
  </si>
  <si>
    <t>Number of UCs with RSP Presence</t>
  </si>
  <si>
    <t xml:space="preserve">Total Number of Organised Households  </t>
  </si>
  <si>
    <t xml:space="preserve">Total Number of Rural Households  </t>
  </si>
  <si>
    <t>% of Organised households</t>
  </si>
  <si>
    <t xml:space="preserve">Grand Total </t>
  </si>
  <si>
    <t># of Traditional Birth Attendants / Health workers Trained</t>
  </si>
  <si>
    <t># of Women Only LSOs</t>
  </si>
  <si>
    <t>#of LSO member Community Organizations</t>
  </si>
  <si>
    <t># of LSO member Village Organizations</t>
  </si>
  <si>
    <t xml:space="preserve"># of community members trained in vocational and Technical Skills, and Leadership and Management Skills </t>
  </si>
  <si>
    <t># of LSOs Managing CIF</t>
  </si>
  <si>
    <t># of VOs Managing CIF</t>
  </si>
  <si>
    <t># of CIF Borrowers</t>
  </si>
  <si>
    <t>Community Investment Fund (CIF)</t>
  </si>
  <si>
    <t xml:space="preserve">Total amount of CIF disbursed (Rs. million) </t>
  </si>
  <si>
    <t># of health micro insurance schemes</t>
  </si>
  <si>
    <t># of health micro insurance schemes beneficiries</t>
  </si>
  <si>
    <t>FEDERALLY ADMINISTERED TRIBAL AREA (FATA)/Frontier Regions (FRs)</t>
  </si>
  <si>
    <t>Islamabad Capital Teritory (ICT)</t>
  </si>
  <si>
    <t>Khyber Pakhtunkhwa (KPK)</t>
  </si>
  <si>
    <t>Azad Jamu and Kashmir (AJK)</t>
  </si>
  <si>
    <t>Gilgit-Baltistan (GB)</t>
  </si>
  <si>
    <t>Federal Adminstrated Tribal Areas (FATA)/Frontier Regions (FRs)</t>
  </si>
  <si>
    <t>Azad Jamu and Kashmir RSP</t>
  </si>
  <si>
    <t>Aga Khan RSP</t>
  </si>
  <si>
    <t>Balochistan RSP</t>
  </si>
  <si>
    <t>Ghazi Baroth Tarqiati Ideara</t>
  </si>
  <si>
    <t>National RSP</t>
  </si>
  <si>
    <t xml:space="preserve">Sindh Graduate Association </t>
  </si>
  <si>
    <t xml:space="preserve">Sindh Rural Support Organisation </t>
  </si>
  <si>
    <t>Sarhad RSP</t>
  </si>
  <si>
    <t>Thardeep Rural Development Programme</t>
  </si>
  <si>
    <t>Lodhran (overlapping)</t>
  </si>
  <si>
    <t>-</t>
  </si>
  <si>
    <r>
      <t xml:space="preserve">Rural Support Programmes (RSPs) in Pakistan, Cumulative Progress as of </t>
    </r>
    <r>
      <rPr>
        <b/>
        <sz val="10"/>
        <rFont val="Calibri"/>
        <family val="2"/>
        <scheme val="minor"/>
      </rPr>
      <t>June 2011</t>
    </r>
  </si>
  <si>
    <t>% increase during Qtr</t>
  </si>
  <si>
    <t xml:space="preserve">Note: ** The 114 include 112 districts and 2 Federaly Adminstered Tribal Areas </t>
  </si>
  <si>
    <t xml:space="preserve">* The total figure for distircts/areas and union councils excludes 22 overlapping districts (presence of multiple RSP) and 387 overlapping union councils </t>
  </si>
  <si>
    <t># of RSP working districts/areas**</t>
  </si>
  <si>
    <t xml:space="preserve">Number of districts/areas having RSPs presence  </t>
  </si>
  <si>
    <t>Number of total districts/areas in the province/area</t>
  </si>
  <si>
    <t>Amount of savings of COs                  (Rs. Million)</t>
  </si>
  <si>
    <t># as of Sept 2011</t>
  </si>
  <si>
    <t>COs Formed as of Sept, 2011</t>
  </si>
  <si>
    <t xml:space="preserve">Union Councils Having RSPs presence </t>
  </si>
  <si>
    <t xml:space="preserve">Households Organised </t>
  </si>
  <si>
    <t>Community Organisation</t>
  </si>
  <si>
    <t>Chiniot*</t>
  </si>
  <si>
    <t>D G Khan (overlapping)*</t>
  </si>
  <si>
    <t>Nanakana Sahib*</t>
  </si>
  <si>
    <t>Rajanpur (overlapping)*</t>
  </si>
  <si>
    <t>Punjab RSP*</t>
  </si>
  <si>
    <t>* Punjab RSP after restructuring in mid 2011, closed its operation in four districts, Chiniot, Nankana Sahib, DG Khan and Rajanpur.</t>
  </si>
  <si>
    <t>Note: ** The 110 include 108 districts and 2 Federaly Adminstered Tribal Areas.   Punjab RSP after restructuring in mid 2011, closed its operation in four districts, Chiniot, Nankana Sahib, DG Khan and Rajanpur.</t>
  </si>
  <si>
    <t>Rural Support Programmes (RSPs) in Pakistan, Cumulative Progress as of September 2011</t>
  </si>
  <si>
    <t>Punjab (Inc ICT)</t>
  </si>
  <si>
    <t>Total</t>
  </si>
  <si>
    <t xml:space="preserve">Total rural union councils </t>
  </si>
  <si>
    <t xml:space="preserve">Number of union councils having RSP presence </t>
  </si>
  <si>
    <t>Total rural HHs in the RSP District (1998 Census)</t>
  </si>
  <si>
    <t>Households organised as of June 2011</t>
  </si>
  <si>
    <t>% coverage as of Dec 2011</t>
  </si>
  <si>
    <t># as of Dec 2011</t>
  </si>
  <si>
    <t>COs Formed as of Dec, 2011</t>
  </si>
  <si>
    <r>
      <t xml:space="preserve">Rural Support Programmes (RSPs) in Pakistan, Cumulative Progress as of </t>
    </r>
    <r>
      <rPr>
        <b/>
        <sz val="10"/>
        <color rgb="FFFF0000"/>
        <rFont val="Calibri"/>
        <family val="2"/>
        <scheme val="minor"/>
      </rPr>
      <t>December 2011</t>
    </r>
  </si>
  <si>
    <r>
      <t xml:space="preserve">Rural Support Programmes (RSPs) in Pakistan, District-wise RSPs Coverage/Outreach as of </t>
    </r>
    <r>
      <rPr>
        <b/>
        <sz val="10"/>
        <color rgb="FFFF0000"/>
        <rFont val="Calibri"/>
        <family val="2"/>
        <scheme val="minor"/>
      </rPr>
      <t>December 2011</t>
    </r>
  </si>
  <si>
    <t>Nowshera (overlapping)</t>
  </si>
  <si>
    <t>Malakand P.A (overlapping)</t>
  </si>
  <si>
    <t>% of households organised as of Dec 2011</t>
  </si>
  <si>
    <t>Note: ** The 112 include 110 districts and 2 Federaly Adminstered Tribal Areas.   Punjab RSP after restructuring in mid 2011, closed its operation in four districts, Chiniot, Nankana Sahib, DG Khan and Rajanpur.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</si>
</sst>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_-* #,##0_-;\-* #,##0_-;_-* &quot;-&quot;??_-;_-@_-"/>
    <numFmt numFmtId="165" formatCode="_(* #,##0_);_(* \(#,##0\);_(* &quot;-&quot;??_);_(@_)"/>
    <numFmt numFmtId="166" formatCode="0.0%"/>
    <numFmt numFmtId="167" formatCode="_(* #,##0.0_);_(* \(#,##0.0\);_(* &quot;-&quot;??_);_(@_)"/>
  </numFmts>
  <fonts count="29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name val="Arial"/>
      <family val="2"/>
    </font>
    <font>
      <b/>
      <sz val="11"/>
      <name val="Arial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10"/>
      <name val="Calibri"/>
      <family val="2"/>
    </font>
    <font>
      <b/>
      <sz val="10"/>
      <color rgb="FFFF0000"/>
      <name val="Calibri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4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574">
    <xf numFmtId="0" fontId="0" fillId="0" borderId="0"/>
    <xf numFmtId="43" fontId="3" fillId="0" borderId="0" applyFont="0" applyFill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7" fillId="24" borderId="8" applyNumberFormat="0" applyAlignment="0" applyProtection="0"/>
    <xf numFmtId="0" fontId="7" fillId="24" borderId="8" applyNumberFormat="0" applyAlignment="0" applyProtection="0"/>
    <xf numFmtId="0" fontId="7" fillId="24" borderId="8" applyNumberFormat="0" applyAlignment="0" applyProtection="0"/>
    <xf numFmtId="0" fontId="7" fillId="24" borderId="8" applyNumberFormat="0" applyAlignment="0" applyProtection="0"/>
    <xf numFmtId="0" fontId="7" fillId="24" borderId="8" applyNumberFormat="0" applyAlignment="0" applyProtection="0"/>
    <xf numFmtId="0" fontId="7" fillId="24" borderId="8" applyNumberFormat="0" applyAlignment="0" applyProtection="0"/>
    <xf numFmtId="0" fontId="7" fillId="24" borderId="8" applyNumberFormat="0" applyAlignment="0" applyProtection="0"/>
    <xf numFmtId="0" fontId="7" fillId="24" borderId="8" applyNumberFormat="0" applyAlignment="0" applyProtection="0"/>
    <xf numFmtId="0" fontId="7" fillId="24" borderId="8" applyNumberFormat="0" applyAlignment="0" applyProtection="0"/>
    <xf numFmtId="0" fontId="7" fillId="24" borderId="8" applyNumberFormat="0" applyAlignment="0" applyProtection="0"/>
    <xf numFmtId="0" fontId="7" fillId="24" borderId="8" applyNumberFormat="0" applyAlignment="0" applyProtection="0"/>
    <xf numFmtId="0" fontId="7" fillId="24" borderId="8" applyNumberFormat="0" applyAlignment="0" applyProtection="0"/>
    <xf numFmtId="0" fontId="7" fillId="24" borderId="8" applyNumberFormat="0" applyAlignment="0" applyProtection="0"/>
    <xf numFmtId="0" fontId="8" fillId="25" borderId="9" applyNumberFormat="0" applyAlignment="0" applyProtection="0"/>
    <xf numFmtId="0" fontId="8" fillId="25" borderId="9" applyNumberFormat="0" applyAlignment="0" applyProtection="0"/>
    <xf numFmtId="0" fontId="8" fillId="25" borderId="9" applyNumberFormat="0" applyAlignment="0" applyProtection="0"/>
    <xf numFmtId="0" fontId="8" fillId="25" borderId="9" applyNumberFormat="0" applyAlignment="0" applyProtection="0"/>
    <xf numFmtId="0" fontId="8" fillId="25" borderId="9" applyNumberFormat="0" applyAlignment="0" applyProtection="0"/>
    <xf numFmtId="0" fontId="8" fillId="25" borderId="9" applyNumberFormat="0" applyAlignment="0" applyProtection="0"/>
    <xf numFmtId="0" fontId="8" fillId="25" borderId="9" applyNumberFormat="0" applyAlignment="0" applyProtection="0"/>
    <xf numFmtId="0" fontId="8" fillId="25" borderId="9" applyNumberFormat="0" applyAlignment="0" applyProtection="0"/>
    <xf numFmtId="0" fontId="8" fillId="25" borderId="9" applyNumberFormat="0" applyAlignment="0" applyProtection="0"/>
    <xf numFmtId="0" fontId="8" fillId="25" borderId="9" applyNumberFormat="0" applyAlignment="0" applyProtection="0"/>
    <xf numFmtId="0" fontId="8" fillId="25" borderId="9" applyNumberFormat="0" applyAlignment="0" applyProtection="0"/>
    <xf numFmtId="0" fontId="8" fillId="25" borderId="9" applyNumberFormat="0" applyAlignment="0" applyProtection="0"/>
    <xf numFmtId="0" fontId="8" fillId="25" borderId="9" applyNumberFormat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1" fillId="0" borderId="10" applyNumberFormat="0" applyFill="0" applyAlignment="0" applyProtection="0"/>
    <xf numFmtId="0" fontId="11" fillId="0" borderId="10" applyNumberFormat="0" applyFill="0" applyAlignment="0" applyProtection="0"/>
    <xf numFmtId="0" fontId="11" fillId="0" borderId="10" applyNumberFormat="0" applyFill="0" applyAlignment="0" applyProtection="0"/>
    <xf numFmtId="0" fontId="11" fillId="0" borderId="10" applyNumberFormat="0" applyFill="0" applyAlignment="0" applyProtection="0"/>
    <xf numFmtId="0" fontId="11" fillId="0" borderId="10" applyNumberFormat="0" applyFill="0" applyAlignment="0" applyProtection="0"/>
    <xf numFmtId="0" fontId="11" fillId="0" borderId="10" applyNumberFormat="0" applyFill="0" applyAlignment="0" applyProtection="0"/>
    <xf numFmtId="0" fontId="11" fillId="0" borderId="10" applyNumberFormat="0" applyFill="0" applyAlignment="0" applyProtection="0"/>
    <xf numFmtId="0" fontId="11" fillId="0" borderId="10" applyNumberFormat="0" applyFill="0" applyAlignment="0" applyProtection="0"/>
    <xf numFmtId="0" fontId="11" fillId="0" borderId="10" applyNumberFormat="0" applyFill="0" applyAlignment="0" applyProtection="0"/>
    <xf numFmtId="0" fontId="11" fillId="0" borderId="10" applyNumberFormat="0" applyFill="0" applyAlignment="0" applyProtection="0"/>
    <xf numFmtId="0" fontId="11" fillId="0" borderId="10" applyNumberFormat="0" applyFill="0" applyAlignment="0" applyProtection="0"/>
    <xf numFmtId="0" fontId="11" fillId="0" borderId="10" applyNumberFormat="0" applyFill="0" applyAlignment="0" applyProtection="0"/>
    <xf numFmtId="0" fontId="11" fillId="0" borderId="10" applyNumberFormat="0" applyFill="0" applyAlignment="0" applyProtection="0"/>
    <xf numFmtId="0" fontId="12" fillId="0" borderId="11" applyNumberFormat="0" applyFill="0" applyAlignment="0" applyProtection="0"/>
    <xf numFmtId="0" fontId="12" fillId="0" borderId="11" applyNumberFormat="0" applyFill="0" applyAlignment="0" applyProtection="0"/>
    <xf numFmtId="0" fontId="12" fillId="0" borderId="11" applyNumberFormat="0" applyFill="0" applyAlignment="0" applyProtection="0"/>
    <xf numFmtId="0" fontId="12" fillId="0" borderId="11" applyNumberFormat="0" applyFill="0" applyAlignment="0" applyProtection="0"/>
    <xf numFmtId="0" fontId="12" fillId="0" borderId="11" applyNumberFormat="0" applyFill="0" applyAlignment="0" applyProtection="0"/>
    <xf numFmtId="0" fontId="12" fillId="0" borderId="11" applyNumberFormat="0" applyFill="0" applyAlignment="0" applyProtection="0"/>
    <xf numFmtId="0" fontId="12" fillId="0" borderId="11" applyNumberFormat="0" applyFill="0" applyAlignment="0" applyProtection="0"/>
    <xf numFmtId="0" fontId="12" fillId="0" borderId="11" applyNumberFormat="0" applyFill="0" applyAlignment="0" applyProtection="0"/>
    <xf numFmtId="0" fontId="12" fillId="0" borderId="11" applyNumberFormat="0" applyFill="0" applyAlignment="0" applyProtection="0"/>
    <xf numFmtId="0" fontId="12" fillId="0" borderId="11" applyNumberFormat="0" applyFill="0" applyAlignment="0" applyProtection="0"/>
    <xf numFmtId="0" fontId="12" fillId="0" borderId="11" applyNumberFormat="0" applyFill="0" applyAlignment="0" applyProtection="0"/>
    <xf numFmtId="0" fontId="12" fillId="0" borderId="11" applyNumberFormat="0" applyFill="0" applyAlignment="0" applyProtection="0"/>
    <xf numFmtId="0" fontId="12" fillId="0" borderId="11" applyNumberFormat="0" applyFill="0" applyAlignment="0" applyProtection="0"/>
    <xf numFmtId="0" fontId="13" fillId="0" borderId="12" applyNumberFormat="0" applyFill="0" applyAlignment="0" applyProtection="0"/>
    <xf numFmtId="0" fontId="13" fillId="0" borderId="12" applyNumberFormat="0" applyFill="0" applyAlignment="0" applyProtection="0"/>
    <xf numFmtId="0" fontId="13" fillId="0" borderId="12" applyNumberFormat="0" applyFill="0" applyAlignment="0" applyProtection="0"/>
    <xf numFmtId="0" fontId="13" fillId="0" borderId="12" applyNumberFormat="0" applyFill="0" applyAlignment="0" applyProtection="0"/>
    <xf numFmtId="0" fontId="13" fillId="0" borderId="12" applyNumberFormat="0" applyFill="0" applyAlignment="0" applyProtection="0"/>
    <xf numFmtId="0" fontId="13" fillId="0" borderId="12" applyNumberFormat="0" applyFill="0" applyAlignment="0" applyProtection="0"/>
    <xf numFmtId="0" fontId="13" fillId="0" borderId="12" applyNumberFormat="0" applyFill="0" applyAlignment="0" applyProtection="0"/>
    <xf numFmtId="0" fontId="13" fillId="0" borderId="12" applyNumberFormat="0" applyFill="0" applyAlignment="0" applyProtection="0"/>
    <xf numFmtId="0" fontId="13" fillId="0" borderId="12" applyNumberFormat="0" applyFill="0" applyAlignment="0" applyProtection="0"/>
    <xf numFmtId="0" fontId="13" fillId="0" borderId="12" applyNumberFormat="0" applyFill="0" applyAlignment="0" applyProtection="0"/>
    <xf numFmtId="0" fontId="13" fillId="0" borderId="12" applyNumberFormat="0" applyFill="0" applyAlignment="0" applyProtection="0"/>
    <xf numFmtId="0" fontId="13" fillId="0" borderId="12" applyNumberFormat="0" applyFill="0" applyAlignment="0" applyProtection="0"/>
    <xf numFmtId="0" fontId="13" fillId="0" borderId="12" applyNumberFormat="0" applyFill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11" borderId="8" applyNumberFormat="0" applyAlignment="0" applyProtection="0"/>
    <xf numFmtId="0" fontId="14" fillId="11" borderId="8" applyNumberFormat="0" applyAlignment="0" applyProtection="0"/>
    <xf numFmtId="0" fontId="14" fillId="11" borderId="8" applyNumberFormat="0" applyAlignment="0" applyProtection="0"/>
    <xf numFmtId="0" fontId="14" fillId="11" borderId="8" applyNumberFormat="0" applyAlignment="0" applyProtection="0"/>
    <xf numFmtId="0" fontId="14" fillId="11" borderId="8" applyNumberFormat="0" applyAlignment="0" applyProtection="0"/>
    <xf numFmtId="0" fontId="14" fillId="11" borderId="8" applyNumberFormat="0" applyAlignment="0" applyProtection="0"/>
    <xf numFmtId="0" fontId="14" fillId="11" borderId="8" applyNumberFormat="0" applyAlignment="0" applyProtection="0"/>
    <xf numFmtId="0" fontId="14" fillId="11" borderId="8" applyNumberFormat="0" applyAlignment="0" applyProtection="0"/>
    <xf numFmtId="0" fontId="14" fillId="11" borderId="8" applyNumberFormat="0" applyAlignment="0" applyProtection="0"/>
    <xf numFmtId="0" fontId="14" fillId="11" borderId="8" applyNumberFormat="0" applyAlignment="0" applyProtection="0"/>
    <xf numFmtId="0" fontId="14" fillId="11" borderId="8" applyNumberFormat="0" applyAlignment="0" applyProtection="0"/>
    <xf numFmtId="0" fontId="14" fillId="11" borderId="8" applyNumberFormat="0" applyAlignment="0" applyProtection="0"/>
    <xf numFmtId="0" fontId="14" fillId="11" borderId="8" applyNumberFormat="0" applyAlignment="0" applyProtection="0"/>
    <xf numFmtId="0" fontId="15" fillId="0" borderId="13" applyNumberFormat="0" applyFill="0" applyAlignment="0" applyProtection="0"/>
    <xf numFmtId="0" fontId="15" fillId="0" borderId="13" applyNumberFormat="0" applyFill="0" applyAlignment="0" applyProtection="0"/>
    <xf numFmtId="0" fontId="15" fillId="0" borderId="13" applyNumberFormat="0" applyFill="0" applyAlignment="0" applyProtection="0"/>
    <xf numFmtId="0" fontId="15" fillId="0" borderId="13" applyNumberFormat="0" applyFill="0" applyAlignment="0" applyProtection="0"/>
    <xf numFmtId="0" fontId="15" fillId="0" borderId="13" applyNumberFormat="0" applyFill="0" applyAlignment="0" applyProtection="0"/>
    <xf numFmtId="0" fontId="15" fillId="0" borderId="13" applyNumberFormat="0" applyFill="0" applyAlignment="0" applyProtection="0"/>
    <xf numFmtId="0" fontId="15" fillId="0" borderId="13" applyNumberFormat="0" applyFill="0" applyAlignment="0" applyProtection="0"/>
    <xf numFmtId="0" fontId="15" fillId="0" borderId="13" applyNumberFormat="0" applyFill="0" applyAlignment="0" applyProtection="0"/>
    <xf numFmtId="0" fontId="15" fillId="0" borderId="13" applyNumberFormat="0" applyFill="0" applyAlignment="0" applyProtection="0"/>
    <xf numFmtId="0" fontId="15" fillId="0" borderId="13" applyNumberFormat="0" applyFill="0" applyAlignment="0" applyProtection="0"/>
    <xf numFmtId="0" fontId="15" fillId="0" borderId="13" applyNumberFormat="0" applyFill="0" applyAlignment="0" applyProtection="0"/>
    <xf numFmtId="0" fontId="15" fillId="0" borderId="13" applyNumberFormat="0" applyFill="0" applyAlignment="0" applyProtection="0"/>
    <xf numFmtId="0" fontId="15" fillId="0" borderId="13" applyNumberFormat="0" applyFill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2" fillId="0" borderId="0"/>
    <xf numFmtId="0" fontId="3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27" borderId="14" applyNumberFormat="0" applyFont="0" applyAlignment="0" applyProtection="0"/>
    <xf numFmtId="0" fontId="3" fillId="27" borderId="14" applyNumberFormat="0" applyFont="0" applyAlignment="0" applyProtection="0"/>
    <xf numFmtId="0" fontId="3" fillId="27" borderId="14" applyNumberFormat="0" applyFont="0" applyAlignment="0" applyProtection="0"/>
    <xf numFmtId="0" fontId="3" fillId="27" borderId="14" applyNumberFormat="0" applyFont="0" applyAlignment="0" applyProtection="0"/>
    <xf numFmtId="0" fontId="3" fillId="27" borderId="14" applyNumberFormat="0" applyFont="0" applyAlignment="0" applyProtection="0"/>
    <xf numFmtId="0" fontId="3" fillId="27" borderId="14" applyNumberFormat="0" applyFont="0" applyAlignment="0" applyProtection="0"/>
    <xf numFmtId="0" fontId="3" fillId="27" borderId="14" applyNumberFormat="0" applyFont="0" applyAlignment="0" applyProtection="0"/>
    <xf numFmtId="0" fontId="3" fillId="27" borderId="14" applyNumberFormat="0" applyFont="0" applyAlignment="0" applyProtection="0"/>
    <xf numFmtId="0" fontId="3" fillId="27" borderId="14" applyNumberFormat="0" applyFont="0" applyAlignment="0" applyProtection="0"/>
    <xf numFmtId="0" fontId="3" fillId="27" borderId="14" applyNumberFormat="0" applyFont="0" applyAlignment="0" applyProtection="0"/>
    <xf numFmtId="0" fontId="3" fillId="27" borderId="14" applyNumberFormat="0" applyFont="0" applyAlignment="0" applyProtection="0"/>
    <xf numFmtId="0" fontId="3" fillId="27" borderId="14" applyNumberFormat="0" applyFont="0" applyAlignment="0" applyProtection="0"/>
    <xf numFmtId="0" fontId="3" fillId="27" borderId="14" applyNumberFormat="0" applyFont="0" applyAlignment="0" applyProtection="0"/>
    <xf numFmtId="0" fontId="17" fillId="24" borderId="15" applyNumberFormat="0" applyAlignment="0" applyProtection="0"/>
    <xf numFmtId="0" fontId="17" fillId="24" borderId="15" applyNumberFormat="0" applyAlignment="0" applyProtection="0"/>
    <xf numFmtId="0" fontId="17" fillId="24" borderId="15" applyNumberFormat="0" applyAlignment="0" applyProtection="0"/>
    <xf numFmtId="0" fontId="17" fillId="24" borderId="15" applyNumberFormat="0" applyAlignment="0" applyProtection="0"/>
    <xf numFmtId="0" fontId="17" fillId="24" borderId="15" applyNumberFormat="0" applyAlignment="0" applyProtection="0"/>
    <xf numFmtId="0" fontId="17" fillId="24" borderId="15" applyNumberFormat="0" applyAlignment="0" applyProtection="0"/>
    <xf numFmtId="0" fontId="17" fillId="24" borderId="15" applyNumberFormat="0" applyAlignment="0" applyProtection="0"/>
    <xf numFmtId="0" fontId="17" fillId="24" borderId="15" applyNumberFormat="0" applyAlignment="0" applyProtection="0"/>
    <xf numFmtId="0" fontId="17" fillId="24" borderId="15" applyNumberFormat="0" applyAlignment="0" applyProtection="0"/>
    <xf numFmtId="0" fontId="17" fillId="24" borderId="15" applyNumberFormat="0" applyAlignment="0" applyProtection="0"/>
    <xf numFmtId="0" fontId="17" fillId="24" borderId="15" applyNumberFormat="0" applyAlignment="0" applyProtection="0"/>
    <xf numFmtId="0" fontId="17" fillId="24" borderId="15" applyNumberFormat="0" applyAlignment="0" applyProtection="0"/>
    <xf numFmtId="0" fontId="17" fillId="24" borderId="15" applyNumberFormat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16" applyNumberFormat="0" applyFill="0" applyAlignment="0" applyProtection="0"/>
    <xf numFmtId="0" fontId="19" fillId="0" borderId="16" applyNumberFormat="0" applyFill="0" applyAlignment="0" applyProtection="0"/>
    <xf numFmtId="0" fontId="19" fillId="0" borderId="16" applyNumberFormat="0" applyFill="0" applyAlignment="0" applyProtection="0"/>
    <xf numFmtId="0" fontId="19" fillId="0" borderId="16" applyNumberFormat="0" applyFill="0" applyAlignment="0" applyProtection="0"/>
    <xf numFmtId="0" fontId="19" fillId="0" borderId="16" applyNumberFormat="0" applyFill="0" applyAlignment="0" applyProtection="0"/>
    <xf numFmtId="0" fontId="19" fillId="0" borderId="16" applyNumberFormat="0" applyFill="0" applyAlignment="0" applyProtection="0"/>
    <xf numFmtId="0" fontId="19" fillId="0" borderId="16" applyNumberFormat="0" applyFill="0" applyAlignment="0" applyProtection="0"/>
    <xf numFmtId="0" fontId="19" fillId="0" borderId="16" applyNumberFormat="0" applyFill="0" applyAlignment="0" applyProtection="0"/>
    <xf numFmtId="0" fontId="19" fillId="0" borderId="16" applyNumberFormat="0" applyFill="0" applyAlignment="0" applyProtection="0"/>
    <xf numFmtId="0" fontId="19" fillId="0" borderId="16" applyNumberFormat="0" applyFill="0" applyAlignment="0" applyProtection="0"/>
    <xf numFmtId="0" fontId="19" fillId="0" borderId="16" applyNumberFormat="0" applyFill="0" applyAlignment="0" applyProtection="0"/>
    <xf numFmtId="0" fontId="19" fillId="0" borderId="16" applyNumberFormat="0" applyFill="0" applyAlignment="0" applyProtection="0"/>
    <xf numFmtId="0" fontId="19" fillId="0" borderId="16" applyNumberFormat="0" applyFill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43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218">
    <xf numFmtId="0" fontId="0" fillId="0" borderId="0" xfId="0"/>
    <xf numFmtId="0" fontId="21" fillId="0" borderId="0" xfId="0" applyFont="1" applyFill="1"/>
    <xf numFmtId="165" fontId="22" fillId="0" borderId="0" xfId="1" applyNumberFormat="1" applyFont="1" applyFill="1" applyAlignment="1">
      <alignment horizontal="center"/>
    </xf>
    <xf numFmtId="0" fontId="21" fillId="0" borderId="0" xfId="0" applyFont="1" applyFill="1" applyAlignment="1">
      <alignment horizontal="center"/>
    </xf>
    <xf numFmtId="165" fontId="21" fillId="0" borderId="0" xfId="1" applyNumberFormat="1" applyFont="1" applyFill="1" applyAlignment="1">
      <alignment horizontal="center"/>
    </xf>
    <xf numFmtId="0" fontId="22" fillId="0" borderId="0" xfId="0" applyFont="1" applyFill="1"/>
    <xf numFmtId="0" fontId="21" fillId="2" borderId="0" xfId="0" applyFont="1" applyFill="1"/>
    <xf numFmtId="0" fontId="21" fillId="0" borderId="0" xfId="0" applyFont="1" applyFill="1" applyAlignment="1">
      <alignment vertical="center"/>
    </xf>
    <xf numFmtId="0" fontId="22" fillId="0" borderId="0" xfId="0" applyFont="1" applyFill="1" applyAlignment="1">
      <alignment vertical="center"/>
    </xf>
    <xf numFmtId="165" fontId="21" fillId="0" borderId="0" xfId="0" applyNumberFormat="1" applyFont="1" applyFill="1" applyAlignment="1">
      <alignment horizontal="center"/>
    </xf>
    <xf numFmtId="166" fontId="21" fillId="0" borderId="0" xfId="1" applyNumberFormat="1" applyFont="1" applyFill="1"/>
    <xf numFmtId="43" fontId="21" fillId="0" borderId="0" xfId="0" applyNumberFormat="1" applyFont="1" applyFill="1"/>
    <xf numFmtId="165" fontId="21" fillId="0" borderId="0" xfId="1" applyNumberFormat="1" applyFont="1" applyFill="1"/>
    <xf numFmtId="165" fontId="21" fillId="0" borderId="0" xfId="0" applyNumberFormat="1" applyFont="1" applyFill="1"/>
    <xf numFmtId="165" fontId="23" fillId="0" borderId="0" xfId="1" applyNumberFormat="1" applyFont="1" applyFill="1" applyAlignment="1">
      <alignment horizontal="center"/>
    </xf>
    <xf numFmtId="0" fontId="24" fillId="0" borderId="0" xfId="0" applyFont="1" applyFill="1"/>
    <xf numFmtId="0" fontId="24" fillId="0" borderId="0" xfId="0" applyFont="1" applyFill="1" applyAlignment="1">
      <alignment horizontal="center"/>
    </xf>
    <xf numFmtId="165" fontId="24" fillId="0" borderId="0" xfId="1" applyNumberFormat="1" applyFont="1" applyFill="1" applyAlignment="1">
      <alignment horizontal="center"/>
    </xf>
    <xf numFmtId="166" fontId="24" fillId="0" borderId="0" xfId="1" applyNumberFormat="1" applyFont="1" applyFill="1" applyAlignment="1">
      <alignment horizontal="center"/>
    </xf>
    <xf numFmtId="165" fontId="23" fillId="2" borderId="17" xfId="1" applyNumberFormat="1" applyFont="1" applyFill="1" applyBorder="1" applyAlignment="1">
      <alignment horizontal="left" vertical="center"/>
    </xf>
    <xf numFmtId="0" fontId="23" fillId="2" borderId="18" xfId="0" applyFont="1" applyFill="1" applyBorder="1" applyAlignment="1">
      <alignment vertical="center"/>
    </xf>
    <xf numFmtId="165" fontId="23" fillId="2" borderId="18" xfId="1" applyNumberFormat="1" applyFont="1" applyFill="1" applyBorder="1" applyAlignment="1">
      <alignment horizontal="center" vertical="center"/>
    </xf>
    <xf numFmtId="166" fontId="23" fillId="2" borderId="18" xfId="1" applyNumberFormat="1" applyFont="1" applyFill="1" applyBorder="1" applyAlignment="1">
      <alignment horizontal="center" vertical="center"/>
    </xf>
    <xf numFmtId="165" fontId="23" fillId="2" borderId="19" xfId="1" applyNumberFormat="1" applyFont="1" applyFill="1" applyBorder="1" applyAlignment="1">
      <alignment horizontal="center" vertical="center"/>
    </xf>
    <xf numFmtId="165" fontId="24" fillId="0" borderId="6" xfId="1" applyNumberFormat="1" applyFont="1" applyFill="1" applyBorder="1" applyAlignment="1">
      <alignment horizontal="center" vertical="center"/>
    </xf>
    <xf numFmtId="0" fontId="24" fillId="0" borderId="7" xfId="0" applyFont="1" applyFill="1" applyBorder="1" applyAlignment="1">
      <alignment vertical="center"/>
    </xf>
    <xf numFmtId="165" fontId="24" fillId="0" borderId="7" xfId="1" applyNumberFormat="1" applyFont="1" applyFill="1" applyBorder="1" applyAlignment="1">
      <alignment horizontal="center" vertical="center"/>
    </xf>
    <xf numFmtId="165" fontId="24" fillId="0" borderId="20" xfId="1" applyNumberFormat="1" applyFont="1" applyFill="1" applyBorder="1" applyAlignment="1">
      <alignment horizontal="center" vertical="center"/>
    </xf>
    <xf numFmtId="10" fontId="24" fillId="0" borderId="21" xfId="1" applyNumberFormat="1" applyFont="1" applyFill="1" applyBorder="1" applyAlignment="1">
      <alignment horizontal="center" vertical="center"/>
    </xf>
    <xf numFmtId="165" fontId="23" fillId="0" borderId="4" xfId="1" applyNumberFormat="1" applyFont="1" applyFill="1" applyBorder="1" applyAlignment="1">
      <alignment horizontal="center" vertical="center"/>
    </xf>
    <xf numFmtId="0" fontId="23" fillId="0" borderId="5" xfId="0" applyFont="1" applyFill="1" applyBorder="1" applyAlignment="1">
      <alignment horizontal="center" vertical="center"/>
    </xf>
    <xf numFmtId="165" fontId="23" fillId="0" borderId="5" xfId="1" applyNumberFormat="1" applyFont="1" applyFill="1" applyBorder="1" applyAlignment="1">
      <alignment horizontal="center" vertical="center"/>
    </xf>
    <xf numFmtId="10" fontId="23" fillId="0" borderId="22" xfId="1" applyNumberFormat="1" applyFont="1" applyFill="1" applyBorder="1" applyAlignment="1">
      <alignment horizontal="center" vertical="center"/>
    </xf>
    <xf numFmtId="165" fontId="24" fillId="0" borderId="23" xfId="1" applyNumberFormat="1" applyFont="1" applyFill="1" applyBorder="1" applyAlignment="1">
      <alignment horizontal="center" vertical="center"/>
    </xf>
    <xf numFmtId="165" fontId="24" fillId="0" borderId="0" xfId="1" applyNumberFormat="1" applyFont="1" applyFill="1" applyBorder="1" applyAlignment="1">
      <alignment horizontal="center" vertical="center"/>
    </xf>
    <xf numFmtId="165" fontId="24" fillId="2" borderId="2" xfId="1" applyNumberFormat="1" applyFont="1" applyFill="1" applyBorder="1" applyAlignment="1">
      <alignment horizontal="center" vertical="center"/>
    </xf>
    <xf numFmtId="165" fontId="24" fillId="2" borderId="18" xfId="1" applyNumberFormat="1" applyFont="1" applyFill="1" applyBorder="1" applyAlignment="1">
      <alignment horizontal="center" vertical="center"/>
    </xf>
    <xf numFmtId="165" fontId="24" fillId="0" borderId="24" xfId="1" applyNumberFormat="1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/>
    </xf>
    <xf numFmtId="0" fontId="24" fillId="0" borderId="21" xfId="0" applyFont="1" applyFill="1" applyBorder="1" applyAlignment="1">
      <alignment horizontal="center" vertical="center"/>
    </xf>
    <xf numFmtId="0" fontId="24" fillId="0" borderId="7" xfId="0" applyFont="1" applyFill="1" applyBorder="1" applyAlignment="1">
      <alignment horizontal="left" vertical="center"/>
    </xf>
    <xf numFmtId="165" fontId="24" fillId="5" borderId="7" xfId="1" applyNumberFormat="1" applyFont="1" applyFill="1" applyBorder="1" applyAlignment="1">
      <alignment horizontal="center" vertical="center"/>
    </xf>
    <xf numFmtId="165" fontId="23" fillId="0" borderId="0" xfId="1" applyNumberFormat="1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vertical="center"/>
    </xf>
    <xf numFmtId="165" fontId="24" fillId="0" borderId="30" xfId="1" applyNumberFormat="1" applyFont="1" applyFill="1" applyBorder="1" applyAlignment="1">
      <alignment horizontal="center" vertical="center"/>
    </xf>
    <xf numFmtId="0" fontId="24" fillId="0" borderId="31" xfId="0" applyFont="1" applyFill="1" applyBorder="1" applyAlignment="1">
      <alignment vertical="center"/>
    </xf>
    <xf numFmtId="165" fontId="24" fillId="0" borderId="31" xfId="1" applyNumberFormat="1" applyFont="1" applyFill="1" applyBorder="1" applyAlignment="1">
      <alignment horizontal="center" vertical="center"/>
    </xf>
    <xf numFmtId="165" fontId="24" fillId="0" borderId="32" xfId="1" applyNumberFormat="1" applyFont="1" applyFill="1" applyBorder="1" applyAlignment="1">
      <alignment horizontal="center" vertical="center"/>
    </xf>
    <xf numFmtId="165" fontId="24" fillId="0" borderId="33" xfId="1" applyNumberFormat="1" applyFont="1" applyFill="1" applyBorder="1" applyAlignment="1">
      <alignment horizontal="center" vertical="center"/>
    </xf>
    <xf numFmtId="0" fontId="24" fillId="0" borderId="34" xfId="0" applyFont="1" applyFill="1" applyBorder="1" applyAlignment="1">
      <alignment horizontal="center" vertical="center"/>
    </xf>
    <xf numFmtId="165" fontId="23" fillId="0" borderId="35" xfId="1" applyNumberFormat="1" applyFont="1" applyFill="1" applyBorder="1" applyAlignment="1">
      <alignment horizontal="center" vertical="center"/>
    </xf>
    <xf numFmtId="0" fontId="23" fillId="0" borderId="36" xfId="0" applyFont="1" applyFill="1" applyBorder="1" applyAlignment="1">
      <alignment horizontal="center" vertical="center"/>
    </xf>
    <xf numFmtId="165" fontId="23" fillId="0" borderId="36" xfId="1" applyNumberFormat="1" applyFont="1" applyFill="1" applyBorder="1" applyAlignment="1">
      <alignment horizontal="center" vertical="center"/>
    </xf>
    <xf numFmtId="165" fontId="24" fillId="0" borderId="37" xfId="1" applyNumberFormat="1" applyFont="1" applyFill="1" applyBorder="1" applyAlignment="1">
      <alignment horizontal="center" vertical="center"/>
    </xf>
    <xf numFmtId="165" fontId="24" fillId="0" borderId="36" xfId="1" applyNumberFormat="1" applyFont="1" applyFill="1" applyBorder="1" applyAlignment="1">
      <alignment horizontal="center" vertical="center"/>
    </xf>
    <xf numFmtId="10" fontId="23" fillId="0" borderId="38" xfId="1" applyNumberFormat="1" applyFont="1" applyFill="1" applyBorder="1" applyAlignment="1">
      <alignment horizontal="center" vertical="center"/>
    </xf>
    <xf numFmtId="0" fontId="24" fillId="0" borderId="7" xfId="0" applyFont="1" applyBorder="1"/>
    <xf numFmtId="0" fontId="23" fillId="0" borderId="0" xfId="0" applyFont="1" applyFill="1" applyBorder="1" applyAlignment="1">
      <alignment horizontal="center" vertical="center"/>
    </xf>
    <xf numFmtId="10" fontId="23" fillId="0" borderId="0" xfId="1" applyNumberFormat="1" applyFont="1" applyFill="1" applyBorder="1" applyAlignment="1">
      <alignment horizontal="center" vertical="center"/>
    </xf>
    <xf numFmtId="165" fontId="23" fillId="0" borderId="25" xfId="1" applyNumberFormat="1" applyFont="1" applyFill="1" applyBorder="1"/>
    <xf numFmtId="0" fontId="23" fillId="0" borderId="26" xfId="0" applyFont="1" applyFill="1" applyBorder="1"/>
    <xf numFmtId="165" fontId="23" fillId="0" borderId="2" xfId="1" applyNumberFormat="1" applyFont="1" applyFill="1" applyBorder="1" applyAlignment="1">
      <alignment horizontal="center" vertical="center"/>
    </xf>
    <xf numFmtId="165" fontId="23" fillId="0" borderId="27" xfId="1" applyNumberFormat="1" applyFont="1" applyFill="1" applyBorder="1" applyAlignment="1">
      <alignment horizontal="center" vertical="center"/>
    </xf>
    <xf numFmtId="165" fontId="23" fillId="0" borderId="28" xfId="1" applyNumberFormat="1" applyFont="1" applyFill="1" applyBorder="1" applyAlignment="1">
      <alignment horizontal="center" vertical="center"/>
    </xf>
    <xf numFmtId="165" fontId="23" fillId="0" borderId="3" xfId="1" applyNumberFormat="1" applyFont="1" applyFill="1" applyBorder="1" applyAlignment="1">
      <alignment horizontal="center" vertical="center"/>
    </xf>
    <xf numFmtId="165" fontId="23" fillId="0" borderId="29" xfId="1" applyNumberFormat="1" applyFont="1" applyFill="1" applyBorder="1" applyAlignment="1">
      <alignment horizontal="center" vertical="center"/>
    </xf>
    <xf numFmtId="9" fontId="23" fillId="0" borderId="22" xfId="1" applyNumberFormat="1" applyFont="1" applyFill="1" applyBorder="1" applyAlignment="1">
      <alignment horizontal="center" vertical="center"/>
    </xf>
    <xf numFmtId="165" fontId="23" fillId="0" borderId="26" xfId="1" applyNumberFormat="1" applyFont="1" applyFill="1" applyBorder="1" applyAlignment="1">
      <alignment horizontal="center" vertical="center"/>
    </xf>
    <xf numFmtId="0" fontId="23" fillId="0" borderId="5" xfId="0" applyFont="1" applyFill="1" applyBorder="1" applyAlignment="1">
      <alignment horizontal="left" vertical="center"/>
    </xf>
    <xf numFmtId="165" fontId="24" fillId="0" borderId="7" xfId="1" applyNumberFormat="1" applyFont="1" applyFill="1" applyBorder="1" applyAlignment="1">
      <alignment vertical="center"/>
    </xf>
    <xf numFmtId="165" fontId="24" fillId="0" borderId="0" xfId="1" applyNumberFormat="1" applyFont="1" applyFill="1" applyAlignment="1">
      <alignment horizontal="center" vertical="center"/>
    </xf>
    <xf numFmtId="164" fontId="25" fillId="0" borderId="0" xfId="1" applyNumberFormat="1" applyFont="1" applyFill="1" applyBorder="1"/>
    <xf numFmtId="0" fontId="25" fillId="0" borderId="0" xfId="0" applyFont="1"/>
    <xf numFmtId="0" fontId="26" fillId="0" borderId="0" xfId="0" applyFont="1" applyFill="1" applyBorder="1"/>
    <xf numFmtId="0" fontId="26" fillId="0" borderId="0" xfId="0" applyFont="1" applyFill="1" applyBorder="1" applyAlignment="1">
      <alignment horizontal="center"/>
    </xf>
    <xf numFmtId="164" fontId="25" fillId="0" borderId="0" xfId="1" applyNumberFormat="1" applyFont="1"/>
    <xf numFmtId="164" fontId="25" fillId="0" borderId="7" xfId="1" applyNumberFormat="1" applyFont="1" applyBorder="1" applyAlignment="1">
      <alignment horizontal="center" wrapText="1"/>
    </xf>
    <xf numFmtId="164" fontId="25" fillId="0" borderId="7" xfId="1" applyNumberFormat="1" applyFont="1" applyFill="1" applyBorder="1" applyAlignment="1">
      <alignment horizontal="center" wrapText="1"/>
    </xf>
    <xf numFmtId="164" fontId="26" fillId="2" borderId="7" xfId="1" applyNumberFormat="1" applyFont="1" applyFill="1" applyBorder="1" applyAlignment="1">
      <alignment horizontal="center" wrapText="1"/>
    </xf>
    <xf numFmtId="164" fontId="26" fillId="2" borderId="7" xfId="1" applyNumberFormat="1" applyFont="1" applyFill="1" applyBorder="1"/>
    <xf numFmtId="43" fontId="25" fillId="0" borderId="7" xfId="1" applyFont="1" applyBorder="1" applyAlignment="1">
      <alignment horizontal="center" wrapText="1"/>
    </xf>
    <xf numFmtId="43" fontId="25" fillId="0" borderId="0" xfId="1" applyFont="1"/>
    <xf numFmtId="43" fontId="25" fillId="0" borderId="7" xfId="1" applyFont="1" applyFill="1" applyBorder="1" applyAlignment="1">
      <alignment horizontal="center" wrapText="1"/>
    </xf>
    <xf numFmtId="43" fontId="26" fillId="2" borderId="7" xfId="1" applyFont="1" applyFill="1" applyBorder="1" applyAlignment="1">
      <alignment horizontal="center" wrapText="1"/>
    </xf>
    <xf numFmtId="164" fontId="26" fillId="3" borderId="7" xfId="1" applyNumberFormat="1" applyFont="1" applyFill="1" applyBorder="1" applyAlignment="1">
      <alignment horizontal="center" wrapText="1"/>
    </xf>
    <xf numFmtId="43" fontId="25" fillId="3" borderId="7" xfId="1" applyFont="1" applyFill="1" applyBorder="1" applyAlignment="1">
      <alignment horizontal="center" wrapText="1"/>
    </xf>
    <xf numFmtId="165" fontId="25" fillId="0" borderId="7" xfId="1" applyNumberFormat="1" applyFont="1" applyBorder="1" applyAlignment="1">
      <alignment horizontal="center" wrapText="1"/>
    </xf>
    <xf numFmtId="165" fontId="25" fillId="0" borderId="0" xfId="1" applyNumberFormat="1" applyFont="1"/>
    <xf numFmtId="165" fontId="25" fillId="0" borderId="7" xfId="1" applyNumberFormat="1" applyFont="1" applyFill="1" applyBorder="1" applyAlignment="1">
      <alignment horizontal="center" wrapText="1"/>
    </xf>
    <xf numFmtId="165" fontId="25" fillId="3" borderId="7" xfId="1" applyNumberFormat="1" applyFont="1" applyFill="1" applyBorder="1" applyAlignment="1">
      <alignment horizontal="center" wrapText="1"/>
    </xf>
    <xf numFmtId="38" fontId="25" fillId="0" borderId="0" xfId="0" applyNumberFormat="1" applyFont="1"/>
    <xf numFmtId="38" fontId="25" fillId="0" borderId="0" xfId="1" applyNumberFormat="1" applyFont="1"/>
    <xf numFmtId="40" fontId="25" fillId="0" borderId="0" xfId="1" applyNumberFormat="1" applyFont="1"/>
    <xf numFmtId="0" fontId="25" fillId="0" borderId="0" xfId="0" applyFont="1" applyAlignment="1">
      <alignment vertical="center"/>
    </xf>
    <xf numFmtId="164" fontId="26" fillId="2" borderId="5" xfId="1" applyNumberFormat="1" applyFont="1" applyFill="1" applyBorder="1" applyAlignment="1">
      <alignment horizontal="center" wrapText="1"/>
    </xf>
    <xf numFmtId="0" fontId="25" fillId="0" borderId="0" xfId="0" applyFont="1" applyBorder="1"/>
    <xf numFmtId="0" fontId="26" fillId="0" borderId="0" xfId="0" applyFont="1" applyBorder="1"/>
    <xf numFmtId="164" fontId="25" fillId="0" borderId="0" xfId="0" applyNumberFormat="1" applyFont="1"/>
    <xf numFmtId="0" fontId="25" fillId="0" borderId="0" xfId="0" applyFont="1" applyAlignment="1">
      <alignment vertical="top"/>
    </xf>
    <xf numFmtId="165" fontId="25" fillId="0" borderId="7" xfId="1" applyNumberFormat="1" applyFont="1" applyFill="1" applyBorder="1" applyAlignment="1">
      <alignment horizontal="center" vertical="center"/>
    </xf>
    <xf numFmtId="165" fontId="25" fillId="0" borderId="7" xfId="1" applyNumberFormat="1" applyFont="1" applyFill="1" applyBorder="1" applyAlignment="1">
      <alignment horizontal="center" vertical="center" wrapText="1"/>
    </xf>
    <xf numFmtId="165" fontId="26" fillId="2" borderId="7" xfId="1" applyNumberFormat="1" applyFont="1" applyFill="1" applyBorder="1" applyAlignment="1">
      <alignment horizontal="center" vertical="center"/>
    </xf>
    <xf numFmtId="165" fontId="26" fillId="2" borderId="5" xfId="1" applyNumberFormat="1" applyFont="1" applyFill="1" applyBorder="1" applyAlignment="1">
      <alignment horizontal="center" vertical="center"/>
    </xf>
    <xf numFmtId="0" fontId="26" fillId="0" borderId="3" xfId="0" applyFont="1" applyFill="1" applyBorder="1" applyAlignment="1">
      <alignment horizontal="center" vertical="center"/>
    </xf>
    <xf numFmtId="165" fontId="23" fillId="0" borderId="22" xfId="1" applyNumberFormat="1" applyFont="1" applyFill="1" applyBorder="1" applyAlignment="1">
      <alignment horizontal="center" vertical="center"/>
    </xf>
    <xf numFmtId="165" fontId="24" fillId="0" borderId="21" xfId="1" applyNumberFormat="1" applyFont="1" applyFill="1" applyBorder="1" applyAlignment="1">
      <alignment horizontal="left" vertical="center"/>
    </xf>
    <xf numFmtId="165" fontId="24" fillId="0" borderId="21" xfId="1" applyNumberFormat="1" applyFont="1" applyFill="1" applyBorder="1" applyAlignment="1">
      <alignment horizontal="center" vertical="center"/>
    </xf>
    <xf numFmtId="9" fontId="23" fillId="0" borderId="0" xfId="1" applyNumberFormat="1" applyFont="1" applyFill="1" applyBorder="1" applyAlignment="1">
      <alignment horizontal="center" vertical="center"/>
    </xf>
    <xf numFmtId="165" fontId="23" fillId="0" borderId="0" xfId="1" applyNumberFormat="1" applyFont="1" applyFill="1" applyAlignment="1">
      <alignment horizontal="left"/>
    </xf>
    <xf numFmtId="165" fontId="24" fillId="0" borderId="0" xfId="1" applyNumberFormat="1" applyFont="1" applyFill="1" applyAlignment="1">
      <alignment horizontal="left"/>
    </xf>
    <xf numFmtId="165" fontId="24" fillId="0" borderId="1" xfId="1" applyNumberFormat="1" applyFont="1" applyFill="1" applyBorder="1" applyAlignment="1">
      <alignment horizontal="left" vertical="center" wrapText="1"/>
    </xf>
    <xf numFmtId="164" fontId="25" fillId="0" borderId="0" xfId="1" applyNumberFormat="1" applyFont="1" applyFill="1"/>
    <xf numFmtId="43" fontId="25" fillId="0" borderId="0" xfId="1" applyFont="1" applyFill="1"/>
    <xf numFmtId="43" fontId="21" fillId="0" borderId="0" xfId="0" applyNumberFormat="1" applyFont="1" applyFill="1" applyAlignment="1">
      <alignment vertical="center"/>
    </xf>
    <xf numFmtId="9" fontId="23" fillId="2" borderId="5" xfId="1" applyNumberFormat="1" applyFont="1" applyFill="1" applyBorder="1" applyAlignment="1">
      <alignment horizontal="center" vertical="center" wrapText="1"/>
    </xf>
    <xf numFmtId="165" fontId="24" fillId="0" borderId="34" xfId="1" applyNumberFormat="1" applyFont="1" applyFill="1" applyBorder="1" applyAlignment="1">
      <alignment horizontal="center" vertical="center"/>
    </xf>
    <xf numFmtId="165" fontId="23" fillId="0" borderId="35" xfId="1" applyNumberFormat="1" applyFont="1" applyFill="1" applyBorder="1" applyAlignment="1">
      <alignment horizontal="center"/>
    </xf>
    <xf numFmtId="0" fontId="24" fillId="0" borderId="36" xfId="0" applyFont="1" applyFill="1" applyBorder="1"/>
    <xf numFmtId="0" fontId="24" fillId="0" borderId="38" xfId="0" applyFont="1" applyFill="1" applyBorder="1" applyAlignment="1">
      <alignment horizontal="center"/>
    </xf>
    <xf numFmtId="0" fontId="24" fillId="0" borderId="6" xfId="0" applyFont="1" applyFill="1" applyBorder="1" applyAlignment="1">
      <alignment vertical="center"/>
    </xf>
    <xf numFmtId="165" fontId="24" fillId="0" borderId="21" xfId="1" applyNumberFormat="1" applyFont="1" applyFill="1" applyBorder="1" applyAlignment="1">
      <alignment vertical="center"/>
    </xf>
    <xf numFmtId="0" fontId="24" fillId="0" borderId="1" xfId="0" applyFont="1" applyFill="1" applyBorder="1" applyAlignment="1">
      <alignment vertical="center"/>
    </xf>
    <xf numFmtId="0" fontId="24" fillId="0" borderId="2" xfId="0" applyFont="1" applyFill="1" applyBorder="1" applyAlignment="1">
      <alignment vertical="center"/>
    </xf>
    <xf numFmtId="165" fontId="24" fillId="0" borderId="2" xfId="1" applyNumberFormat="1" applyFont="1" applyFill="1" applyBorder="1" applyAlignment="1">
      <alignment horizontal="left" vertical="center"/>
    </xf>
    <xf numFmtId="165" fontId="24" fillId="0" borderId="3" xfId="1" applyNumberFormat="1" applyFont="1" applyFill="1" applyBorder="1" applyAlignment="1">
      <alignment horizontal="left" vertical="center" wrapText="1"/>
    </xf>
    <xf numFmtId="167" fontId="0" fillId="0" borderId="0" xfId="1" applyNumberFormat="1" applyFont="1"/>
    <xf numFmtId="165" fontId="0" fillId="0" borderId="0" xfId="1" applyNumberFormat="1" applyFont="1"/>
    <xf numFmtId="43" fontId="0" fillId="0" borderId="0" xfId="0" applyNumberFormat="1"/>
    <xf numFmtId="0" fontId="0" fillId="0" borderId="0" xfId="0" applyAlignment="1">
      <alignment wrapText="1"/>
    </xf>
    <xf numFmtId="165" fontId="24" fillId="5" borderId="20" xfId="1" applyNumberFormat="1" applyFont="1" applyFill="1" applyBorder="1" applyAlignment="1">
      <alignment horizontal="center" vertical="center"/>
    </xf>
    <xf numFmtId="165" fontId="24" fillId="0" borderId="20" xfId="1" applyNumberFormat="1" applyFont="1" applyFill="1" applyBorder="1" applyAlignment="1">
      <alignment vertical="center"/>
    </xf>
    <xf numFmtId="165" fontId="27" fillId="0" borderId="7" xfId="1" applyNumberFormat="1" applyFont="1" applyFill="1" applyBorder="1" applyAlignment="1">
      <alignment horizontal="center" vertical="center"/>
    </xf>
    <xf numFmtId="165" fontId="24" fillId="0" borderId="2" xfId="1" applyNumberFormat="1" applyFont="1" applyFill="1" applyBorder="1" applyAlignment="1">
      <alignment horizontal="center" vertical="center"/>
    </xf>
    <xf numFmtId="165" fontId="23" fillId="0" borderId="23" xfId="1" applyNumberFormat="1" applyFont="1" applyFill="1" applyBorder="1" applyAlignment="1">
      <alignment horizontal="center" vertical="center"/>
    </xf>
    <xf numFmtId="0" fontId="25" fillId="0" borderId="0" xfId="0" applyFont="1" applyFill="1"/>
    <xf numFmtId="165" fontId="25" fillId="2" borderId="7" xfId="1" applyNumberFormat="1" applyFont="1" applyFill="1" applyBorder="1" applyAlignment="1">
      <alignment horizontal="center" vertical="center" wrapText="1"/>
    </xf>
    <xf numFmtId="167" fontId="24" fillId="0" borderId="7" xfId="1" applyNumberFormat="1" applyFont="1" applyFill="1" applyBorder="1" applyAlignment="1">
      <alignment horizontal="center" vertical="center"/>
    </xf>
    <xf numFmtId="167" fontId="24" fillId="0" borderId="0" xfId="1" applyNumberFormat="1" applyFont="1" applyFill="1" applyBorder="1" applyAlignment="1">
      <alignment horizontal="center" vertical="center"/>
    </xf>
    <xf numFmtId="167" fontId="24" fillId="2" borderId="18" xfId="1" applyNumberFormat="1" applyFont="1" applyFill="1" applyBorder="1" applyAlignment="1">
      <alignment horizontal="center" vertical="center"/>
    </xf>
    <xf numFmtId="167" fontId="24" fillId="0" borderId="36" xfId="1" applyNumberFormat="1" applyFont="1" applyFill="1" applyBorder="1" applyAlignment="1">
      <alignment horizontal="center" vertical="center"/>
    </xf>
    <xf numFmtId="167" fontId="23" fillId="0" borderId="0" xfId="1" applyNumberFormat="1" applyFont="1" applyFill="1" applyBorder="1" applyAlignment="1">
      <alignment horizontal="center" vertical="center"/>
    </xf>
    <xf numFmtId="167" fontId="24" fillId="0" borderId="2" xfId="1" applyNumberFormat="1" applyFont="1" applyFill="1" applyBorder="1" applyAlignment="1">
      <alignment horizontal="center" vertical="center"/>
    </xf>
    <xf numFmtId="165" fontId="23" fillId="2" borderId="5" xfId="1" applyNumberFormat="1" applyFont="1" applyFill="1" applyBorder="1" applyAlignment="1">
      <alignment vertical="center" wrapText="1"/>
    </xf>
    <xf numFmtId="165" fontId="24" fillId="0" borderId="5" xfId="1" applyNumberFormat="1" applyFont="1" applyFill="1" applyBorder="1" applyAlignment="1">
      <alignment horizontal="center" vertical="center"/>
    </xf>
    <xf numFmtId="43" fontId="25" fillId="0" borderId="7" xfId="1" applyFont="1" applyFill="1" applyBorder="1" applyAlignment="1">
      <alignment horizontal="center" vertical="center" wrapText="1"/>
    </xf>
    <xf numFmtId="0" fontId="26" fillId="0" borderId="2" xfId="0" applyFont="1" applyFill="1" applyBorder="1" applyAlignment="1">
      <alignment horizontal="center" vertical="center"/>
    </xf>
    <xf numFmtId="167" fontId="25" fillId="0" borderId="7" xfId="1" applyNumberFormat="1" applyFont="1" applyFill="1" applyBorder="1" applyAlignment="1">
      <alignment horizontal="center" vertical="center" wrapText="1"/>
    </xf>
    <xf numFmtId="167" fontId="25" fillId="0" borderId="7" xfId="1" applyNumberFormat="1" applyFont="1" applyFill="1" applyBorder="1" applyAlignment="1">
      <alignment horizontal="center" vertical="center"/>
    </xf>
    <xf numFmtId="167" fontId="25" fillId="2" borderId="7" xfId="1" applyNumberFormat="1" applyFont="1" applyFill="1" applyBorder="1" applyAlignment="1">
      <alignment horizontal="center" vertical="center" wrapText="1"/>
    </xf>
    <xf numFmtId="165" fontId="24" fillId="0" borderId="7" xfId="1" applyNumberFormat="1" applyFont="1" applyBorder="1" applyAlignment="1">
      <alignment horizontal="center" vertical="center"/>
    </xf>
    <xf numFmtId="167" fontId="24" fillId="0" borderId="7" xfId="1" applyNumberFormat="1" applyFont="1" applyBorder="1" applyAlignment="1">
      <alignment horizontal="center" vertical="center"/>
    </xf>
    <xf numFmtId="164" fontId="25" fillId="0" borderId="7" xfId="1" applyNumberFormat="1" applyFont="1" applyBorder="1" applyAlignment="1">
      <alignment horizontal="center" vertical="center" wrapText="1"/>
    </xf>
    <xf numFmtId="164" fontId="25" fillId="0" borderId="7" xfId="1" applyNumberFormat="1" applyFont="1" applyFill="1" applyBorder="1" applyAlignment="1">
      <alignment horizontal="center" vertical="center" wrapText="1"/>
    </xf>
    <xf numFmtId="164" fontId="26" fillId="2" borderId="7" xfId="1" applyNumberFormat="1" applyFont="1" applyFill="1" applyBorder="1" applyAlignment="1">
      <alignment horizontal="center" vertical="center" wrapText="1"/>
    </xf>
    <xf numFmtId="164" fontId="26" fillId="2" borderId="7" xfId="1" applyNumberFormat="1" applyFont="1" applyFill="1" applyBorder="1" applyAlignment="1">
      <alignment horizontal="center" vertical="center"/>
    </xf>
    <xf numFmtId="43" fontId="25" fillId="0" borderId="7" xfId="1" applyFont="1" applyBorder="1" applyAlignment="1">
      <alignment horizontal="center" vertical="center" wrapText="1"/>
    </xf>
    <xf numFmtId="43" fontId="26" fillId="2" borderId="7" xfId="1" applyFont="1" applyFill="1" applyBorder="1" applyAlignment="1">
      <alignment horizontal="center" vertical="center" wrapText="1"/>
    </xf>
    <xf numFmtId="164" fontId="26" fillId="3" borderId="7" xfId="1" applyNumberFormat="1" applyFont="1" applyFill="1" applyBorder="1" applyAlignment="1">
      <alignment horizontal="center" vertical="center" wrapText="1"/>
    </xf>
    <xf numFmtId="43" fontId="25" fillId="3" borderId="7" xfId="1" applyFont="1" applyFill="1" applyBorder="1" applyAlignment="1">
      <alignment horizontal="center" vertical="center" wrapText="1"/>
    </xf>
    <xf numFmtId="165" fontId="25" fillId="0" borderId="7" xfId="1" applyNumberFormat="1" applyFont="1" applyBorder="1" applyAlignment="1">
      <alignment horizontal="center" vertical="center" wrapText="1"/>
    </xf>
    <xf numFmtId="165" fontId="25" fillId="3" borderId="7" xfId="1" applyNumberFormat="1" applyFont="1" applyFill="1" applyBorder="1" applyAlignment="1">
      <alignment horizontal="center" vertical="center" wrapText="1"/>
    </xf>
    <xf numFmtId="167" fontId="25" fillId="0" borderId="0" xfId="1" applyNumberFormat="1" applyFont="1" applyFill="1"/>
    <xf numFmtId="167" fontId="25" fillId="0" borderId="0" xfId="1" applyNumberFormat="1" applyFont="1"/>
    <xf numFmtId="0" fontId="26" fillId="0" borderId="2" xfId="0" applyFont="1" applyFill="1" applyBorder="1" applyAlignment="1">
      <alignment horizontal="center" vertical="center"/>
    </xf>
    <xf numFmtId="164" fontId="25" fillId="0" borderId="0" xfId="1" applyNumberFormat="1" applyFont="1" applyFill="1" applyBorder="1" applyAlignment="1">
      <alignment horizontal="center" wrapText="1"/>
    </xf>
    <xf numFmtId="165" fontId="25" fillId="0" borderId="0" xfId="0" applyNumberFormat="1" applyFont="1"/>
    <xf numFmtId="165" fontId="23" fillId="0" borderId="0" xfId="1" applyNumberFormat="1" applyFont="1" applyFill="1" applyBorder="1" applyAlignment="1">
      <alignment horizontal="left" vertical="center"/>
    </xf>
    <xf numFmtId="167" fontId="24" fillId="0" borderId="5" xfId="1" applyNumberFormat="1" applyFont="1" applyFill="1" applyBorder="1" applyAlignment="1">
      <alignment horizontal="center" vertical="center"/>
    </xf>
    <xf numFmtId="165" fontId="24" fillId="0" borderId="7" xfId="1" applyNumberFormat="1" applyFont="1" applyFill="1" applyBorder="1" applyAlignment="1">
      <alignment horizontal="center" vertical="center" wrapText="1"/>
    </xf>
    <xf numFmtId="0" fontId="23" fillId="0" borderId="0" xfId="0" applyFont="1" applyBorder="1"/>
    <xf numFmtId="0" fontId="26" fillId="0" borderId="2" xfId="0" applyFont="1" applyFill="1" applyBorder="1" applyAlignment="1">
      <alignment horizontal="center" vertical="center"/>
    </xf>
    <xf numFmtId="0" fontId="0" fillId="0" borderId="7" xfId="0" applyBorder="1"/>
    <xf numFmtId="0" fontId="24" fillId="0" borderId="23" xfId="0" applyFont="1" applyFill="1" applyBorder="1" applyAlignment="1">
      <alignment horizontal="left" vertical="center"/>
    </xf>
    <xf numFmtId="43" fontId="0" fillId="0" borderId="0" xfId="1" applyFont="1"/>
    <xf numFmtId="165" fontId="23" fillId="0" borderId="42" xfId="1" applyNumberFormat="1" applyFont="1" applyFill="1" applyBorder="1" applyAlignment="1">
      <alignment vertical="center" wrapText="1"/>
    </xf>
    <xf numFmtId="165" fontId="23" fillId="0" borderId="23" xfId="1" applyNumberFormat="1" applyFont="1" applyFill="1" applyBorder="1" applyAlignment="1">
      <alignment vertical="center" wrapText="1"/>
    </xf>
    <xf numFmtId="165" fontId="24" fillId="0" borderId="7" xfId="1" applyNumberFormat="1" applyFont="1" applyFill="1" applyBorder="1" applyAlignment="1">
      <alignment horizontal="left" vertical="center"/>
    </xf>
    <xf numFmtId="167" fontId="0" fillId="0" borderId="7" xfId="1" applyNumberFormat="1" applyFont="1" applyBorder="1"/>
    <xf numFmtId="165" fontId="0" fillId="0" borderId="7" xfId="1" applyNumberFormat="1" applyFont="1" applyBorder="1"/>
    <xf numFmtId="0" fontId="23" fillId="0" borderId="7" xfId="0" applyFont="1" applyFill="1" applyBorder="1" applyAlignment="1">
      <alignment horizontal="left" vertical="center"/>
    </xf>
    <xf numFmtId="165" fontId="25" fillId="0" borderId="0" xfId="1" applyNumberFormat="1" applyFont="1" applyFill="1" applyBorder="1" applyAlignment="1">
      <alignment horizontal="center" vertical="center" wrapText="1"/>
    </xf>
    <xf numFmtId="0" fontId="23" fillId="0" borderId="36" xfId="0" applyFont="1" applyFill="1" applyBorder="1" applyAlignment="1">
      <alignment horizontal="left" vertical="center"/>
    </xf>
    <xf numFmtId="165" fontId="23" fillId="2" borderId="1" xfId="1" applyNumberFormat="1" applyFont="1" applyFill="1" applyBorder="1" applyAlignment="1">
      <alignment horizontal="center" vertical="center" wrapText="1"/>
    </xf>
    <xf numFmtId="165" fontId="23" fillId="2" borderId="4" xfId="1" applyNumberFormat="1" applyFont="1" applyFill="1" applyBorder="1" applyAlignment="1">
      <alignment horizontal="center" vertical="center" wrapText="1"/>
    </xf>
    <xf numFmtId="165" fontId="23" fillId="2" borderId="2" xfId="1" applyNumberFormat="1" applyFont="1" applyFill="1" applyBorder="1" applyAlignment="1">
      <alignment horizontal="center" vertical="center" wrapText="1"/>
    </xf>
    <xf numFmtId="165" fontId="23" fillId="2" borderId="5" xfId="1" applyNumberFormat="1" applyFont="1" applyFill="1" applyBorder="1" applyAlignment="1">
      <alignment horizontal="center" vertical="center" wrapText="1"/>
    </xf>
    <xf numFmtId="43" fontId="23" fillId="2" borderId="3" xfId="1" applyNumberFormat="1" applyFont="1" applyFill="1" applyBorder="1" applyAlignment="1">
      <alignment horizontal="center" vertical="center" wrapText="1"/>
    </xf>
    <xf numFmtId="43" fontId="23" fillId="2" borderId="22" xfId="1" applyNumberFormat="1" applyFont="1" applyFill="1" applyBorder="1" applyAlignment="1">
      <alignment horizontal="center" vertical="center" wrapText="1"/>
    </xf>
    <xf numFmtId="0" fontId="23" fillId="2" borderId="2" xfId="0" applyFont="1" applyFill="1" applyBorder="1" applyAlignment="1">
      <alignment horizontal="center" vertical="center"/>
    </xf>
    <xf numFmtId="0" fontId="23" fillId="2" borderId="28" xfId="0" applyFont="1" applyFill="1" applyBorder="1" applyAlignment="1">
      <alignment horizontal="center" vertical="center"/>
    </xf>
    <xf numFmtId="0" fontId="23" fillId="2" borderId="18" xfId="0" applyFont="1" applyFill="1" applyBorder="1" applyAlignment="1">
      <alignment horizontal="center" vertical="center"/>
    </xf>
    <xf numFmtId="0" fontId="23" fillId="2" borderId="27" xfId="0" applyFont="1" applyFill="1" applyBorder="1" applyAlignment="1">
      <alignment horizontal="center" vertical="center"/>
    </xf>
    <xf numFmtId="40" fontId="26" fillId="5" borderId="6" xfId="1" applyNumberFormat="1" applyFont="1" applyFill="1" applyBorder="1" applyAlignment="1">
      <alignment horizontal="left" vertical="center" wrapText="1"/>
    </xf>
    <xf numFmtId="40" fontId="26" fillId="5" borderId="7" xfId="1" applyNumberFormat="1" applyFont="1" applyFill="1" applyBorder="1" applyAlignment="1">
      <alignment horizontal="left" vertical="center" wrapText="1"/>
    </xf>
    <xf numFmtId="0" fontId="26" fillId="0" borderId="6" xfId="0" applyFont="1" applyBorder="1" applyAlignment="1">
      <alignment horizontal="left" vertical="center" wrapText="1"/>
    </xf>
    <xf numFmtId="0" fontId="26" fillId="0" borderId="7" xfId="0" applyFont="1" applyBorder="1" applyAlignment="1">
      <alignment horizontal="left" vertical="center" wrapText="1"/>
    </xf>
    <xf numFmtId="164" fontId="26" fillId="0" borderId="6" xfId="1" applyNumberFormat="1" applyFont="1" applyBorder="1" applyAlignment="1">
      <alignment horizontal="left" vertical="top" wrapText="1"/>
    </xf>
    <xf numFmtId="164" fontId="23" fillId="0" borderId="6" xfId="1" applyNumberFormat="1" applyFont="1" applyBorder="1" applyAlignment="1">
      <alignment horizontal="left" vertical="top" wrapText="1"/>
    </xf>
    <xf numFmtId="164" fontId="26" fillId="0" borderId="4" xfId="1" applyNumberFormat="1" applyFont="1" applyBorder="1" applyAlignment="1">
      <alignment horizontal="left" vertical="top" wrapText="1"/>
    </xf>
    <xf numFmtId="38" fontId="26" fillId="5" borderId="6" xfId="0" applyNumberFormat="1" applyFont="1" applyFill="1" applyBorder="1" applyAlignment="1">
      <alignment horizontal="left" vertical="center" wrapText="1"/>
    </xf>
    <xf numFmtId="38" fontId="26" fillId="5" borderId="7" xfId="0" applyNumberFormat="1" applyFont="1" applyFill="1" applyBorder="1" applyAlignment="1">
      <alignment horizontal="left" vertical="center" wrapText="1"/>
    </xf>
    <xf numFmtId="164" fontId="26" fillId="0" borderId="6" xfId="1" applyNumberFormat="1" applyFont="1" applyFill="1" applyBorder="1" applyAlignment="1">
      <alignment horizontal="left" vertical="top" wrapText="1"/>
    </xf>
    <xf numFmtId="43" fontId="26" fillId="0" borderId="6" xfId="1" applyFont="1" applyBorder="1" applyAlignment="1">
      <alignment horizontal="left" vertical="top" wrapText="1"/>
    </xf>
    <xf numFmtId="38" fontId="23" fillId="0" borderId="6" xfId="1" applyNumberFormat="1" applyFont="1" applyBorder="1" applyAlignment="1">
      <alignment horizontal="left" vertical="top" wrapText="1"/>
    </xf>
    <xf numFmtId="164" fontId="26" fillId="0" borderId="30" xfId="1" applyNumberFormat="1" applyFont="1" applyFill="1" applyBorder="1" applyAlignment="1">
      <alignment horizontal="left" vertical="top" wrapText="1"/>
    </xf>
    <xf numFmtId="164" fontId="26" fillId="0" borderId="40" xfId="1" applyNumberFormat="1" applyFont="1" applyFill="1" applyBorder="1" applyAlignment="1">
      <alignment horizontal="left" vertical="top" wrapText="1"/>
    </xf>
    <xf numFmtId="164" fontId="26" fillId="0" borderId="41" xfId="1" applyNumberFormat="1" applyFont="1" applyFill="1" applyBorder="1" applyAlignment="1">
      <alignment horizontal="left" vertical="top" wrapText="1"/>
    </xf>
    <xf numFmtId="43" fontId="26" fillId="4" borderId="6" xfId="1" applyFont="1" applyFill="1" applyBorder="1" applyAlignment="1">
      <alignment horizontal="left" vertical="top" wrapText="1"/>
    </xf>
    <xf numFmtId="165" fontId="26" fillId="4" borderId="6" xfId="1" applyNumberFormat="1" applyFont="1" applyFill="1" applyBorder="1" applyAlignment="1">
      <alignment horizontal="left" vertical="top" wrapText="1"/>
    </xf>
    <xf numFmtId="38" fontId="23" fillId="0" borderId="6" xfId="1" applyNumberFormat="1" applyFont="1" applyFill="1" applyBorder="1" applyAlignment="1">
      <alignment horizontal="left" vertical="top" wrapText="1"/>
    </xf>
    <xf numFmtId="0" fontId="26" fillId="0" borderId="1" xfId="0" applyFont="1" applyFill="1" applyBorder="1" applyAlignment="1">
      <alignment horizontal="center" vertical="center"/>
    </xf>
    <xf numFmtId="0" fontId="26" fillId="0" borderId="2" xfId="0" applyFont="1" applyFill="1" applyBorder="1" applyAlignment="1">
      <alignment horizontal="center" vertical="center"/>
    </xf>
    <xf numFmtId="164" fontId="26" fillId="0" borderId="1" xfId="1" applyNumberFormat="1" applyFont="1" applyFill="1" applyBorder="1" applyAlignment="1">
      <alignment horizontal="left"/>
    </xf>
    <xf numFmtId="164" fontId="26" fillId="0" borderId="2" xfId="1" applyNumberFormat="1" applyFont="1" applyFill="1" applyBorder="1" applyAlignment="1">
      <alignment horizontal="left"/>
    </xf>
    <xf numFmtId="164" fontId="26" fillId="0" borderId="6" xfId="1" applyNumberFormat="1" applyFont="1" applyFill="1" applyBorder="1" applyAlignment="1">
      <alignment horizontal="left"/>
    </xf>
    <xf numFmtId="164" fontId="26" fillId="0" borderId="7" xfId="1" applyNumberFormat="1" applyFont="1" applyFill="1" applyBorder="1" applyAlignment="1">
      <alignment horizontal="left"/>
    </xf>
    <xf numFmtId="164" fontId="26" fillId="0" borderId="39" xfId="1" applyNumberFormat="1" applyFont="1" applyFill="1" applyBorder="1" applyAlignment="1">
      <alignment horizontal="left" indent="5"/>
    </xf>
    <xf numFmtId="164" fontId="26" fillId="0" borderId="24" xfId="1" applyNumberFormat="1" applyFont="1" applyFill="1" applyBorder="1" applyAlignment="1">
      <alignment horizontal="left" indent="5"/>
    </xf>
  </cellXfs>
  <cellStyles count="574">
    <cellStyle name="20% - Accent1 10" xfId="2"/>
    <cellStyle name="20% - Accent1 11" xfId="3"/>
    <cellStyle name="20% - Accent1 12" xfId="4"/>
    <cellStyle name="20% - Accent1 13" xfId="5"/>
    <cellStyle name="20% - Accent1 2" xfId="6"/>
    <cellStyle name="20% - Accent1 2 2" xfId="7"/>
    <cellStyle name="20% - Accent1 3" xfId="8"/>
    <cellStyle name="20% - Accent1 4" xfId="9"/>
    <cellStyle name="20% - Accent1 5" xfId="10"/>
    <cellStyle name="20% - Accent1 6" xfId="11"/>
    <cellStyle name="20% - Accent1 7" xfId="12"/>
    <cellStyle name="20% - Accent1 8" xfId="13"/>
    <cellStyle name="20% - Accent1 9" xfId="14"/>
    <cellStyle name="20% - Accent2 10" xfId="15"/>
    <cellStyle name="20% - Accent2 11" xfId="16"/>
    <cellStyle name="20% - Accent2 12" xfId="17"/>
    <cellStyle name="20% - Accent2 13" xfId="18"/>
    <cellStyle name="20% - Accent2 2" xfId="19"/>
    <cellStyle name="20% - Accent2 2 2" xfId="20"/>
    <cellStyle name="20% - Accent2 3" xfId="21"/>
    <cellStyle name="20% - Accent2 4" xfId="22"/>
    <cellStyle name="20% - Accent2 5" xfId="23"/>
    <cellStyle name="20% - Accent2 6" xfId="24"/>
    <cellStyle name="20% - Accent2 7" xfId="25"/>
    <cellStyle name="20% - Accent2 8" xfId="26"/>
    <cellStyle name="20% - Accent2 9" xfId="27"/>
    <cellStyle name="20% - Accent3 10" xfId="28"/>
    <cellStyle name="20% - Accent3 11" xfId="29"/>
    <cellStyle name="20% - Accent3 12" xfId="30"/>
    <cellStyle name="20% - Accent3 13" xfId="31"/>
    <cellStyle name="20% - Accent3 2" xfId="32"/>
    <cellStyle name="20% - Accent3 2 2" xfId="33"/>
    <cellStyle name="20% - Accent3 3" xfId="34"/>
    <cellStyle name="20% - Accent3 4" xfId="35"/>
    <cellStyle name="20% - Accent3 5" xfId="36"/>
    <cellStyle name="20% - Accent3 6" xfId="37"/>
    <cellStyle name="20% - Accent3 7" xfId="38"/>
    <cellStyle name="20% - Accent3 8" xfId="39"/>
    <cellStyle name="20% - Accent3 9" xfId="40"/>
    <cellStyle name="20% - Accent4 10" xfId="41"/>
    <cellStyle name="20% - Accent4 11" xfId="42"/>
    <cellStyle name="20% - Accent4 12" xfId="43"/>
    <cellStyle name="20% - Accent4 13" xfId="44"/>
    <cellStyle name="20% - Accent4 2" xfId="45"/>
    <cellStyle name="20% - Accent4 2 2" xfId="46"/>
    <cellStyle name="20% - Accent4 3" xfId="47"/>
    <cellStyle name="20% - Accent4 4" xfId="48"/>
    <cellStyle name="20% - Accent4 5" xfId="49"/>
    <cellStyle name="20% - Accent4 6" xfId="50"/>
    <cellStyle name="20% - Accent4 7" xfId="51"/>
    <cellStyle name="20% - Accent4 8" xfId="52"/>
    <cellStyle name="20% - Accent4 9" xfId="53"/>
    <cellStyle name="20% - Accent5 10" xfId="54"/>
    <cellStyle name="20% - Accent5 11" xfId="55"/>
    <cellStyle name="20% - Accent5 12" xfId="56"/>
    <cellStyle name="20% - Accent5 13" xfId="57"/>
    <cellStyle name="20% - Accent5 2" xfId="58"/>
    <cellStyle name="20% - Accent5 2 2" xfId="59"/>
    <cellStyle name="20% - Accent5 3" xfId="60"/>
    <cellStyle name="20% - Accent5 4" xfId="61"/>
    <cellStyle name="20% - Accent5 5" xfId="62"/>
    <cellStyle name="20% - Accent5 6" xfId="63"/>
    <cellStyle name="20% - Accent5 7" xfId="64"/>
    <cellStyle name="20% - Accent5 8" xfId="65"/>
    <cellStyle name="20% - Accent5 9" xfId="66"/>
    <cellStyle name="20% - Accent6 10" xfId="67"/>
    <cellStyle name="20% - Accent6 11" xfId="68"/>
    <cellStyle name="20% - Accent6 12" xfId="69"/>
    <cellStyle name="20% - Accent6 13" xfId="70"/>
    <cellStyle name="20% - Accent6 2" xfId="71"/>
    <cellStyle name="20% - Accent6 2 2" xfId="72"/>
    <cellStyle name="20% - Accent6 3" xfId="73"/>
    <cellStyle name="20% - Accent6 4" xfId="74"/>
    <cellStyle name="20% - Accent6 5" xfId="75"/>
    <cellStyle name="20% - Accent6 6" xfId="76"/>
    <cellStyle name="20% - Accent6 7" xfId="77"/>
    <cellStyle name="20% - Accent6 8" xfId="78"/>
    <cellStyle name="20% - Accent6 9" xfId="79"/>
    <cellStyle name="40% - Accent1 10" xfId="80"/>
    <cellStyle name="40% - Accent1 11" xfId="81"/>
    <cellStyle name="40% - Accent1 12" xfId="82"/>
    <cellStyle name="40% - Accent1 13" xfId="83"/>
    <cellStyle name="40% - Accent1 2" xfId="84"/>
    <cellStyle name="40% - Accent1 2 2" xfId="85"/>
    <cellStyle name="40% - Accent1 3" xfId="86"/>
    <cellStyle name="40% - Accent1 4" xfId="87"/>
    <cellStyle name="40% - Accent1 5" xfId="88"/>
    <cellStyle name="40% - Accent1 6" xfId="89"/>
    <cellStyle name="40% - Accent1 7" xfId="90"/>
    <cellStyle name="40% - Accent1 8" xfId="91"/>
    <cellStyle name="40% - Accent1 9" xfId="92"/>
    <cellStyle name="40% - Accent2 10" xfId="93"/>
    <cellStyle name="40% - Accent2 11" xfId="94"/>
    <cellStyle name="40% - Accent2 12" xfId="95"/>
    <cellStyle name="40% - Accent2 13" xfId="96"/>
    <cellStyle name="40% - Accent2 2" xfId="97"/>
    <cellStyle name="40% - Accent2 2 2" xfId="98"/>
    <cellStyle name="40% - Accent2 3" xfId="99"/>
    <cellStyle name="40% - Accent2 4" xfId="100"/>
    <cellStyle name="40% - Accent2 5" xfId="101"/>
    <cellStyle name="40% - Accent2 6" xfId="102"/>
    <cellStyle name="40% - Accent2 7" xfId="103"/>
    <cellStyle name="40% - Accent2 8" xfId="104"/>
    <cellStyle name="40% - Accent2 9" xfId="105"/>
    <cellStyle name="40% - Accent3 10" xfId="106"/>
    <cellStyle name="40% - Accent3 11" xfId="107"/>
    <cellStyle name="40% - Accent3 12" xfId="108"/>
    <cellStyle name="40% - Accent3 13" xfId="109"/>
    <cellStyle name="40% - Accent3 2" xfId="110"/>
    <cellStyle name="40% - Accent3 2 2" xfId="111"/>
    <cellStyle name="40% - Accent3 3" xfId="112"/>
    <cellStyle name="40% - Accent3 4" xfId="113"/>
    <cellStyle name="40% - Accent3 5" xfId="114"/>
    <cellStyle name="40% - Accent3 6" xfId="115"/>
    <cellStyle name="40% - Accent3 7" xfId="116"/>
    <cellStyle name="40% - Accent3 8" xfId="117"/>
    <cellStyle name="40% - Accent3 9" xfId="118"/>
    <cellStyle name="40% - Accent4 10" xfId="119"/>
    <cellStyle name="40% - Accent4 11" xfId="120"/>
    <cellStyle name="40% - Accent4 12" xfId="121"/>
    <cellStyle name="40% - Accent4 13" xfId="122"/>
    <cellStyle name="40% - Accent4 2" xfId="123"/>
    <cellStyle name="40% - Accent4 2 2" xfId="124"/>
    <cellStyle name="40% - Accent4 3" xfId="125"/>
    <cellStyle name="40% - Accent4 4" xfId="126"/>
    <cellStyle name="40% - Accent4 5" xfId="127"/>
    <cellStyle name="40% - Accent4 6" xfId="128"/>
    <cellStyle name="40% - Accent4 7" xfId="129"/>
    <cellStyle name="40% - Accent4 8" xfId="130"/>
    <cellStyle name="40% - Accent4 9" xfId="131"/>
    <cellStyle name="40% - Accent5 10" xfId="132"/>
    <cellStyle name="40% - Accent5 11" xfId="133"/>
    <cellStyle name="40% - Accent5 12" xfId="134"/>
    <cellStyle name="40% - Accent5 13" xfId="135"/>
    <cellStyle name="40% - Accent5 2" xfId="136"/>
    <cellStyle name="40% - Accent5 2 2" xfId="137"/>
    <cellStyle name="40% - Accent5 3" xfId="138"/>
    <cellStyle name="40% - Accent5 4" xfId="139"/>
    <cellStyle name="40% - Accent5 5" xfId="140"/>
    <cellStyle name="40% - Accent5 6" xfId="141"/>
    <cellStyle name="40% - Accent5 7" xfId="142"/>
    <cellStyle name="40% - Accent5 8" xfId="143"/>
    <cellStyle name="40% - Accent5 9" xfId="144"/>
    <cellStyle name="40% - Accent6 10" xfId="145"/>
    <cellStyle name="40% - Accent6 11" xfId="146"/>
    <cellStyle name="40% - Accent6 12" xfId="147"/>
    <cellStyle name="40% - Accent6 13" xfId="148"/>
    <cellStyle name="40% - Accent6 2" xfId="149"/>
    <cellStyle name="40% - Accent6 2 2" xfId="150"/>
    <cellStyle name="40% - Accent6 3" xfId="151"/>
    <cellStyle name="40% - Accent6 4" xfId="152"/>
    <cellStyle name="40% - Accent6 5" xfId="153"/>
    <cellStyle name="40% - Accent6 6" xfId="154"/>
    <cellStyle name="40% - Accent6 7" xfId="155"/>
    <cellStyle name="40% - Accent6 8" xfId="156"/>
    <cellStyle name="40% - Accent6 9" xfId="157"/>
    <cellStyle name="60% - Accent1 10" xfId="158"/>
    <cellStyle name="60% - Accent1 11" xfId="159"/>
    <cellStyle name="60% - Accent1 12" xfId="160"/>
    <cellStyle name="60% - Accent1 13" xfId="161"/>
    <cellStyle name="60% - Accent1 2" xfId="162"/>
    <cellStyle name="60% - Accent1 2 2" xfId="163"/>
    <cellStyle name="60% - Accent1 3" xfId="164"/>
    <cellStyle name="60% - Accent1 4" xfId="165"/>
    <cellStyle name="60% - Accent1 5" xfId="166"/>
    <cellStyle name="60% - Accent1 6" xfId="167"/>
    <cellStyle name="60% - Accent1 7" xfId="168"/>
    <cellStyle name="60% - Accent1 8" xfId="169"/>
    <cellStyle name="60% - Accent1 9" xfId="170"/>
    <cellStyle name="60% - Accent2 10" xfId="171"/>
    <cellStyle name="60% - Accent2 11" xfId="172"/>
    <cellStyle name="60% - Accent2 12" xfId="173"/>
    <cellStyle name="60% - Accent2 13" xfId="174"/>
    <cellStyle name="60% - Accent2 2" xfId="175"/>
    <cellStyle name="60% - Accent2 2 2" xfId="176"/>
    <cellStyle name="60% - Accent2 3" xfId="177"/>
    <cellStyle name="60% - Accent2 4" xfId="178"/>
    <cellStyle name="60% - Accent2 5" xfId="179"/>
    <cellStyle name="60% - Accent2 6" xfId="180"/>
    <cellStyle name="60% - Accent2 7" xfId="181"/>
    <cellStyle name="60% - Accent2 8" xfId="182"/>
    <cellStyle name="60% - Accent2 9" xfId="183"/>
    <cellStyle name="60% - Accent3 10" xfId="184"/>
    <cellStyle name="60% - Accent3 11" xfId="185"/>
    <cellStyle name="60% - Accent3 12" xfId="186"/>
    <cellStyle name="60% - Accent3 13" xfId="187"/>
    <cellStyle name="60% - Accent3 2" xfId="188"/>
    <cellStyle name="60% - Accent3 2 2" xfId="189"/>
    <cellStyle name="60% - Accent3 3" xfId="190"/>
    <cellStyle name="60% - Accent3 4" xfId="191"/>
    <cellStyle name="60% - Accent3 5" xfId="192"/>
    <cellStyle name="60% - Accent3 6" xfId="193"/>
    <cellStyle name="60% - Accent3 7" xfId="194"/>
    <cellStyle name="60% - Accent3 8" xfId="195"/>
    <cellStyle name="60% - Accent3 9" xfId="196"/>
    <cellStyle name="60% - Accent4 10" xfId="197"/>
    <cellStyle name="60% - Accent4 11" xfId="198"/>
    <cellStyle name="60% - Accent4 12" xfId="199"/>
    <cellStyle name="60% - Accent4 13" xfId="200"/>
    <cellStyle name="60% - Accent4 2" xfId="201"/>
    <cellStyle name="60% - Accent4 2 2" xfId="202"/>
    <cellStyle name="60% - Accent4 3" xfId="203"/>
    <cellStyle name="60% - Accent4 4" xfId="204"/>
    <cellStyle name="60% - Accent4 5" xfId="205"/>
    <cellStyle name="60% - Accent4 6" xfId="206"/>
    <cellStyle name="60% - Accent4 7" xfId="207"/>
    <cellStyle name="60% - Accent4 8" xfId="208"/>
    <cellStyle name="60% - Accent4 9" xfId="209"/>
    <cellStyle name="60% - Accent5 10" xfId="210"/>
    <cellStyle name="60% - Accent5 11" xfId="211"/>
    <cellStyle name="60% - Accent5 12" xfId="212"/>
    <cellStyle name="60% - Accent5 13" xfId="213"/>
    <cellStyle name="60% - Accent5 2" xfId="214"/>
    <cellStyle name="60% - Accent5 2 2" xfId="215"/>
    <cellStyle name="60% - Accent5 3" xfId="216"/>
    <cellStyle name="60% - Accent5 4" xfId="217"/>
    <cellStyle name="60% - Accent5 5" xfId="218"/>
    <cellStyle name="60% - Accent5 6" xfId="219"/>
    <cellStyle name="60% - Accent5 7" xfId="220"/>
    <cellStyle name="60% - Accent5 8" xfId="221"/>
    <cellStyle name="60% - Accent5 9" xfId="222"/>
    <cellStyle name="60% - Accent6 10" xfId="223"/>
    <cellStyle name="60% - Accent6 11" xfId="224"/>
    <cellStyle name="60% - Accent6 12" xfId="225"/>
    <cellStyle name="60% - Accent6 13" xfId="226"/>
    <cellStyle name="60% - Accent6 2" xfId="227"/>
    <cellStyle name="60% - Accent6 2 2" xfId="228"/>
    <cellStyle name="60% - Accent6 3" xfId="229"/>
    <cellStyle name="60% - Accent6 4" xfId="230"/>
    <cellStyle name="60% - Accent6 5" xfId="231"/>
    <cellStyle name="60% - Accent6 6" xfId="232"/>
    <cellStyle name="60% - Accent6 7" xfId="233"/>
    <cellStyle name="60% - Accent6 8" xfId="234"/>
    <cellStyle name="60% - Accent6 9" xfId="235"/>
    <cellStyle name="Accent1 10" xfId="236"/>
    <cellStyle name="Accent1 11" xfId="237"/>
    <cellStyle name="Accent1 12" xfId="238"/>
    <cellStyle name="Accent1 13" xfId="239"/>
    <cellStyle name="Accent1 2" xfId="240"/>
    <cellStyle name="Accent1 2 2" xfId="241"/>
    <cellStyle name="Accent1 3" xfId="242"/>
    <cellStyle name="Accent1 4" xfId="243"/>
    <cellStyle name="Accent1 5" xfId="244"/>
    <cellStyle name="Accent1 6" xfId="245"/>
    <cellStyle name="Accent1 7" xfId="246"/>
    <cellStyle name="Accent1 8" xfId="247"/>
    <cellStyle name="Accent1 9" xfId="248"/>
    <cellStyle name="Accent2 10" xfId="249"/>
    <cellStyle name="Accent2 11" xfId="250"/>
    <cellStyle name="Accent2 12" xfId="251"/>
    <cellStyle name="Accent2 13" xfId="252"/>
    <cellStyle name="Accent2 2" xfId="253"/>
    <cellStyle name="Accent2 2 2" xfId="254"/>
    <cellStyle name="Accent2 3" xfId="255"/>
    <cellStyle name="Accent2 4" xfId="256"/>
    <cellStyle name="Accent2 5" xfId="257"/>
    <cellStyle name="Accent2 6" xfId="258"/>
    <cellStyle name="Accent2 7" xfId="259"/>
    <cellStyle name="Accent2 8" xfId="260"/>
    <cellStyle name="Accent2 9" xfId="261"/>
    <cellStyle name="Accent3 10" xfId="262"/>
    <cellStyle name="Accent3 11" xfId="263"/>
    <cellStyle name="Accent3 12" xfId="264"/>
    <cellStyle name="Accent3 13" xfId="265"/>
    <cellStyle name="Accent3 2" xfId="266"/>
    <cellStyle name="Accent3 2 2" xfId="267"/>
    <cellStyle name="Accent3 3" xfId="268"/>
    <cellStyle name="Accent3 4" xfId="269"/>
    <cellStyle name="Accent3 5" xfId="270"/>
    <cellStyle name="Accent3 6" xfId="271"/>
    <cellStyle name="Accent3 7" xfId="272"/>
    <cellStyle name="Accent3 8" xfId="273"/>
    <cellStyle name="Accent3 9" xfId="274"/>
    <cellStyle name="Accent4 10" xfId="275"/>
    <cellStyle name="Accent4 11" xfId="276"/>
    <cellStyle name="Accent4 12" xfId="277"/>
    <cellStyle name="Accent4 13" xfId="278"/>
    <cellStyle name="Accent4 2" xfId="279"/>
    <cellStyle name="Accent4 2 2" xfId="280"/>
    <cellStyle name="Accent4 3" xfId="281"/>
    <cellStyle name="Accent4 4" xfId="282"/>
    <cellStyle name="Accent4 5" xfId="283"/>
    <cellStyle name="Accent4 6" xfId="284"/>
    <cellStyle name="Accent4 7" xfId="285"/>
    <cellStyle name="Accent4 8" xfId="286"/>
    <cellStyle name="Accent4 9" xfId="287"/>
    <cellStyle name="Accent5 10" xfId="288"/>
    <cellStyle name="Accent5 11" xfId="289"/>
    <cellStyle name="Accent5 12" xfId="290"/>
    <cellStyle name="Accent5 13" xfId="291"/>
    <cellStyle name="Accent5 2" xfId="292"/>
    <cellStyle name="Accent5 2 2" xfId="293"/>
    <cellStyle name="Accent5 3" xfId="294"/>
    <cellStyle name="Accent5 4" xfId="295"/>
    <cellStyle name="Accent5 5" xfId="296"/>
    <cellStyle name="Accent5 6" xfId="297"/>
    <cellStyle name="Accent5 7" xfId="298"/>
    <cellStyle name="Accent5 8" xfId="299"/>
    <cellStyle name="Accent5 9" xfId="300"/>
    <cellStyle name="Accent6 10" xfId="301"/>
    <cellStyle name="Accent6 11" xfId="302"/>
    <cellStyle name="Accent6 12" xfId="303"/>
    <cellStyle name="Accent6 13" xfId="304"/>
    <cellStyle name="Accent6 2" xfId="305"/>
    <cellStyle name="Accent6 2 2" xfId="306"/>
    <cellStyle name="Accent6 3" xfId="307"/>
    <cellStyle name="Accent6 4" xfId="308"/>
    <cellStyle name="Accent6 5" xfId="309"/>
    <cellStyle name="Accent6 6" xfId="310"/>
    <cellStyle name="Accent6 7" xfId="311"/>
    <cellStyle name="Accent6 8" xfId="312"/>
    <cellStyle name="Accent6 9" xfId="313"/>
    <cellStyle name="Bad 10" xfId="314"/>
    <cellStyle name="Bad 11" xfId="315"/>
    <cellStyle name="Bad 12" xfId="316"/>
    <cellStyle name="Bad 13" xfId="317"/>
    <cellStyle name="Bad 2" xfId="318"/>
    <cellStyle name="Bad 2 2" xfId="319"/>
    <cellStyle name="Bad 3" xfId="320"/>
    <cellStyle name="Bad 4" xfId="321"/>
    <cellStyle name="Bad 5" xfId="322"/>
    <cellStyle name="Bad 6" xfId="323"/>
    <cellStyle name="Bad 7" xfId="324"/>
    <cellStyle name="Bad 8" xfId="325"/>
    <cellStyle name="Bad 9" xfId="326"/>
    <cellStyle name="Calculation 10" xfId="327"/>
    <cellStyle name="Calculation 11" xfId="328"/>
    <cellStyle name="Calculation 12" xfId="329"/>
    <cellStyle name="Calculation 13" xfId="330"/>
    <cellStyle name="Calculation 2" xfId="331"/>
    <cellStyle name="Calculation 2 2" xfId="332"/>
    <cellStyle name="Calculation 3" xfId="333"/>
    <cellStyle name="Calculation 4" xfId="334"/>
    <cellStyle name="Calculation 5" xfId="335"/>
    <cellStyle name="Calculation 6" xfId="336"/>
    <cellStyle name="Calculation 7" xfId="337"/>
    <cellStyle name="Calculation 8" xfId="338"/>
    <cellStyle name="Calculation 9" xfId="339"/>
    <cellStyle name="Check Cell 10" xfId="340"/>
    <cellStyle name="Check Cell 11" xfId="341"/>
    <cellStyle name="Check Cell 12" xfId="342"/>
    <cellStyle name="Check Cell 13" xfId="343"/>
    <cellStyle name="Check Cell 2" xfId="344"/>
    <cellStyle name="Check Cell 2 2" xfId="345"/>
    <cellStyle name="Check Cell 3" xfId="346"/>
    <cellStyle name="Check Cell 4" xfId="347"/>
    <cellStyle name="Check Cell 5" xfId="348"/>
    <cellStyle name="Check Cell 6" xfId="349"/>
    <cellStyle name="Check Cell 7" xfId="350"/>
    <cellStyle name="Check Cell 8" xfId="351"/>
    <cellStyle name="Check Cell 9" xfId="352"/>
    <cellStyle name="Comma" xfId="1" builtinId="3"/>
    <cellStyle name="Comma 10" xfId="353"/>
    <cellStyle name="Comma 10 2" xfId="354"/>
    <cellStyle name="Comma 11" xfId="355"/>
    <cellStyle name="Comma 12" xfId="356"/>
    <cellStyle name="Comma 13" xfId="357"/>
    <cellStyle name="Comma 2" xfId="358"/>
    <cellStyle name="Comma 2 2" xfId="359"/>
    <cellStyle name="Comma 2 2 2" xfId="556"/>
    <cellStyle name="Comma 2 2 2 2" xfId="557"/>
    <cellStyle name="Comma 2 2 2 3" xfId="558"/>
    <cellStyle name="Comma 2 2 2 4" xfId="559"/>
    <cellStyle name="Comma 2 2 3" xfId="560"/>
    <cellStyle name="Comma 2 2 4" xfId="561"/>
    <cellStyle name="Comma 2 3" xfId="562"/>
    <cellStyle name="Comma 2 4" xfId="563"/>
    <cellStyle name="Comma 2 5" xfId="564"/>
    <cellStyle name="Comma 3" xfId="360"/>
    <cellStyle name="Comma 4" xfId="361"/>
    <cellStyle name="Comma 5" xfId="362"/>
    <cellStyle name="Comma 6" xfId="363"/>
    <cellStyle name="Comma 7" xfId="364"/>
    <cellStyle name="Comma 7 2" xfId="365"/>
    <cellStyle name="Comma 8" xfId="366"/>
    <cellStyle name="Comma 9" xfId="367"/>
    <cellStyle name="Explanatory Text 10" xfId="368"/>
    <cellStyle name="Explanatory Text 11" xfId="369"/>
    <cellStyle name="Explanatory Text 12" xfId="370"/>
    <cellStyle name="Explanatory Text 13" xfId="371"/>
    <cellStyle name="Explanatory Text 2" xfId="372"/>
    <cellStyle name="Explanatory Text 2 2" xfId="373"/>
    <cellStyle name="Explanatory Text 3" xfId="374"/>
    <cellStyle name="Explanatory Text 4" xfId="375"/>
    <cellStyle name="Explanatory Text 5" xfId="376"/>
    <cellStyle name="Explanatory Text 6" xfId="377"/>
    <cellStyle name="Explanatory Text 7" xfId="378"/>
    <cellStyle name="Explanatory Text 8" xfId="379"/>
    <cellStyle name="Explanatory Text 9" xfId="380"/>
    <cellStyle name="Good 10" xfId="381"/>
    <cellStyle name="Good 11" xfId="382"/>
    <cellStyle name="Good 12" xfId="383"/>
    <cellStyle name="Good 13" xfId="384"/>
    <cellStyle name="Good 2" xfId="385"/>
    <cellStyle name="Good 2 2" xfId="386"/>
    <cellStyle name="Good 3" xfId="387"/>
    <cellStyle name="Good 4" xfId="388"/>
    <cellStyle name="Good 5" xfId="389"/>
    <cellStyle name="Good 6" xfId="390"/>
    <cellStyle name="Good 7" xfId="391"/>
    <cellStyle name="Good 8" xfId="392"/>
    <cellStyle name="Good 9" xfId="393"/>
    <cellStyle name="Heading 1 10" xfId="394"/>
    <cellStyle name="Heading 1 11" xfId="395"/>
    <cellStyle name="Heading 1 12" xfId="396"/>
    <cellStyle name="Heading 1 13" xfId="397"/>
    <cellStyle name="Heading 1 2" xfId="398"/>
    <cellStyle name="Heading 1 2 2" xfId="399"/>
    <cellStyle name="Heading 1 3" xfId="400"/>
    <cellStyle name="Heading 1 4" xfId="401"/>
    <cellStyle name="Heading 1 5" xfId="402"/>
    <cellStyle name="Heading 1 6" xfId="403"/>
    <cellStyle name="Heading 1 7" xfId="404"/>
    <cellStyle name="Heading 1 8" xfId="405"/>
    <cellStyle name="Heading 1 9" xfId="406"/>
    <cellStyle name="Heading 2 10" xfId="407"/>
    <cellStyle name="Heading 2 11" xfId="408"/>
    <cellStyle name="Heading 2 12" xfId="409"/>
    <cellStyle name="Heading 2 13" xfId="410"/>
    <cellStyle name="Heading 2 2" xfId="411"/>
    <cellStyle name="Heading 2 2 2" xfId="412"/>
    <cellStyle name="Heading 2 3" xfId="413"/>
    <cellStyle name="Heading 2 4" xfId="414"/>
    <cellStyle name="Heading 2 5" xfId="415"/>
    <cellStyle name="Heading 2 6" xfId="416"/>
    <cellStyle name="Heading 2 7" xfId="417"/>
    <cellStyle name="Heading 2 8" xfId="418"/>
    <cellStyle name="Heading 2 9" xfId="419"/>
    <cellStyle name="Heading 3 10" xfId="420"/>
    <cellStyle name="Heading 3 11" xfId="421"/>
    <cellStyle name="Heading 3 12" xfId="422"/>
    <cellStyle name="Heading 3 13" xfId="423"/>
    <cellStyle name="Heading 3 2" xfId="424"/>
    <cellStyle name="Heading 3 2 2" xfId="425"/>
    <cellStyle name="Heading 3 3" xfId="426"/>
    <cellStyle name="Heading 3 4" xfId="427"/>
    <cellStyle name="Heading 3 5" xfId="428"/>
    <cellStyle name="Heading 3 6" xfId="429"/>
    <cellStyle name="Heading 3 7" xfId="430"/>
    <cellStyle name="Heading 3 8" xfId="431"/>
    <cellStyle name="Heading 3 9" xfId="432"/>
    <cellStyle name="Heading 4 10" xfId="433"/>
    <cellStyle name="Heading 4 11" xfId="434"/>
    <cellStyle name="Heading 4 12" xfId="435"/>
    <cellStyle name="Heading 4 13" xfId="436"/>
    <cellStyle name="Heading 4 2" xfId="437"/>
    <cellStyle name="Heading 4 2 2" xfId="438"/>
    <cellStyle name="Heading 4 3" xfId="439"/>
    <cellStyle name="Heading 4 4" xfId="440"/>
    <cellStyle name="Heading 4 5" xfId="441"/>
    <cellStyle name="Heading 4 6" xfId="442"/>
    <cellStyle name="Heading 4 7" xfId="443"/>
    <cellStyle name="Heading 4 8" xfId="444"/>
    <cellStyle name="Heading 4 9" xfId="445"/>
    <cellStyle name="Input 10" xfId="446"/>
    <cellStyle name="Input 11" xfId="447"/>
    <cellStyle name="Input 12" xfId="448"/>
    <cellStyle name="Input 13" xfId="449"/>
    <cellStyle name="Input 2" xfId="450"/>
    <cellStyle name="Input 2 2" xfId="451"/>
    <cellStyle name="Input 3" xfId="452"/>
    <cellStyle name="Input 4" xfId="453"/>
    <cellStyle name="Input 5" xfId="454"/>
    <cellStyle name="Input 6" xfId="455"/>
    <cellStyle name="Input 7" xfId="456"/>
    <cellStyle name="Input 8" xfId="457"/>
    <cellStyle name="Input 9" xfId="458"/>
    <cellStyle name="Linked Cell 10" xfId="459"/>
    <cellStyle name="Linked Cell 11" xfId="460"/>
    <cellStyle name="Linked Cell 12" xfId="461"/>
    <cellStyle name="Linked Cell 13" xfId="462"/>
    <cellStyle name="Linked Cell 2" xfId="463"/>
    <cellStyle name="Linked Cell 2 2" xfId="464"/>
    <cellStyle name="Linked Cell 3" xfId="465"/>
    <cellStyle name="Linked Cell 4" xfId="466"/>
    <cellStyle name="Linked Cell 5" xfId="467"/>
    <cellStyle name="Linked Cell 6" xfId="468"/>
    <cellStyle name="Linked Cell 7" xfId="469"/>
    <cellStyle name="Linked Cell 8" xfId="470"/>
    <cellStyle name="Linked Cell 9" xfId="471"/>
    <cellStyle name="Neutral 10" xfId="472"/>
    <cellStyle name="Neutral 11" xfId="473"/>
    <cellStyle name="Neutral 12" xfId="474"/>
    <cellStyle name="Neutral 13" xfId="475"/>
    <cellStyle name="Neutral 2" xfId="476"/>
    <cellStyle name="Neutral 2 2" xfId="477"/>
    <cellStyle name="Neutral 3" xfId="478"/>
    <cellStyle name="Neutral 4" xfId="479"/>
    <cellStyle name="Neutral 5" xfId="480"/>
    <cellStyle name="Neutral 6" xfId="481"/>
    <cellStyle name="Neutral 7" xfId="482"/>
    <cellStyle name="Neutral 8" xfId="483"/>
    <cellStyle name="Neutral 9" xfId="484"/>
    <cellStyle name="Normal" xfId="0" builtinId="0"/>
    <cellStyle name="Normal 2" xfId="485"/>
    <cellStyle name="Normal 2 2" xfId="486"/>
    <cellStyle name="Normal 2 2 2" xfId="565"/>
    <cellStyle name="Normal 2 2 2 2" xfId="566"/>
    <cellStyle name="Normal 2 2 2 3" xfId="567"/>
    <cellStyle name="Normal 2 2 2 4" xfId="568"/>
    <cellStyle name="Normal 2 2 3" xfId="569"/>
    <cellStyle name="Normal 2 2 4" xfId="570"/>
    <cellStyle name="Normal 3" xfId="487"/>
    <cellStyle name="Normal 3 2" xfId="571"/>
    <cellStyle name="Normal 3 3" xfId="572"/>
    <cellStyle name="Normal 3 4" xfId="573"/>
    <cellStyle name="Normal 4" xfId="488"/>
    <cellStyle name="Normal 4 2" xfId="489"/>
    <cellStyle name="Normal 8" xfId="490"/>
    <cellStyle name="Note 10" xfId="491"/>
    <cellStyle name="Note 11" xfId="492"/>
    <cellStyle name="Note 12" xfId="493"/>
    <cellStyle name="Note 13" xfId="494"/>
    <cellStyle name="Note 2" xfId="495"/>
    <cellStyle name="Note 2 2" xfId="496"/>
    <cellStyle name="Note 3" xfId="497"/>
    <cellStyle name="Note 4" xfId="498"/>
    <cellStyle name="Note 5" xfId="499"/>
    <cellStyle name="Note 6" xfId="500"/>
    <cellStyle name="Note 7" xfId="501"/>
    <cellStyle name="Note 8" xfId="502"/>
    <cellStyle name="Note 9" xfId="503"/>
    <cellStyle name="Output 10" xfId="504"/>
    <cellStyle name="Output 11" xfId="505"/>
    <cellStyle name="Output 12" xfId="506"/>
    <cellStyle name="Output 13" xfId="507"/>
    <cellStyle name="Output 2" xfId="508"/>
    <cellStyle name="Output 2 2" xfId="509"/>
    <cellStyle name="Output 3" xfId="510"/>
    <cellStyle name="Output 4" xfId="511"/>
    <cellStyle name="Output 5" xfId="512"/>
    <cellStyle name="Output 6" xfId="513"/>
    <cellStyle name="Output 7" xfId="514"/>
    <cellStyle name="Output 8" xfId="515"/>
    <cellStyle name="Output 9" xfId="516"/>
    <cellStyle name="Title 10" xfId="517"/>
    <cellStyle name="Title 11" xfId="518"/>
    <cellStyle name="Title 12" xfId="519"/>
    <cellStyle name="Title 13" xfId="520"/>
    <cellStyle name="Title 2" xfId="521"/>
    <cellStyle name="Title 2 2" xfId="522"/>
    <cellStyle name="Title 3" xfId="523"/>
    <cellStyle name="Title 4" xfId="524"/>
    <cellStyle name="Title 5" xfId="525"/>
    <cellStyle name="Title 6" xfId="526"/>
    <cellStyle name="Title 7" xfId="527"/>
    <cellStyle name="Title 8" xfId="528"/>
    <cellStyle name="Title 9" xfId="529"/>
    <cellStyle name="Total 10" xfId="530"/>
    <cellStyle name="Total 11" xfId="531"/>
    <cellStyle name="Total 12" xfId="532"/>
    <cellStyle name="Total 13" xfId="533"/>
    <cellStyle name="Total 2" xfId="534"/>
    <cellStyle name="Total 2 2" xfId="535"/>
    <cellStyle name="Total 3" xfId="536"/>
    <cellStyle name="Total 4" xfId="537"/>
    <cellStyle name="Total 5" xfId="538"/>
    <cellStyle name="Total 6" xfId="539"/>
    <cellStyle name="Total 7" xfId="540"/>
    <cellStyle name="Total 8" xfId="541"/>
    <cellStyle name="Total 9" xfId="542"/>
    <cellStyle name="Warning Text 10" xfId="543"/>
    <cellStyle name="Warning Text 11" xfId="544"/>
    <cellStyle name="Warning Text 12" xfId="545"/>
    <cellStyle name="Warning Text 13" xfId="546"/>
    <cellStyle name="Warning Text 2" xfId="547"/>
    <cellStyle name="Warning Text 2 2" xfId="548"/>
    <cellStyle name="Warning Text 3" xfId="549"/>
    <cellStyle name="Warning Text 4" xfId="550"/>
    <cellStyle name="Warning Text 5" xfId="551"/>
    <cellStyle name="Warning Text 6" xfId="552"/>
    <cellStyle name="Warning Text 7" xfId="553"/>
    <cellStyle name="Warning Text 8" xfId="554"/>
    <cellStyle name="Warning Text 9" xfId="55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externalLink" Target="externalLinks/externalLink6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5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9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8.xml"/><Relationship Id="rId10" Type="http://schemas.openxmlformats.org/officeDocument/2006/relationships/externalLink" Target="externalLinks/externalLink3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externalLink" Target="externalLinks/externalLink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2"/>
    </mc:Choice>
    <mc:Fallback>
      <c:style val="22"/>
    </mc:Fallback>
  </mc:AlternateContent>
  <c:chart>
    <c:title>
      <c:tx>
        <c:rich>
          <a:bodyPr/>
          <a:lstStyle/>
          <a:p>
            <a:pPr>
              <a:defRPr sz="1400">
                <a:latin typeface="Times New Roman" pitchFamily="18" charset="0"/>
                <a:cs typeface="Times New Roman" pitchFamily="18" charset="0"/>
              </a:defRPr>
            </a:pPr>
            <a:r>
              <a:rPr lang="en-US" sz="1400">
                <a:latin typeface="Times New Roman" pitchFamily="18" charset="0"/>
                <a:cs typeface="Times New Roman" pitchFamily="18" charset="0"/>
              </a:rPr>
              <a:t>Province/Area</a:t>
            </a:r>
            <a:r>
              <a:rPr lang="en-US" sz="1400" baseline="0">
                <a:latin typeface="Times New Roman" pitchFamily="18" charset="0"/>
                <a:cs typeface="Times New Roman" pitchFamily="18" charset="0"/>
              </a:rPr>
              <a:t> wise number of districts/areas with RSP presence (As of Dec 2011)</a:t>
            </a:r>
            <a:endParaRPr lang="en-US" sz="1400">
              <a:latin typeface="Times New Roman" pitchFamily="18" charset="0"/>
              <a:cs typeface="Times New Roman" pitchFamily="18" charset="0"/>
            </a:endParaRP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'Graphs for presentation'!$B$3</c:f>
              <c:strCache>
                <c:ptCount val="1"/>
                <c:pt idx="0">
                  <c:v>Number of total districts/areas in the province/area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>
                    <a:latin typeface="Times New Roman" pitchFamily="18" charset="0"/>
                    <a:cs typeface="Times New Roman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'Graphs for presentation'!$A$4:$A$10</c:f>
              <c:strCache>
                <c:ptCount val="7"/>
                <c:pt idx="0">
                  <c:v>Balochistan </c:v>
                </c:pt>
                <c:pt idx="1">
                  <c:v>Khyber Pakhtunkhwa (KPK)</c:v>
                </c:pt>
                <c:pt idx="2">
                  <c:v>Sindh </c:v>
                </c:pt>
                <c:pt idx="3">
                  <c:v>Punjab (Inc ICT)</c:v>
                </c:pt>
                <c:pt idx="4">
                  <c:v>Azad Jamu and Kashmir (AJK)</c:v>
                </c:pt>
                <c:pt idx="5">
                  <c:v>Gilgit-Baltistan (GB)</c:v>
                </c:pt>
                <c:pt idx="6">
                  <c:v>Federal Adminstrated Tribal Areas (FATA)/Frontier Regions (FRs)</c:v>
                </c:pt>
              </c:strCache>
            </c:strRef>
          </c:cat>
          <c:val>
            <c:numRef>
              <c:f>'Graphs for presentation'!$B$4:$B$10</c:f>
              <c:numCache>
                <c:formatCode>General</c:formatCode>
                <c:ptCount val="7"/>
                <c:pt idx="0">
                  <c:v>30</c:v>
                </c:pt>
                <c:pt idx="1">
                  <c:v>24</c:v>
                </c:pt>
                <c:pt idx="2">
                  <c:v>23</c:v>
                </c:pt>
                <c:pt idx="3">
                  <c:v>37</c:v>
                </c:pt>
                <c:pt idx="4">
                  <c:v>10</c:v>
                </c:pt>
                <c:pt idx="5">
                  <c:v>7</c:v>
                </c:pt>
                <c:pt idx="6">
                  <c:v>13</c:v>
                </c:pt>
              </c:numCache>
            </c:numRef>
          </c:val>
        </c:ser>
        <c:ser>
          <c:idx val="1"/>
          <c:order val="1"/>
          <c:tx>
            <c:strRef>
              <c:f>'Graphs for presentation'!$C$3</c:f>
              <c:strCache>
                <c:ptCount val="1"/>
                <c:pt idx="0">
                  <c:v>Number of districts/areas having RSPs presence  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</c:spPr>
          <c:invertIfNegative val="0"/>
          <c:dLbls>
            <c:txPr>
              <a:bodyPr/>
              <a:lstStyle/>
              <a:p>
                <a:pPr>
                  <a:defRPr>
                    <a:latin typeface="Times New Roman" pitchFamily="18" charset="0"/>
                    <a:cs typeface="Times New Roman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'Graphs for presentation'!$A$4:$A$10</c:f>
              <c:strCache>
                <c:ptCount val="7"/>
                <c:pt idx="0">
                  <c:v>Balochistan </c:v>
                </c:pt>
                <c:pt idx="1">
                  <c:v>Khyber Pakhtunkhwa (KPK)</c:v>
                </c:pt>
                <c:pt idx="2">
                  <c:v>Sindh </c:v>
                </c:pt>
                <c:pt idx="3">
                  <c:v>Punjab (Inc ICT)</c:v>
                </c:pt>
                <c:pt idx="4">
                  <c:v>Azad Jamu and Kashmir (AJK)</c:v>
                </c:pt>
                <c:pt idx="5">
                  <c:v>Gilgit-Baltistan (GB)</c:v>
                </c:pt>
                <c:pt idx="6">
                  <c:v>Federal Adminstrated Tribal Areas (FATA)/Frontier Regions (FRs)</c:v>
                </c:pt>
              </c:strCache>
            </c:strRef>
          </c:cat>
          <c:val>
            <c:numRef>
              <c:f>'Graphs for presentation'!$C$4:$C$10</c:f>
              <c:numCache>
                <c:formatCode>General</c:formatCode>
                <c:ptCount val="7"/>
                <c:pt idx="0">
                  <c:v>18</c:v>
                </c:pt>
                <c:pt idx="1">
                  <c:v>19</c:v>
                </c:pt>
                <c:pt idx="2">
                  <c:v>22</c:v>
                </c:pt>
                <c:pt idx="3">
                  <c:v>35</c:v>
                </c:pt>
                <c:pt idx="4">
                  <c:v>10</c:v>
                </c:pt>
                <c:pt idx="5">
                  <c:v>6</c:v>
                </c:pt>
                <c:pt idx="6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shape val="box"/>
        <c:axId val="108155648"/>
        <c:axId val="108157184"/>
        <c:axId val="0"/>
      </c:bar3DChart>
      <c:catAx>
        <c:axId val="108155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b="0"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108157184"/>
        <c:crosses val="autoZero"/>
        <c:auto val="1"/>
        <c:lblAlgn val="ctr"/>
        <c:lblOffset val="100"/>
        <c:noMultiLvlLbl val="0"/>
      </c:catAx>
      <c:valAx>
        <c:axId val="10815718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108155648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 b="1">
              <a:latin typeface="Times New Roman" pitchFamily="18" charset="0"/>
              <a:cs typeface="Times New Roman" pitchFamily="18" charset="0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Province</a:t>
            </a:r>
            <a:r>
              <a:rPr lang="en-US" baseline="0"/>
              <a:t>/Area wise number of union councils with RSP presence (As of Dec, 2011)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'Graphs for presentation'!$B$15</c:f>
              <c:strCache>
                <c:ptCount val="1"/>
                <c:pt idx="0">
                  <c:v>Total rural union councils 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'Graphs for presentation'!$A$16:$A$22</c:f>
              <c:strCache>
                <c:ptCount val="7"/>
                <c:pt idx="0">
                  <c:v>Balochistan </c:v>
                </c:pt>
                <c:pt idx="1">
                  <c:v>Khyber Pakhtunkhwa (KPK)</c:v>
                </c:pt>
                <c:pt idx="2">
                  <c:v>Sindh </c:v>
                </c:pt>
                <c:pt idx="3">
                  <c:v>Punjab (Inc ICT)</c:v>
                </c:pt>
                <c:pt idx="4">
                  <c:v>Azad Jamu and Kashmir (AJK)</c:v>
                </c:pt>
                <c:pt idx="5">
                  <c:v>Gilgit-Baltistan (GB)</c:v>
                </c:pt>
                <c:pt idx="6">
                  <c:v>Federal Adminstrated Tribal Areas (FATA)/Frontier Regions (FRs)</c:v>
                </c:pt>
              </c:strCache>
            </c:strRef>
          </c:cat>
          <c:val>
            <c:numRef>
              <c:f>'Graphs for presentation'!$B$16:$B$22</c:f>
              <c:numCache>
                <c:formatCode>General</c:formatCode>
                <c:ptCount val="7"/>
                <c:pt idx="0">
                  <c:v>547</c:v>
                </c:pt>
                <c:pt idx="1">
                  <c:v>961</c:v>
                </c:pt>
                <c:pt idx="2">
                  <c:v>921</c:v>
                </c:pt>
                <c:pt idx="3">
                  <c:v>2647</c:v>
                </c:pt>
                <c:pt idx="4">
                  <c:v>196</c:v>
                </c:pt>
                <c:pt idx="5">
                  <c:v>103</c:v>
                </c:pt>
                <c:pt idx="6">
                  <c:v>190</c:v>
                </c:pt>
              </c:numCache>
            </c:numRef>
          </c:val>
        </c:ser>
        <c:ser>
          <c:idx val="1"/>
          <c:order val="1"/>
          <c:tx>
            <c:strRef>
              <c:f>'Graphs for presentation'!$C$15</c:f>
              <c:strCache>
                <c:ptCount val="1"/>
                <c:pt idx="0">
                  <c:v>Number of union councils having RSP presence 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'Graphs for presentation'!$A$16:$A$22</c:f>
              <c:strCache>
                <c:ptCount val="7"/>
                <c:pt idx="0">
                  <c:v>Balochistan </c:v>
                </c:pt>
                <c:pt idx="1">
                  <c:v>Khyber Pakhtunkhwa (KPK)</c:v>
                </c:pt>
                <c:pt idx="2">
                  <c:v>Sindh </c:v>
                </c:pt>
                <c:pt idx="3">
                  <c:v>Punjab (Inc ICT)</c:v>
                </c:pt>
                <c:pt idx="4">
                  <c:v>Azad Jamu and Kashmir (AJK)</c:v>
                </c:pt>
                <c:pt idx="5">
                  <c:v>Gilgit-Baltistan (GB)</c:v>
                </c:pt>
                <c:pt idx="6">
                  <c:v>Federal Adminstrated Tribal Areas (FATA)/Frontier Regions (FRs)</c:v>
                </c:pt>
              </c:strCache>
            </c:strRef>
          </c:cat>
          <c:val>
            <c:numRef>
              <c:f>'Graphs for presentation'!$C$16:$C$22</c:f>
              <c:numCache>
                <c:formatCode>General</c:formatCode>
                <c:ptCount val="7"/>
                <c:pt idx="0">
                  <c:v>277</c:v>
                </c:pt>
                <c:pt idx="1">
                  <c:v>538</c:v>
                </c:pt>
                <c:pt idx="2">
                  <c:v>667</c:v>
                </c:pt>
                <c:pt idx="3">
                  <c:v>1773</c:v>
                </c:pt>
                <c:pt idx="4">
                  <c:v>179</c:v>
                </c:pt>
                <c:pt idx="5">
                  <c:v>94</c:v>
                </c:pt>
                <c:pt idx="6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08470272"/>
        <c:axId val="108471808"/>
      </c:barChart>
      <c:catAx>
        <c:axId val="108470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08471808"/>
        <c:crosses val="autoZero"/>
        <c:auto val="1"/>
        <c:lblAlgn val="ctr"/>
        <c:lblOffset val="100"/>
        <c:noMultiLvlLbl val="0"/>
      </c:catAx>
      <c:valAx>
        <c:axId val="10847180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10847027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0" i="0" baseline="0"/>
              <a:t>Province-wise organized households </a:t>
            </a:r>
            <a:endParaRPr lang="en-US"/>
          </a:p>
          <a:p>
            <a:pPr>
              <a:defRPr/>
            </a:pPr>
            <a:r>
              <a:rPr lang="en-US" sz="1800" b="0" i="0" baseline="0"/>
              <a:t>(% of total rural households based on 1998 census data ) </a:t>
            </a:r>
            <a:endParaRPr lang="en-US"/>
          </a:p>
          <a:p>
            <a:pPr>
              <a:defRPr/>
            </a:pPr>
            <a:r>
              <a:rPr lang="en-US" sz="1800" b="0" i="0" baseline="0"/>
              <a:t>(As of Dec 2011)  </a:t>
            </a:r>
          </a:p>
          <a:p>
            <a:pPr>
              <a:defRPr/>
            </a:pP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'Graphs for presentation'!$B$27</c:f>
              <c:strCache>
                <c:ptCount val="1"/>
                <c:pt idx="0">
                  <c:v>% of households organised as of Dec 2011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'Graphs for presentation'!$A$28:$A$35</c:f>
              <c:strCache>
                <c:ptCount val="8"/>
                <c:pt idx="0">
                  <c:v>Balochistan </c:v>
                </c:pt>
                <c:pt idx="1">
                  <c:v>Khyber Pakhtunkhwa (KPK)</c:v>
                </c:pt>
                <c:pt idx="2">
                  <c:v>Sindh </c:v>
                </c:pt>
                <c:pt idx="3">
                  <c:v>Punjab (Inc ICT)</c:v>
                </c:pt>
                <c:pt idx="4">
                  <c:v>Azad Jamu and Kashmir (AJK)</c:v>
                </c:pt>
                <c:pt idx="5">
                  <c:v>Gilgit-Baltistan (GB)</c:v>
                </c:pt>
                <c:pt idx="6">
                  <c:v>Federal Adminstrated Tribal Areas (FATA)/Frontier Regions (FRs)</c:v>
                </c:pt>
                <c:pt idx="7">
                  <c:v>Total </c:v>
                </c:pt>
              </c:strCache>
            </c:strRef>
          </c:cat>
          <c:val>
            <c:numRef>
              <c:f>'Graphs for presentation'!$B$28:$B$35</c:f>
              <c:numCache>
                <c:formatCode>_(* #,##0.0_);_(* \(#,##0.0\);_(* "-"??_);_(@_)</c:formatCode>
                <c:ptCount val="8"/>
                <c:pt idx="0">
                  <c:v>47.211666119941547</c:v>
                </c:pt>
                <c:pt idx="1">
                  <c:v>43.718734756859448</c:v>
                </c:pt>
                <c:pt idx="2">
                  <c:v>34.697678849436542</c:v>
                </c:pt>
                <c:pt idx="3">
                  <c:v>39.188448737264757</c:v>
                </c:pt>
                <c:pt idx="4">
                  <c:v>61.799938660865678</c:v>
                </c:pt>
                <c:pt idx="5">
                  <c:v>69.747920669136846</c:v>
                </c:pt>
                <c:pt idx="6">
                  <c:v>12.759496808576563</c:v>
                </c:pt>
                <c:pt idx="7">
                  <c:v>40.038318118156432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08488576"/>
        <c:axId val="108490112"/>
      </c:barChart>
      <c:catAx>
        <c:axId val="108488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08490112"/>
        <c:crosses val="autoZero"/>
        <c:auto val="1"/>
        <c:lblAlgn val="ctr"/>
        <c:lblOffset val="100"/>
        <c:noMultiLvlLbl val="0"/>
      </c:catAx>
      <c:valAx>
        <c:axId val="108490112"/>
        <c:scaling>
          <c:orientation val="minMax"/>
        </c:scaling>
        <c:delete val="0"/>
        <c:axPos val="l"/>
        <c:majorGridlines/>
        <c:numFmt formatCode="_(* #,##0.0_);_(* \(#,##0.0\);_(* &quot;-&quot;??_);_(@_)" sourceLinked="1"/>
        <c:majorTickMark val="none"/>
        <c:minorTickMark val="none"/>
        <c:tickLblPos val="nextTo"/>
        <c:spPr>
          <a:ln w="9525">
            <a:noFill/>
          </a:ln>
        </c:spPr>
        <c:crossAx val="1084885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Province wise</a:t>
            </a:r>
            <a:r>
              <a:rPr lang="en-US" baseline="0"/>
              <a:t> number of d</a:t>
            </a:r>
            <a:r>
              <a:rPr lang="en-US"/>
              <a:t>istricts</a:t>
            </a:r>
            <a:r>
              <a:rPr lang="en-US" baseline="0"/>
              <a:t> with RSP presence (As of March 2011)</a:t>
            </a:r>
            <a:endParaRPr lang="en-US"/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'Figs for ppt'!$B$2</c:f>
              <c:strCache>
                <c:ptCount val="1"/>
                <c:pt idx="0">
                  <c:v>Number of Total Districts 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dLbls>
            <c:txPr>
              <a:bodyPr/>
              <a:lstStyle/>
              <a:p>
                <a:pPr>
                  <a:defRPr sz="1200"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'Figs for ppt'!$A$3:$A$9</c:f>
              <c:strCache>
                <c:ptCount val="7"/>
                <c:pt idx="0">
                  <c:v>Balochistan </c:v>
                </c:pt>
                <c:pt idx="1">
                  <c:v>Khyber Pakhtunkhwa (KPK)</c:v>
                </c:pt>
                <c:pt idx="2">
                  <c:v>Sindh </c:v>
                </c:pt>
                <c:pt idx="3">
                  <c:v>Punjab </c:v>
                </c:pt>
                <c:pt idx="4">
                  <c:v>Azad Jamu and Kashmir (AJK)</c:v>
                </c:pt>
                <c:pt idx="5">
                  <c:v>Gilgit-Baltistan (GB)</c:v>
                </c:pt>
                <c:pt idx="6">
                  <c:v>Federal Adminstrated Tribal Areas (FATA)/Frontier Regions (FRs)</c:v>
                </c:pt>
              </c:strCache>
            </c:strRef>
          </c:cat>
          <c:val>
            <c:numRef>
              <c:f>'Figs for ppt'!$B$3:$B$9</c:f>
              <c:numCache>
                <c:formatCode>General</c:formatCode>
                <c:ptCount val="7"/>
                <c:pt idx="0">
                  <c:v>30</c:v>
                </c:pt>
                <c:pt idx="1">
                  <c:v>24</c:v>
                </c:pt>
                <c:pt idx="2">
                  <c:v>23</c:v>
                </c:pt>
                <c:pt idx="3">
                  <c:v>37</c:v>
                </c:pt>
                <c:pt idx="4">
                  <c:v>10</c:v>
                </c:pt>
                <c:pt idx="5">
                  <c:v>7</c:v>
                </c:pt>
                <c:pt idx="6">
                  <c:v>13</c:v>
                </c:pt>
              </c:numCache>
            </c:numRef>
          </c:val>
        </c:ser>
        <c:ser>
          <c:idx val="1"/>
          <c:order val="1"/>
          <c:tx>
            <c:strRef>
              <c:f>'Figs for ppt'!$C$2</c:f>
              <c:strCache>
                <c:ptCount val="1"/>
                <c:pt idx="0">
                  <c:v>Number of Districts with RSP Presence</c:v>
                </c:pt>
              </c:strCache>
            </c:strRef>
          </c:tx>
          <c:spPr>
            <a:solidFill>
              <a:schemeClr val="accent6"/>
            </a:solidFill>
          </c:spPr>
          <c:invertIfNegative val="0"/>
          <c:dLbls>
            <c:txPr>
              <a:bodyPr/>
              <a:lstStyle/>
              <a:p>
                <a:pPr>
                  <a:defRPr sz="1200"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'Figs for ppt'!$A$3:$A$9</c:f>
              <c:strCache>
                <c:ptCount val="7"/>
                <c:pt idx="0">
                  <c:v>Balochistan </c:v>
                </c:pt>
                <c:pt idx="1">
                  <c:v>Khyber Pakhtunkhwa (KPK)</c:v>
                </c:pt>
                <c:pt idx="2">
                  <c:v>Sindh </c:v>
                </c:pt>
                <c:pt idx="3">
                  <c:v>Punjab </c:v>
                </c:pt>
                <c:pt idx="4">
                  <c:v>Azad Jamu and Kashmir (AJK)</c:v>
                </c:pt>
                <c:pt idx="5">
                  <c:v>Gilgit-Baltistan (GB)</c:v>
                </c:pt>
                <c:pt idx="6">
                  <c:v>Federal Adminstrated Tribal Areas (FATA)/Frontier Regions (FRs)</c:v>
                </c:pt>
              </c:strCache>
            </c:strRef>
          </c:cat>
          <c:val>
            <c:numRef>
              <c:f>'Figs for ppt'!$C$3:$C$9</c:f>
              <c:numCache>
                <c:formatCode>General</c:formatCode>
                <c:ptCount val="7"/>
                <c:pt idx="0">
                  <c:v>18</c:v>
                </c:pt>
                <c:pt idx="1">
                  <c:v>19</c:v>
                </c:pt>
                <c:pt idx="2">
                  <c:v>22</c:v>
                </c:pt>
                <c:pt idx="3">
                  <c:v>35</c:v>
                </c:pt>
                <c:pt idx="4">
                  <c:v>10</c:v>
                </c:pt>
                <c:pt idx="5">
                  <c:v>6</c:v>
                </c:pt>
                <c:pt idx="6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8811776"/>
        <c:axId val="108813312"/>
        <c:axId val="0"/>
      </c:bar3DChart>
      <c:catAx>
        <c:axId val="108811776"/>
        <c:scaling>
          <c:orientation val="minMax"/>
        </c:scaling>
        <c:delete val="0"/>
        <c:axPos val="b"/>
        <c:majorTickMark val="out"/>
        <c:minorTickMark val="none"/>
        <c:tickLblPos val="low"/>
        <c:spPr>
          <a:noFill/>
          <a:ln w="9525" cap="flat" cmpd="sng" algn="ctr">
            <a:solidFill>
              <a:schemeClr val="accent5">
                <a:shade val="95000"/>
                <a:satMod val="105000"/>
              </a:schemeClr>
            </a:solidFill>
            <a:prstDash val="solid"/>
          </a:ln>
          <a:effectLst/>
        </c:spPr>
        <c:txPr>
          <a:bodyPr rot="0" vert="horz" anchor="t" anchorCtr="1"/>
          <a:lstStyle/>
          <a:p>
            <a:pPr>
              <a:defRPr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13312"/>
        <c:crosses val="autoZero"/>
        <c:auto val="1"/>
        <c:lblAlgn val="ctr"/>
        <c:lblOffset val="100"/>
        <c:tickLblSkip val="1"/>
        <c:noMultiLvlLbl val="0"/>
      </c:catAx>
      <c:valAx>
        <c:axId val="108813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8811776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400" b="0">
          <a:latin typeface="Garamond" pitchFamily="18" charset="0"/>
        </a:defRPr>
      </a:pPr>
      <a:endParaRPr lang="en-US"/>
    </a:p>
  </c:txPr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/>
          <a:lstStyle/>
          <a:p>
            <a:pPr>
              <a:defRPr sz="1680" b="0">
                <a:latin typeface="Garamond" pitchFamily="18" charset="0"/>
              </a:defRPr>
            </a:pPr>
            <a:r>
              <a:rPr lang="en-US" sz="1680" b="0">
                <a:latin typeface="Garamond" pitchFamily="18" charset="0"/>
              </a:rPr>
              <a:t>Province wise Rural Union Councils with RSPs Presence   </a:t>
            </a:r>
          </a:p>
          <a:p>
            <a:pPr>
              <a:defRPr sz="1680" b="0">
                <a:latin typeface="Garamond" pitchFamily="18" charset="0"/>
              </a:defRPr>
            </a:pPr>
            <a:r>
              <a:rPr lang="en-US" sz="1680" b="0">
                <a:latin typeface="Garamond" pitchFamily="18" charset="0"/>
              </a:rPr>
              <a:t>(As of March 2011)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6.7628771795822273E-2"/>
          <c:y val="0.12817012159194385"/>
          <c:w val="0.93237122820418294"/>
          <c:h val="0.64810729428052705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'Figs for ppt'!$B$13</c:f>
              <c:strCache>
                <c:ptCount val="1"/>
                <c:pt idx="0">
                  <c:v>Number of Total Rural UCs 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sz="1100" b="0">
                    <a:latin typeface="Garamond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'Figs for ppt'!$A$14:$A$20</c:f>
              <c:strCache>
                <c:ptCount val="7"/>
                <c:pt idx="0">
                  <c:v>Balochistan </c:v>
                </c:pt>
                <c:pt idx="1">
                  <c:v>Khyber Pakhtunkhwa (KPK)</c:v>
                </c:pt>
                <c:pt idx="2">
                  <c:v>Sindh </c:v>
                </c:pt>
                <c:pt idx="3">
                  <c:v>Punjab </c:v>
                </c:pt>
                <c:pt idx="4">
                  <c:v>Azad Jamu and Kashmir (AJK)</c:v>
                </c:pt>
                <c:pt idx="5">
                  <c:v>Gilgit-Baltistan (GB)</c:v>
                </c:pt>
                <c:pt idx="6">
                  <c:v>Federal Adminstrated Tribal Areas (FATA)/Frontier Regions (FRs)</c:v>
                </c:pt>
              </c:strCache>
            </c:strRef>
          </c:cat>
          <c:val>
            <c:numRef>
              <c:f>'Figs for ppt'!$B$14:$B$20</c:f>
              <c:numCache>
                <c:formatCode>General</c:formatCode>
                <c:ptCount val="7"/>
                <c:pt idx="0">
                  <c:v>547</c:v>
                </c:pt>
                <c:pt idx="1">
                  <c:v>961</c:v>
                </c:pt>
                <c:pt idx="2">
                  <c:v>921</c:v>
                </c:pt>
                <c:pt idx="3">
                  <c:v>2647</c:v>
                </c:pt>
                <c:pt idx="4">
                  <c:v>196</c:v>
                </c:pt>
                <c:pt idx="5">
                  <c:v>103</c:v>
                </c:pt>
                <c:pt idx="6">
                  <c:v>190</c:v>
                </c:pt>
              </c:numCache>
            </c:numRef>
          </c:val>
        </c:ser>
        <c:ser>
          <c:idx val="1"/>
          <c:order val="1"/>
          <c:tx>
            <c:strRef>
              <c:f>'Figs for ppt'!$C$13</c:f>
              <c:strCache>
                <c:ptCount val="1"/>
                <c:pt idx="0">
                  <c:v>Number of UCs with RSP Presence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dLbls>
            <c:dLbl>
              <c:idx val="0"/>
              <c:layout>
                <c:manualLayout>
                  <c:x val="1.4245014245014283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2.4928774928774936E-2"/>
                  <c:y val="1.66666666666667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2.4928774928774936E-2"/>
                  <c:y val="8.333333333333336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3.0270655270655412E-2"/>
                  <c:y val="-8.333333333333336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200" b="0">
                    <a:latin typeface="Garamond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'Figs for ppt'!$A$14:$A$20</c:f>
              <c:strCache>
                <c:ptCount val="7"/>
                <c:pt idx="0">
                  <c:v>Balochistan </c:v>
                </c:pt>
                <c:pt idx="1">
                  <c:v>Khyber Pakhtunkhwa (KPK)</c:v>
                </c:pt>
                <c:pt idx="2">
                  <c:v>Sindh </c:v>
                </c:pt>
                <c:pt idx="3">
                  <c:v>Punjab </c:v>
                </c:pt>
                <c:pt idx="4">
                  <c:v>Azad Jamu and Kashmir (AJK)</c:v>
                </c:pt>
                <c:pt idx="5">
                  <c:v>Gilgit-Baltistan (GB)</c:v>
                </c:pt>
                <c:pt idx="6">
                  <c:v>Federal Adminstrated Tribal Areas (FATA)/Frontier Regions (FRs)</c:v>
                </c:pt>
              </c:strCache>
            </c:strRef>
          </c:cat>
          <c:val>
            <c:numRef>
              <c:f>'Figs for ppt'!$C$14:$C$20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8850560"/>
        <c:axId val="92677248"/>
        <c:axId val="0"/>
      </c:bar3DChart>
      <c:catAx>
        <c:axId val="10885056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anchor="t" anchorCtr="0"/>
          <a:lstStyle/>
          <a:p>
            <a:pPr>
              <a:defRPr sz="1100"/>
            </a:pPr>
            <a:endParaRPr lang="en-US"/>
          </a:p>
        </c:txPr>
        <c:crossAx val="92677248"/>
        <c:crosses val="autoZero"/>
        <c:auto val="1"/>
        <c:lblAlgn val="ctr"/>
        <c:lblOffset val="100"/>
        <c:noMultiLvlLbl val="0"/>
      </c:catAx>
      <c:valAx>
        <c:axId val="92677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8850560"/>
        <c:crosses val="autoZero"/>
        <c:crossBetween val="between"/>
        <c:majorUnit val="300"/>
      </c:valAx>
    </c:plotArea>
    <c:legend>
      <c:legendPos val="b"/>
      <c:layout>
        <c:manualLayout>
          <c:xMode val="edge"/>
          <c:yMode val="edge"/>
          <c:x val="0.23710905511811026"/>
          <c:y val="0.91278290213723257"/>
          <c:w val="0.54938438572772574"/>
          <c:h val="4.9205206492045683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0">
                <a:latin typeface="Garamond" pitchFamily="18" charset="0"/>
              </a:defRPr>
            </a:pPr>
            <a:r>
              <a:rPr lang="en-US" sz="1800" b="0" i="0" baseline="0">
                <a:latin typeface="Garamond" pitchFamily="18" charset="0"/>
              </a:rPr>
              <a:t>Province-wise organised households </a:t>
            </a:r>
          </a:p>
          <a:p>
            <a:pPr>
              <a:defRPr b="0">
                <a:latin typeface="Garamond" pitchFamily="18" charset="0"/>
              </a:defRPr>
            </a:pPr>
            <a:r>
              <a:rPr lang="en-US" sz="1800" b="0" i="0" baseline="0">
                <a:latin typeface="Garamond" pitchFamily="18" charset="0"/>
              </a:rPr>
              <a:t>(% of total rural households based on 1998 census data ) </a:t>
            </a:r>
          </a:p>
          <a:p>
            <a:pPr>
              <a:defRPr b="0">
                <a:latin typeface="Garamond" pitchFamily="18" charset="0"/>
              </a:defRPr>
            </a:pPr>
            <a:r>
              <a:rPr lang="en-US" sz="1800" b="0" i="0" baseline="0">
                <a:latin typeface="Garamond" pitchFamily="18" charset="0"/>
              </a:rPr>
              <a:t>(As of March 2011)  </a:t>
            </a:r>
            <a:endParaRPr lang="en-US" b="0">
              <a:latin typeface="Garamond" pitchFamily="18" charset="0"/>
            </a:endParaRPr>
          </a:p>
        </c:rich>
      </c:tx>
      <c:layout>
        <c:manualLayout>
          <c:xMode val="edge"/>
          <c:yMode val="edge"/>
          <c:x val="9.8797730928795208E-2"/>
          <c:y val="0"/>
        </c:manualLayout>
      </c:layout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6.4353337005714134E-2"/>
          <c:y val="0.17592550696834403"/>
          <c:w val="0.92707327479126656"/>
          <c:h val="0.65046619735493938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'Figs for ppt'!$B$25</c:f>
              <c:strCache>
                <c:ptCount val="1"/>
                <c:pt idx="0">
                  <c:v>% of Organised households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</c:spPr>
          <c:invertIfNegative val="0"/>
          <c:dLbls>
            <c:txPr>
              <a:bodyPr/>
              <a:lstStyle/>
              <a:p>
                <a:pPr>
                  <a:defRPr sz="1200">
                    <a:latin typeface="Garamond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'Figs for ppt'!$A$26:$A$33</c:f>
              <c:strCache>
                <c:ptCount val="8"/>
                <c:pt idx="0">
                  <c:v>Balochistan </c:v>
                </c:pt>
                <c:pt idx="1">
                  <c:v>Khyber Pakhtunkhwa (KPK)</c:v>
                </c:pt>
                <c:pt idx="2">
                  <c:v>Sindh </c:v>
                </c:pt>
                <c:pt idx="3">
                  <c:v>Punjab </c:v>
                </c:pt>
                <c:pt idx="4">
                  <c:v>Azad Jamu and Kashmir (AJK)</c:v>
                </c:pt>
                <c:pt idx="5">
                  <c:v>Gilgit-Baltistan (GB)</c:v>
                </c:pt>
                <c:pt idx="6">
                  <c:v>Federal Adminstrated Tribal Areas (FATA)/Frontier Regions (FRs)</c:v>
                </c:pt>
                <c:pt idx="7">
                  <c:v>Grand Total </c:v>
                </c:pt>
              </c:strCache>
            </c:strRef>
          </c:cat>
          <c:val>
            <c:numRef>
              <c:f>'Figs for ppt'!$B$26:$B$33</c:f>
              <c:numCache>
                <c:formatCode>_(* #,##0.0_);_(* \(#,##0.0\);_(* "-"??_);_(@_)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2833664"/>
        <c:axId val="92835200"/>
        <c:axId val="0"/>
      </c:bar3DChart>
      <c:catAx>
        <c:axId val="92833664"/>
        <c:scaling>
          <c:orientation val="minMax"/>
        </c:scaling>
        <c:delete val="0"/>
        <c:axPos val="b"/>
        <c:numFmt formatCode="@" sourceLinked="0"/>
        <c:majorTickMark val="out"/>
        <c:minorTickMark val="none"/>
        <c:tickLblPos val="nextTo"/>
        <c:crossAx val="92835200"/>
        <c:crosses val="autoZero"/>
        <c:auto val="0"/>
        <c:lblAlgn val="ctr"/>
        <c:lblOffset val="100"/>
        <c:noMultiLvlLbl val="0"/>
      </c:catAx>
      <c:valAx>
        <c:axId val="92835200"/>
        <c:scaling>
          <c:orientation val="minMax"/>
        </c:scaling>
        <c:delete val="0"/>
        <c:axPos val="l"/>
        <c:majorGridlines/>
        <c:numFmt formatCode="_(* #,##0.0_);_(* \(#,##0.0\);_(* &quot;-&quot;??_);_(@_)" sourceLinked="1"/>
        <c:majorTickMark val="out"/>
        <c:minorTickMark val="none"/>
        <c:tickLblPos val="nextTo"/>
        <c:crossAx val="928336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114299</xdr:colOff>
      <xdr:row>0</xdr:row>
      <xdr:rowOff>0</xdr:rowOff>
    </xdr:from>
    <xdr:to>
      <xdr:col>17</xdr:col>
      <xdr:colOff>400050</xdr:colOff>
      <xdr:row>27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285749</xdr:colOff>
      <xdr:row>27</xdr:row>
      <xdr:rowOff>0</xdr:rowOff>
    </xdr:from>
    <xdr:to>
      <xdr:col>16</xdr:col>
      <xdr:colOff>333375</xdr:colOff>
      <xdr:row>55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200024</xdr:colOff>
      <xdr:row>36</xdr:row>
      <xdr:rowOff>152399</xdr:rowOff>
    </xdr:from>
    <xdr:to>
      <xdr:col>4</xdr:col>
      <xdr:colOff>333374</xdr:colOff>
      <xdr:row>60</xdr:row>
      <xdr:rowOff>85725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590549</xdr:colOff>
      <xdr:row>2</xdr:row>
      <xdr:rowOff>323849</xdr:rowOff>
    </xdr:from>
    <xdr:to>
      <xdr:col>28</xdr:col>
      <xdr:colOff>228598</xdr:colOff>
      <xdr:row>32</xdr:row>
      <xdr:rowOff>161924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0</xdr:colOff>
      <xdr:row>34</xdr:row>
      <xdr:rowOff>85726</xdr:rowOff>
    </xdr:from>
    <xdr:to>
      <xdr:col>30</xdr:col>
      <xdr:colOff>548640</xdr:colOff>
      <xdr:row>63</xdr:row>
      <xdr:rowOff>161924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390525</xdr:colOff>
      <xdr:row>34</xdr:row>
      <xdr:rowOff>85726</xdr:rowOff>
    </xdr:from>
    <xdr:to>
      <xdr:col>19</xdr:col>
      <xdr:colOff>360045</xdr:colOff>
      <xdr:row>69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azal%20Docs/Workplan%202011/MER%202011/OUTREACH%20ISSUE%2010/Final%20Outreach%20Issue%2010%20all%20RSPs%20(28-09-11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User/Local%20Settings/Temporary%20Internet%20Files/Content.IE5/C0HSKIRD/Outreach%20Report%20of%20AJKRSP%20(as%20of%20Sept%202011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User/Local%20Settings/Temporary%20Internet%20Files/Content.IE5/C0HSKIRD/SGA%20OUT%20REACH%201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User/Local%20Settings/Temporary%20Internet%20Files/Content.IE5/C0HSKIRD/TRDP%20Outreach%20As%20of%20September,%202011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User/Local%20Settings/Temporary%20Internet%20Files/Content.IE5/C0HSKIRD/PRSP-Final_Outreach_Issue_11_sent_to_RSPs_(10-11-11)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User/Local%20Settings/Temporary%20Internet%20Files/Content.IE5/C0HSKIRD/GBTI%20Final%20Outreach%20Issue%2011%20sent%20to%20RSPs%20(10-11-11)(1)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User/Local%20Settings/Temporary%20Internet%20Files/Content.IE5/C0HSKIRD/SRSO%20Outreach%20as%20of%20Jul-Sep%202011updated%20with%20UCs%20details%2016-12-11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User/Local%20Settings/Temporary%20Internet%20Files/Content.IE5/C0HSKIRD/SRSP%20Final%20Outreach%20Issue%2011%20%20(9-12-11)-SRSP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ahir%20Waqar/AppData/Local/Microsoft/Windows/Temporary%20Internet%20Files/Content.Outlook/UXRKGU16/NRSP_september__%20Outreach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.RSP Districts "/>
      <sheetName val="2. Overall com progres Jun 11"/>
      <sheetName val="Figs for ppt"/>
      <sheetName val="Overall commulative progres (2)"/>
      <sheetName val="3. Top 10"/>
      <sheetName val="Graphs for presentation"/>
    </sheetNames>
    <sheetDataSet>
      <sheetData sheetId="0">
        <row r="212">
          <cell r="A212" t="str">
            <v xml:space="preserve">Number of districts/areas having RSPs presence  </v>
          </cell>
          <cell r="P212" t="str">
            <v>Number of total districts/areas in the province/area</v>
          </cell>
        </row>
        <row r="213">
          <cell r="C213">
            <v>12</v>
          </cell>
          <cell r="P213">
            <v>1</v>
          </cell>
        </row>
        <row r="214">
          <cell r="C214">
            <v>547</v>
          </cell>
          <cell r="P214">
            <v>30</v>
          </cell>
        </row>
        <row r="215">
          <cell r="C215">
            <v>961</v>
          </cell>
          <cell r="P215">
            <v>24</v>
          </cell>
        </row>
        <row r="216">
          <cell r="C216">
            <v>921</v>
          </cell>
          <cell r="P216">
            <v>23</v>
          </cell>
        </row>
        <row r="217">
          <cell r="C217">
            <v>2635</v>
          </cell>
          <cell r="P217">
            <v>36</v>
          </cell>
        </row>
        <row r="218">
          <cell r="C218">
            <v>196</v>
          </cell>
          <cell r="P218">
            <v>10</v>
          </cell>
        </row>
        <row r="219">
          <cell r="C219">
            <v>103</v>
          </cell>
          <cell r="P219">
            <v>7</v>
          </cell>
        </row>
        <row r="220">
          <cell r="C220">
            <v>190</v>
          </cell>
          <cell r="P220">
            <v>13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.RSP Districts "/>
      <sheetName val="2. Overall com progres Sep 11"/>
      <sheetName val="Figs for ppt"/>
      <sheetName val="Overall commulative progres (2)"/>
      <sheetName val="3. Overall com progres Jun(ref)"/>
    </sheetNames>
    <sheetDataSet>
      <sheetData sheetId="0" refreshError="1"/>
      <sheetData sheetId="1" refreshError="1">
        <row r="4">
          <cell r="C4">
            <v>7</v>
          </cell>
        </row>
        <row r="5">
          <cell r="C5">
            <v>115</v>
          </cell>
        </row>
        <row r="6">
          <cell r="C6">
            <v>81192</v>
          </cell>
        </row>
        <row r="7">
          <cell r="C7">
            <v>32</v>
          </cell>
        </row>
        <row r="8">
          <cell r="C8">
            <v>1288</v>
          </cell>
        </row>
        <row r="9">
          <cell r="C9">
            <v>1811</v>
          </cell>
        </row>
        <row r="10">
          <cell r="C10">
            <v>840</v>
          </cell>
        </row>
        <row r="12">
          <cell r="C12">
            <v>35616</v>
          </cell>
        </row>
        <row r="13">
          <cell r="C13">
            <v>45576</v>
          </cell>
        </row>
        <row r="15">
          <cell r="C15">
            <v>26.11</v>
          </cell>
        </row>
        <row r="16">
          <cell r="C16">
            <v>26.11</v>
          </cell>
        </row>
        <row r="18">
          <cell r="C18">
            <v>9777</v>
          </cell>
        </row>
        <row r="19">
          <cell r="C19">
            <v>5534</v>
          </cell>
        </row>
        <row r="21">
          <cell r="C21">
            <v>6</v>
          </cell>
        </row>
        <row r="22">
          <cell r="C22">
            <v>0</v>
          </cell>
        </row>
        <row r="23">
          <cell r="C23">
            <v>1094</v>
          </cell>
        </row>
        <row r="24">
          <cell r="C24">
            <v>16</v>
          </cell>
        </row>
        <row r="25">
          <cell r="C25">
            <v>40.72</v>
          </cell>
        </row>
        <row r="26">
          <cell r="C26">
            <v>58</v>
          </cell>
        </row>
        <row r="28">
          <cell r="C28">
            <v>1909</v>
          </cell>
        </row>
        <row r="29">
          <cell r="C29">
            <v>3053</v>
          </cell>
        </row>
        <row r="40">
          <cell r="C40">
            <v>0</v>
          </cell>
        </row>
        <row r="41">
          <cell r="C41">
            <v>0</v>
          </cell>
        </row>
        <row r="43">
          <cell r="C43">
            <v>0</v>
          </cell>
        </row>
        <row r="44">
          <cell r="C44">
            <v>0</v>
          </cell>
        </row>
        <row r="46">
          <cell r="C46">
            <v>940</v>
          </cell>
        </row>
        <row r="47">
          <cell r="C47">
            <v>850</v>
          </cell>
        </row>
        <row r="48">
          <cell r="C48">
            <v>78620</v>
          </cell>
        </row>
        <row r="49">
          <cell r="C49">
            <v>561</v>
          </cell>
        </row>
        <row r="50">
          <cell r="C50">
            <v>0</v>
          </cell>
        </row>
        <row r="51">
          <cell r="C51">
            <v>0</v>
          </cell>
        </row>
        <row r="52">
          <cell r="C52">
            <v>0</v>
          </cell>
        </row>
        <row r="54">
          <cell r="C54">
            <v>0</v>
          </cell>
        </row>
        <row r="55">
          <cell r="C55">
            <v>0</v>
          </cell>
        </row>
        <row r="57">
          <cell r="C57">
            <v>31</v>
          </cell>
        </row>
        <row r="58">
          <cell r="C58">
            <v>0</v>
          </cell>
        </row>
      </sheetData>
      <sheetData sheetId="2" refreshError="1"/>
      <sheetData sheetId="3" refreshError="1"/>
      <sheetData sheetId="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GA OUTREACH  AS OF SEPT 11 "/>
      <sheetName val="Figs for ppt"/>
      <sheetName val="Overall commulative progres (2)"/>
    </sheetNames>
    <sheetDataSet>
      <sheetData sheetId="0">
        <row r="4">
          <cell r="D4">
            <v>1</v>
          </cell>
        </row>
        <row r="5">
          <cell r="D5">
            <v>11</v>
          </cell>
        </row>
        <row r="6">
          <cell r="D6">
            <v>11000</v>
          </cell>
        </row>
      </sheetData>
      <sheetData sheetId="1" refreshError="1"/>
      <sheetData sheetId="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.RSP Districts "/>
      <sheetName val="2. Overall com progres Sept 11"/>
      <sheetName val="Figs for ppt"/>
      <sheetName val="Overall commulative progres (2)"/>
    </sheetNames>
    <sheetDataSet>
      <sheetData sheetId="0">
        <row r="78">
          <cell r="E78">
            <v>30</v>
          </cell>
        </row>
      </sheetData>
      <sheetData sheetId="1">
        <row r="4">
          <cell r="C4">
            <v>4</v>
          </cell>
        </row>
        <row r="5">
          <cell r="C5">
            <v>112</v>
          </cell>
        </row>
        <row r="6">
          <cell r="C6">
            <v>258138</v>
          </cell>
        </row>
        <row r="7">
          <cell r="C7">
            <v>15</v>
          </cell>
        </row>
        <row r="8">
          <cell r="C8">
            <v>8158</v>
          </cell>
        </row>
        <row r="9">
          <cell r="C9">
            <v>5680</v>
          </cell>
        </row>
        <row r="10">
          <cell r="C10">
            <v>1952</v>
          </cell>
        </row>
        <row r="12">
          <cell r="C12">
            <v>168118</v>
          </cell>
        </row>
        <row r="13">
          <cell r="C13">
            <v>138389</v>
          </cell>
        </row>
        <row r="15">
          <cell r="C15">
            <v>74.72</v>
          </cell>
        </row>
        <row r="16">
          <cell r="C16">
            <v>115.06</v>
          </cell>
        </row>
        <row r="18">
          <cell r="C18">
            <v>60585</v>
          </cell>
        </row>
        <row r="19">
          <cell r="C19">
            <v>76044</v>
          </cell>
        </row>
        <row r="22">
          <cell r="C22">
            <v>622</v>
          </cell>
        </row>
        <row r="23">
          <cell r="C23">
            <v>12146</v>
          </cell>
        </row>
        <row r="24">
          <cell r="C24">
            <v>157.32900000000001</v>
          </cell>
        </row>
        <row r="25">
          <cell r="C25">
            <v>1383.375</v>
          </cell>
        </row>
        <row r="26">
          <cell r="C26">
            <v>1828.2570000000001</v>
          </cell>
        </row>
        <row r="28">
          <cell r="C28">
            <v>113336</v>
          </cell>
        </row>
        <row r="29">
          <cell r="C29">
            <v>114121</v>
          </cell>
        </row>
        <row r="40">
          <cell r="C40">
            <v>61692</v>
          </cell>
        </row>
        <row r="41">
          <cell r="C41">
            <v>63901</v>
          </cell>
        </row>
        <row r="43">
          <cell r="C43">
            <v>71615</v>
          </cell>
        </row>
        <row r="44">
          <cell r="C44">
            <v>68909</v>
          </cell>
        </row>
        <row r="46">
          <cell r="C46">
            <v>50408</v>
          </cell>
        </row>
        <row r="47">
          <cell r="C47">
            <v>49827</v>
          </cell>
        </row>
        <row r="48">
          <cell r="C48">
            <v>314716</v>
          </cell>
        </row>
        <row r="49">
          <cell r="C49">
            <v>662.76</v>
          </cell>
        </row>
        <row r="50">
          <cell r="C50">
            <v>110</v>
          </cell>
        </row>
        <row r="51">
          <cell r="C51">
            <v>0</v>
          </cell>
        </row>
        <row r="52">
          <cell r="C52">
            <v>0</v>
          </cell>
        </row>
        <row r="54">
          <cell r="C54">
            <v>0</v>
          </cell>
        </row>
        <row r="55">
          <cell r="C55">
            <v>0</v>
          </cell>
        </row>
        <row r="57">
          <cell r="C57">
            <v>675</v>
          </cell>
        </row>
        <row r="58">
          <cell r="C58">
            <v>675</v>
          </cell>
        </row>
      </sheetData>
      <sheetData sheetId="2" refreshError="1"/>
      <sheetData sheetId="3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.RSP Districts "/>
      <sheetName val="2. Overall com progres Sep 11"/>
      <sheetName val="Figs for ppt"/>
      <sheetName val="Overall commulative progres (2)"/>
      <sheetName val="3. Overall com progres Jun(ref)"/>
    </sheetNames>
    <sheetDataSet>
      <sheetData sheetId="0">
        <row r="109">
          <cell r="E109">
            <v>4</v>
          </cell>
        </row>
      </sheetData>
      <sheetData sheetId="1">
        <row r="4">
          <cell r="H4">
            <v>25</v>
          </cell>
        </row>
        <row r="5">
          <cell r="H5">
            <v>847</v>
          </cell>
        </row>
        <row r="6">
          <cell r="H6">
            <v>979590</v>
          </cell>
        </row>
        <row r="7">
          <cell r="H7">
            <v>21</v>
          </cell>
        </row>
        <row r="8">
          <cell r="H8">
            <v>24280</v>
          </cell>
        </row>
        <row r="9">
          <cell r="H9">
            <v>35421</v>
          </cell>
        </row>
        <row r="12">
          <cell r="H12">
            <v>405961</v>
          </cell>
        </row>
        <row r="13">
          <cell r="H13">
            <v>613930</v>
          </cell>
        </row>
        <row r="15">
          <cell r="H15">
            <v>40.155546999999999</v>
          </cell>
        </row>
        <row r="16">
          <cell r="H16">
            <v>43.919511999999997</v>
          </cell>
        </row>
        <row r="18">
          <cell r="H18">
            <v>142308</v>
          </cell>
        </row>
        <row r="19">
          <cell r="H19">
            <v>289608</v>
          </cell>
        </row>
        <row r="21">
          <cell r="H21">
            <v>1</v>
          </cell>
        </row>
        <row r="22">
          <cell r="H22">
            <v>23</v>
          </cell>
        </row>
        <row r="23">
          <cell r="H23">
            <v>1212</v>
          </cell>
        </row>
        <row r="24">
          <cell r="H24">
            <v>7.6</v>
          </cell>
        </row>
        <row r="25">
          <cell r="H25">
            <v>2962</v>
          </cell>
        </row>
        <row r="26">
          <cell r="H26">
            <v>4437</v>
          </cell>
        </row>
        <row r="28">
          <cell r="H28">
            <v>232718</v>
          </cell>
        </row>
        <row r="29">
          <cell r="H29">
            <v>336894</v>
          </cell>
        </row>
        <row r="46">
          <cell r="H46">
            <v>6610</v>
          </cell>
        </row>
        <row r="47">
          <cell r="H47">
            <v>6381</v>
          </cell>
        </row>
        <row r="48">
          <cell r="H48">
            <v>709744</v>
          </cell>
        </row>
        <row r="49">
          <cell r="H49">
            <v>1675.4444720000001</v>
          </cell>
        </row>
        <row r="57">
          <cell r="H57">
            <v>8442</v>
          </cell>
        </row>
        <row r="58">
          <cell r="H58">
            <v>1770</v>
          </cell>
        </row>
      </sheetData>
      <sheetData sheetId="2"/>
      <sheetData sheetId="3"/>
      <sheetData sheetId="4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.RSP Districts "/>
      <sheetName val="2. Overall com progres Sep 11"/>
      <sheetName val="Figs for ppt"/>
      <sheetName val="Overall commulative progres (2)"/>
      <sheetName val="3. Overall com progres Jun(ref)"/>
    </sheetNames>
    <sheetDataSet>
      <sheetData sheetId="0">
        <row r="56">
          <cell r="E56">
            <v>4</v>
          </cell>
        </row>
      </sheetData>
      <sheetData sheetId="1" refreshError="1"/>
      <sheetData sheetId="2" refreshError="1"/>
      <sheetData sheetId="3" refreshError="1"/>
      <sheetData sheetId="4">
        <row r="7">
          <cell r="F7">
            <v>2</v>
          </cell>
        </row>
        <row r="8">
          <cell r="F8">
            <v>1293</v>
          </cell>
        </row>
        <row r="9">
          <cell r="F9">
            <v>1270</v>
          </cell>
        </row>
        <row r="10">
          <cell r="F10">
            <v>0</v>
          </cell>
        </row>
        <row r="12">
          <cell r="F12">
            <v>22390</v>
          </cell>
        </row>
        <row r="13">
          <cell r="F13">
            <v>23997</v>
          </cell>
        </row>
        <row r="15">
          <cell r="F15">
            <v>3.83</v>
          </cell>
        </row>
        <row r="16">
          <cell r="F16">
            <v>4.41</v>
          </cell>
        </row>
        <row r="18">
          <cell r="F18">
            <v>9972</v>
          </cell>
        </row>
        <row r="19">
          <cell r="F19">
            <v>3440</v>
          </cell>
        </row>
        <row r="21">
          <cell r="F21">
            <v>1</v>
          </cell>
        </row>
        <row r="22">
          <cell r="F22">
            <v>1</v>
          </cell>
        </row>
        <row r="23">
          <cell r="F23">
            <v>152</v>
          </cell>
        </row>
        <row r="24">
          <cell r="F24">
            <v>1.2</v>
          </cell>
        </row>
        <row r="25">
          <cell r="F25">
            <v>206.84100000000001</v>
          </cell>
        </row>
        <row r="26">
          <cell r="F26">
            <v>68.278999999999996</v>
          </cell>
        </row>
        <row r="28">
          <cell r="F28">
            <v>14384</v>
          </cell>
        </row>
        <row r="29">
          <cell r="F29">
            <v>5047</v>
          </cell>
        </row>
        <row r="40">
          <cell r="F40">
            <v>10996</v>
          </cell>
        </row>
        <row r="41">
          <cell r="F41">
            <v>5967</v>
          </cell>
        </row>
        <row r="43">
          <cell r="F43">
            <v>10996</v>
          </cell>
        </row>
        <row r="44">
          <cell r="F44">
            <v>5967</v>
          </cell>
        </row>
        <row r="46">
          <cell r="F46">
            <v>458</v>
          </cell>
        </row>
        <row r="47">
          <cell r="F47">
            <v>458</v>
          </cell>
        </row>
        <row r="48">
          <cell r="F48">
            <v>56974</v>
          </cell>
        </row>
        <row r="49">
          <cell r="F49">
            <v>124</v>
          </cell>
        </row>
        <row r="50">
          <cell r="F50">
            <v>12</v>
          </cell>
        </row>
        <row r="51">
          <cell r="F51">
            <v>780</v>
          </cell>
        </row>
        <row r="52">
          <cell r="F52">
            <v>608</v>
          </cell>
        </row>
        <row r="54">
          <cell r="F54">
            <v>0</v>
          </cell>
        </row>
        <row r="55">
          <cell r="F55">
            <v>0</v>
          </cell>
        </row>
        <row r="57">
          <cell r="F57">
            <v>95</v>
          </cell>
        </row>
        <row r="58">
          <cell r="F58">
            <v>0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.RSP Districts "/>
      <sheetName val="2. Overall com progres Sep 11"/>
      <sheetName val="Figs for ppt"/>
      <sheetName val="Overall commulative progres (2)"/>
      <sheetName val="3. Overall com progres Jun(ref)"/>
    </sheetNames>
    <sheetDataSet>
      <sheetData sheetId="0">
        <row r="79">
          <cell r="E79">
            <v>35</v>
          </cell>
        </row>
      </sheetData>
      <sheetData sheetId="1">
        <row r="7">
          <cell r="J7">
            <v>18</v>
          </cell>
        </row>
        <row r="8">
          <cell r="J8">
            <v>25511</v>
          </cell>
        </row>
        <row r="9">
          <cell r="J9">
            <v>3626</v>
          </cell>
        </row>
        <row r="10">
          <cell r="J10">
            <v>40</v>
          </cell>
        </row>
        <row r="12">
          <cell r="J12">
            <v>424167</v>
          </cell>
        </row>
        <row r="13">
          <cell r="J13">
            <v>65261</v>
          </cell>
        </row>
        <row r="15">
          <cell r="J15">
            <v>38.756</v>
          </cell>
        </row>
        <row r="16">
          <cell r="J16">
            <v>18.86</v>
          </cell>
        </row>
        <row r="18">
          <cell r="J18">
            <v>155446</v>
          </cell>
        </row>
        <row r="19">
          <cell r="J19">
            <v>7811</v>
          </cell>
        </row>
        <row r="21">
          <cell r="J21">
            <v>0</v>
          </cell>
        </row>
        <row r="22">
          <cell r="J22">
            <v>2080</v>
          </cell>
        </row>
        <row r="23">
          <cell r="J23">
            <v>50198</v>
          </cell>
        </row>
        <row r="24">
          <cell r="J24">
            <v>514.1</v>
          </cell>
        </row>
        <row r="25">
          <cell r="J25">
            <v>1131</v>
          </cell>
        </row>
        <row r="26">
          <cell r="J26">
            <v>520</v>
          </cell>
        </row>
        <row r="28">
          <cell r="J28">
            <v>83843</v>
          </cell>
        </row>
        <row r="29">
          <cell r="J29">
            <v>38619</v>
          </cell>
        </row>
        <row r="40">
          <cell r="J40">
            <v>145618</v>
          </cell>
        </row>
        <row r="41">
          <cell r="J41">
            <v>30794</v>
          </cell>
        </row>
        <row r="43">
          <cell r="J43">
            <v>298204</v>
          </cell>
        </row>
        <row r="44">
          <cell r="J44">
            <v>230769</v>
          </cell>
        </row>
        <row r="46">
          <cell r="J46">
            <v>29774</v>
          </cell>
        </row>
        <row r="47">
          <cell r="J47">
            <v>29774</v>
          </cell>
        </row>
        <row r="48">
          <cell r="J48">
            <v>96823</v>
          </cell>
        </row>
        <row r="49">
          <cell r="J49">
            <v>1745</v>
          </cell>
        </row>
        <row r="50">
          <cell r="J50">
            <v>2</v>
          </cell>
        </row>
        <row r="51">
          <cell r="J51">
            <v>25</v>
          </cell>
        </row>
        <row r="52">
          <cell r="J52">
            <v>55</v>
          </cell>
        </row>
        <row r="54">
          <cell r="J54">
            <v>58</v>
          </cell>
        </row>
        <row r="55">
          <cell r="J55">
            <v>0</v>
          </cell>
        </row>
        <row r="57">
          <cell r="J57">
            <v>3005</v>
          </cell>
        </row>
      </sheetData>
      <sheetData sheetId="2" refreshError="1"/>
      <sheetData sheetId="3" refreshError="1"/>
      <sheetData sheetId="4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.RSP Districts "/>
      <sheetName val="2. Overall com progres Sep 11"/>
      <sheetName val="Figs for ppt"/>
      <sheetName val="Overall commulative progres (2)"/>
      <sheetName val="3. Overall com progres Jun(ref)"/>
    </sheetNames>
    <sheetDataSet>
      <sheetData sheetId="0">
        <row r="43">
          <cell r="E43">
            <v>48</v>
          </cell>
        </row>
      </sheetData>
      <sheetData sheetId="1">
        <row r="4">
          <cell r="K4">
            <v>19</v>
          </cell>
        </row>
        <row r="8">
          <cell r="K8">
            <v>5513</v>
          </cell>
        </row>
        <row r="9">
          <cell r="K9">
            <v>15631</v>
          </cell>
        </row>
        <row r="10">
          <cell r="K10">
            <v>0</v>
          </cell>
        </row>
        <row r="12">
          <cell r="K12">
            <v>141494</v>
          </cell>
        </row>
        <row r="13">
          <cell r="K13">
            <v>392742</v>
          </cell>
        </row>
        <row r="15">
          <cell r="K15">
            <v>34.43</v>
          </cell>
        </row>
        <row r="16">
          <cell r="K16">
            <v>100.89</v>
          </cell>
        </row>
        <row r="18">
          <cell r="K18">
            <v>49946</v>
          </cell>
        </row>
        <row r="19">
          <cell r="K19">
            <v>66665</v>
          </cell>
        </row>
        <row r="21">
          <cell r="K21">
            <v>0</v>
          </cell>
        </row>
        <row r="22">
          <cell r="K22">
            <v>120</v>
          </cell>
        </row>
        <row r="23">
          <cell r="K23">
            <v>9955</v>
          </cell>
        </row>
        <row r="24">
          <cell r="K24">
            <v>102.2</v>
          </cell>
        </row>
        <row r="25">
          <cell r="K25">
            <v>257.75</v>
          </cell>
        </row>
        <row r="26">
          <cell r="K26">
            <v>293.31</v>
          </cell>
        </row>
        <row r="28">
          <cell r="K28">
            <v>24371</v>
          </cell>
        </row>
        <row r="29">
          <cell r="K29">
            <v>28059</v>
          </cell>
        </row>
        <row r="40">
          <cell r="K40">
            <v>5834</v>
          </cell>
        </row>
        <row r="41">
          <cell r="K41">
            <v>21566</v>
          </cell>
        </row>
        <row r="43">
          <cell r="K43">
            <v>5834</v>
          </cell>
        </row>
        <row r="44">
          <cell r="K44">
            <v>21566</v>
          </cell>
        </row>
        <row r="46">
          <cell r="K46">
            <v>6499</v>
          </cell>
        </row>
        <row r="47">
          <cell r="K47">
            <v>6260</v>
          </cell>
        </row>
        <row r="48">
          <cell r="K48">
            <v>1346799</v>
          </cell>
        </row>
        <row r="49">
          <cell r="K49">
            <v>3080.8</v>
          </cell>
        </row>
        <row r="50">
          <cell r="K50">
            <v>73</v>
          </cell>
        </row>
        <row r="51">
          <cell r="K51">
            <v>1991</v>
          </cell>
        </row>
        <row r="52">
          <cell r="K52">
            <v>2470</v>
          </cell>
        </row>
        <row r="54">
          <cell r="K54">
            <v>55</v>
          </cell>
        </row>
        <row r="55">
          <cell r="K55">
            <v>38</v>
          </cell>
        </row>
        <row r="57">
          <cell r="K57">
            <v>1066</v>
          </cell>
        </row>
        <row r="58">
          <cell r="K58">
            <v>467</v>
          </cell>
        </row>
      </sheetData>
      <sheetData sheetId="2" refreshError="1"/>
      <sheetData sheetId="3" refreshError="1"/>
      <sheetData sheetId="4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.RSP Districts "/>
      <sheetName val="2. Overall com progres Jun 11"/>
      <sheetName val="3.Overall com progress March11"/>
      <sheetName val="Figs for ppt"/>
      <sheetName val="Overall commulative progres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35"/>
  <sheetViews>
    <sheetView topLeftCell="A33" workbookViewId="0">
      <selection activeCell="R44" sqref="R44"/>
    </sheetView>
  </sheetViews>
  <sheetFormatPr defaultRowHeight="13.2" x14ac:dyDescent="0.25"/>
  <cols>
    <col min="1" max="1" width="52.44140625" bestFit="1" customWidth="1"/>
    <col min="2" max="2" width="35" bestFit="1" customWidth="1"/>
    <col min="3" max="3" width="29.5546875" customWidth="1"/>
    <col min="4" max="4" width="33.5546875" bestFit="1" customWidth="1"/>
  </cols>
  <sheetData>
    <row r="2" spans="1:3" ht="13.8" thickBot="1" x14ac:dyDescent="0.3"/>
    <row r="3" spans="1:3" ht="13.8" x14ac:dyDescent="0.25">
      <c r="A3" s="123" t="s">
        <v>224</v>
      </c>
      <c r="B3" s="171" t="str">
        <f>'[1]1.RSP Districts '!P212</f>
        <v>Number of total districts/areas in the province/area</v>
      </c>
      <c r="C3" s="171" t="str">
        <f>'[1]1.RSP Districts '!A212</f>
        <v xml:space="preserve">Number of districts/areas having RSPs presence  </v>
      </c>
    </row>
    <row r="4" spans="1:3" ht="13.8" x14ac:dyDescent="0.25">
      <c r="A4" s="40" t="s">
        <v>181</v>
      </c>
      <c r="B4" s="171">
        <f>'[1]1.RSP Districts '!P214</f>
        <v>30</v>
      </c>
      <c r="C4" s="171">
        <f>'1.RSP Districts '!A216</f>
        <v>18</v>
      </c>
    </row>
    <row r="5" spans="1:3" ht="13.8" x14ac:dyDescent="0.25">
      <c r="A5" s="40" t="s">
        <v>249</v>
      </c>
      <c r="B5" s="171">
        <f>'[1]1.RSP Districts '!P215</f>
        <v>24</v>
      </c>
      <c r="C5" s="171">
        <f>'1.RSP Districts '!A217</f>
        <v>19</v>
      </c>
    </row>
    <row r="6" spans="1:3" ht="13.8" x14ac:dyDescent="0.25">
      <c r="A6" s="40" t="s">
        <v>182</v>
      </c>
      <c r="B6" s="171">
        <f>'[1]1.RSP Districts '!P216</f>
        <v>23</v>
      </c>
      <c r="C6" s="171">
        <f>'1.RSP Districts '!A218</f>
        <v>22</v>
      </c>
    </row>
    <row r="7" spans="1:3" ht="13.8" x14ac:dyDescent="0.25">
      <c r="A7" s="40" t="s">
        <v>285</v>
      </c>
      <c r="B7" s="171">
        <f>'[1]1.RSP Districts '!P217+'[1]1.RSP Districts '!P213</f>
        <v>37</v>
      </c>
      <c r="C7" s="171">
        <f>'1.RSP Districts '!A219+'1.RSP Districts '!A215</f>
        <v>35</v>
      </c>
    </row>
    <row r="8" spans="1:3" ht="13.8" x14ac:dyDescent="0.25">
      <c r="A8" s="40" t="s">
        <v>250</v>
      </c>
      <c r="B8" s="171">
        <f>'[1]1.RSP Districts '!P218</f>
        <v>10</v>
      </c>
      <c r="C8" s="171">
        <f>'1.RSP Districts '!A220</f>
        <v>10</v>
      </c>
    </row>
    <row r="9" spans="1:3" ht="13.8" x14ac:dyDescent="0.25">
      <c r="A9" s="40" t="s">
        <v>251</v>
      </c>
      <c r="B9" s="171">
        <f>'[1]1.RSP Districts '!P219</f>
        <v>7</v>
      </c>
      <c r="C9" s="171">
        <f>'1.RSP Districts '!A221</f>
        <v>6</v>
      </c>
    </row>
    <row r="10" spans="1:3" ht="13.8" x14ac:dyDescent="0.25">
      <c r="A10" s="40" t="s">
        <v>252</v>
      </c>
      <c r="B10" s="171">
        <f>'[1]1.RSP Districts '!P220</f>
        <v>13</v>
      </c>
      <c r="C10" s="171">
        <f>'1.RSP Districts '!A222</f>
        <v>2</v>
      </c>
    </row>
    <row r="11" spans="1:3" ht="13.8" x14ac:dyDescent="0.25">
      <c r="A11" s="172" t="s">
        <v>286</v>
      </c>
      <c r="B11">
        <f>SUM(B4:B10)</f>
        <v>144</v>
      </c>
      <c r="C11">
        <f>SUM(C4:C10)</f>
        <v>112</v>
      </c>
    </row>
    <row r="15" spans="1:3" x14ac:dyDescent="0.25">
      <c r="A15" s="171" t="s">
        <v>224</v>
      </c>
      <c r="B15" s="171" t="s">
        <v>287</v>
      </c>
      <c r="C15" s="171" t="s">
        <v>288</v>
      </c>
    </row>
    <row r="16" spans="1:3" x14ac:dyDescent="0.25">
      <c r="A16" s="171" t="s">
        <v>181</v>
      </c>
      <c r="B16" s="171">
        <f>'[1]1.RSP Districts '!C214</f>
        <v>547</v>
      </c>
      <c r="C16" s="171">
        <f>'1.RSP Districts '!E216</f>
        <v>277</v>
      </c>
    </row>
    <row r="17" spans="1:4" x14ac:dyDescent="0.25">
      <c r="A17" s="171" t="s">
        <v>249</v>
      </c>
      <c r="B17" s="171">
        <f>'[1]1.RSP Districts '!C215</f>
        <v>961</v>
      </c>
      <c r="C17" s="171">
        <f>'1.RSP Districts '!E217</f>
        <v>538</v>
      </c>
    </row>
    <row r="18" spans="1:4" x14ac:dyDescent="0.25">
      <c r="A18" s="171" t="s">
        <v>182</v>
      </c>
      <c r="B18" s="171">
        <f>'[1]1.RSP Districts '!C216</f>
        <v>921</v>
      </c>
      <c r="C18" s="171">
        <f>'1.RSP Districts '!E218</f>
        <v>667</v>
      </c>
    </row>
    <row r="19" spans="1:4" x14ac:dyDescent="0.25">
      <c r="A19" s="171" t="s">
        <v>285</v>
      </c>
      <c r="B19" s="171">
        <f>'[1]1.RSP Districts '!C217+'[1]1.RSP Districts '!C213</f>
        <v>2647</v>
      </c>
      <c r="C19" s="171">
        <f>'1.RSP Districts '!E219+'1.RSP Districts '!E215</f>
        <v>1773</v>
      </c>
    </row>
    <row r="20" spans="1:4" x14ac:dyDescent="0.25">
      <c r="A20" s="171" t="s">
        <v>250</v>
      </c>
      <c r="B20" s="171">
        <f>'[1]1.RSP Districts '!C218</f>
        <v>196</v>
      </c>
      <c r="C20" s="171">
        <f>'1.RSP Districts '!E220</f>
        <v>179</v>
      </c>
    </row>
    <row r="21" spans="1:4" x14ac:dyDescent="0.25">
      <c r="A21" s="171" t="s">
        <v>251</v>
      </c>
      <c r="B21" s="171">
        <f>'[1]1.RSP Districts '!C219</f>
        <v>103</v>
      </c>
      <c r="C21" s="171">
        <f>'1.RSP Districts '!E221</f>
        <v>94</v>
      </c>
    </row>
    <row r="22" spans="1:4" x14ac:dyDescent="0.25">
      <c r="A22" s="171" t="s">
        <v>252</v>
      </c>
      <c r="B22" s="171">
        <f>'[1]1.RSP Districts '!C220</f>
        <v>190</v>
      </c>
      <c r="C22" s="171">
        <f>'1.RSP Districts '!E222</f>
        <v>6</v>
      </c>
    </row>
    <row r="23" spans="1:4" x14ac:dyDescent="0.25">
      <c r="A23" s="171" t="s">
        <v>234</v>
      </c>
      <c r="B23" s="171">
        <f>SUM(B16:B22)</f>
        <v>5565</v>
      </c>
      <c r="C23" s="171">
        <f>SUM(C16:C22)</f>
        <v>3534</v>
      </c>
    </row>
    <row r="24" spans="1:4" ht="13.8" thickBot="1" x14ac:dyDescent="0.3">
      <c r="C24" s="173">
        <f>C23/B23%</f>
        <v>63.504043126684635</v>
      </c>
    </row>
    <row r="25" spans="1:4" ht="13.8" x14ac:dyDescent="0.25">
      <c r="B25" s="174"/>
    </row>
    <row r="26" spans="1:4" ht="13.8" x14ac:dyDescent="0.25">
      <c r="B26" s="175"/>
    </row>
    <row r="27" spans="1:4" ht="12.75" customHeight="1" x14ac:dyDescent="0.25">
      <c r="A27" s="176" t="s">
        <v>224</v>
      </c>
      <c r="B27" s="171" t="s">
        <v>298</v>
      </c>
      <c r="C27" s="171" t="s">
        <v>289</v>
      </c>
      <c r="D27" s="171" t="s">
        <v>290</v>
      </c>
    </row>
    <row r="28" spans="1:4" ht="13.8" x14ac:dyDescent="0.25">
      <c r="A28" s="40" t="s">
        <v>181</v>
      </c>
      <c r="B28" s="177">
        <f t="shared" ref="B28:B35" si="0">D28/C28%</f>
        <v>47.211666119941547</v>
      </c>
      <c r="C28" s="178">
        <f>'1.RSP Districts '!H216</f>
        <v>523953.125</v>
      </c>
      <c r="D28" s="178">
        <f>'1.RSP Districts '!J216</f>
        <v>247367</v>
      </c>
    </row>
    <row r="29" spans="1:4" ht="13.8" x14ac:dyDescent="0.25">
      <c r="A29" s="40" t="s">
        <v>249</v>
      </c>
      <c r="B29" s="177">
        <f t="shared" si="0"/>
        <v>43.718734756859448</v>
      </c>
      <c r="C29" s="178">
        <f>'1.RSP Districts '!H217</f>
        <v>1580629</v>
      </c>
      <c r="D29" s="178">
        <f>'1.RSP Districts '!J217</f>
        <v>691031</v>
      </c>
    </row>
    <row r="30" spans="1:4" ht="13.8" x14ac:dyDescent="0.25">
      <c r="A30" s="40" t="s">
        <v>182</v>
      </c>
      <c r="B30" s="177">
        <f t="shared" si="0"/>
        <v>34.697678849436542</v>
      </c>
      <c r="C30" s="178">
        <f>'1.RSP Districts '!H218</f>
        <v>2816903.1255411254</v>
      </c>
      <c r="D30" s="178">
        <f>'1.RSP Districts '!J218</f>
        <v>977400</v>
      </c>
    </row>
    <row r="31" spans="1:4" ht="13.8" x14ac:dyDescent="0.25">
      <c r="A31" s="40" t="s">
        <v>285</v>
      </c>
      <c r="B31" s="177">
        <f t="shared" si="0"/>
        <v>39.188448737264757</v>
      </c>
      <c r="C31" s="178">
        <f>'1.RSP Districts '!H219+'1.RSP Districts '!H215</f>
        <v>6026081.8585411254</v>
      </c>
      <c r="D31" s="178">
        <f>'1.RSP Districts '!J219+'1.RSP Districts '!J215</f>
        <v>2361528</v>
      </c>
    </row>
    <row r="32" spans="1:4" ht="13.8" x14ac:dyDescent="0.25">
      <c r="A32" s="40" t="s">
        <v>250</v>
      </c>
      <c r="B32" s="177">
        <f t="shared" si="0"/>
        <v>61.799938660865678</v>
      </c>
      <c r="C32" s="178">
        <f>'1.RSP Districts '!H220</f>
        <v>398969.65165781637</v>
      </c>
      <c r="D32" s="178">
        <f>'1.RSP Districts '!J220</f>
        <v>246563</v>
      </c>
    </row>
    <row r="33" spans="1:4" ht="13.8" x14ac:dyDescent="0.25">
      <c r="A33" s="40" t="s">
        <v>251</v>
      </c>
      <c r="B33" s="177">
        <f t="shared" si="0"/>
        <v>69.747920669136846</v>
      </c>
      <c r="C33" s="178">
        <f>'1.RSP Districts '!H221</f>
        <v>108649.83396348439</v>
      </c>
      <c r="D33" s="178">
        <f>'1.RSP Districts '!J221</f>
        <v>75781</v>
      </c>
    </row>
    <row r="34" spans="1:4" ht="13.8" x14ac:dyDescent="0.25">
      <c r="A34" s="40" t="s">
        <v>252</v>
      </c>
      <c r="B34" s="177">
        <f t="shared" si="0"/>
        <v>12.759496808576563</v>
      </c>
      <c r="C34" s="178">
        <f>'1.RSP Districts '!H222</f>
        <v>48411</v>
      </c>
      <c r="D34" s="178">
        <f>'1.RSP Districts '!J222</f>
        <v>6177</v>
      </c>
    </row>
    <row r="35" spans="1:4" ht="13.8" x14ac:dyDescent="0.25">
      <c r="A35" s="179" t="s">
        <v>19</v>
      </c>
      <c r="B35" s="177">
        <f t="shared" si="0"/>
        <v>40.038318118156432</v>
      </c>
      <c r="C35" s="178">
        <f>SUM(C28:C34)</f>
        <v>11503597.594703551</v>
      </c>
      <c r="D35" s="178">
        <f>SUM(D28:D34)</f>
        <v>4605847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27"/>
  <sheetViews>
    <sheetView tabSelected="1" view="pageBreakPreview" zoomScaleNormal="87" zoomScaleSheetLayoutView="100" workbookViewId="0">
      <pane xSplit="2" ySplit="3" topLeftCell="C213" activePane="bottomRight" state="frozen"/>
      <selection activeCell="E4" sqref="E4"/>
      <selection pane="topRight" activeCell="E4" sqref="E4"/>
      <selection pane="bottomLeft" activeCell="E4" sqref="E4"/>
      <selection pane="bottomRight" activeCell="C213" sqref="C213"/>
    </sheetView>
  </sheetViews>
  <sheetFormatPr defaultColWidth="9.109375" defaultRowHeight="13.8" x14ac:dyDescent="0.25"/>
  <cols>
    <col min="1" max="1" width="13.44140625" style="2" customWidth="1"/>
    <col min="2" max="2" width="28.88671875" style="1" bestFit="1" customWidth="1"/>
    <col min="3" max="3" width="17.6640625" style="3" bestFit="1" customWidth="1"/>
    <col min="4" max="7" width="15.5546875" style="3" customWidth="1"/>
    <col min="8" max="8" width="13.5546875" style="12" bestFit="1" customWidth="1"/>
    <col min="9" max="12" width="15.5546875" style="10" customWidth="1"/>
    <col min="13" max="15" width="15.5546875" style="12" customWidth="1"/>
    <col min="16" max="16" width="13" style="3" bestFit="1" customWidth="1"/>
    <col min="17" max="16384" width="9.109375" style="1"/>
  </cols>
  <sheetData>
    <row r="1" spans="1:17" ht="14.4" thickBot="1" x14ac:dyDescent="0.3">
      <c r="A1" s="181" t="s">
        <v>295</v>
      </c>
      <c r="B1" s="181"/>
      <c r="C1" s="181"/>
      <c r="D1" s="181"/>
      <c r="E1" s="181"/>
      <c r="F1" s="181"/>
      <c r="G1" s="181"/>
      <c r="H1" s="181"/>
      <c r="I1" s="181"/>
      <c r="J1" s="181"/>
      <c r="K1" s="181"/>
      <c r="L1" s="181"/>
      <c r="M1" s="181"/>
      <c r="N1" s="181"/>
      <c r="O1" s="181"/>
      <c r="P1" s="181"/>
    </row>
    <row r="2" spans="1:17" ht="53.25" customHeight="1" x14ac:dyDescent="0.25">
      <c r="A2" s="182" t="s">
        <v>40</v>
      </c>
      <c r="B2" s="184" t="s">
        <v>41</v>
      </c>
      <c r="C2" s="184" t="s">
        <v>220</v>
      </c>
      <c r="D2" s="189" t="s">
        <v>274</v>
      </c>
      <c r="E2" s="190"/>
      <c r="F2" s="190"/>
      <c r="G2" s="191"/>
      <c r="H2" s="184" t="s">
        <v>43</v>
      </c>
      <c r="I2" s="188" t="s">
        <v>275</v>
      </c>
      <c r="J2" s="188"/>
      <c r="K2" s="188"/>
      <c r="L2" s="188"/>
      <c r="M2" s="184" t="s">
        <v>276</v>
      </c>
      <c r="N2" s="184"/>
      <c r="O2" s="184"/>
      <c r="P2" s="186" t="s">
        <v>42</v>
      </c>
    </row>
    <row r="3" spans="1:17" ht="37.5" customHeight="1" thickBot="1" x14ac:dyDescent="0.3">
      <c r="A3" s="183"/>
      <c r="B3" s="185"/>
      <c r="C3" s="185"/>
      <c r="D3" s="114" t="s">
        <v>272</v>
      </c>
      <c r="E3" s="114" t="s">
        <v>292</v>
      </c>
      <c r="F3" s="114" t="s">
        <v>265</v>
      </c>
      <c r="G3" s="114" t="s">
        <v>291</v>
      </c>
      <c r="H3" s="185"/>
      <c r="I3" s="114" t="s">
        <v>272</v>
      </c>
      <c r="J3" s="114" t="s">
        <v>292</v>
      </c>
      <c r="K3" s="114" t="s">
        <v>265</v>
      </c>
      <c r="L3" s="114" t="s">
        <v>291</v>
      </c>
      <c r="M3" s="142" t="s">
        <v>273</v>
      </c>
      <c r="N3" s="142" t="s">
        <v>293</v>
      </c>
      <c r="O3" s="114" t="s">
        <v>265</v>
      </c>
      <c r="P3" s="187"/>
    </row>
    <row r="4" spans="1:17" ht="10.5" customHeight="1" thickBot="1" x14ac:dyDescent="0.35">
      <c r="A4" s="14"/>
      <c r="B4" s="15"/>
      <c r="C4" s="16"/>
      <c r="D4" s="16"/>
      <c r="E4" s="16"/>
      <c r="F4" s="16"/>
      <c r="G4" s="16"/>
      <c r="H4" s="17"/>
      <c r="I4" s="18"/>
      <c r="J4" s="18"/>
      <c r="K4" s="18"/>
      <c r="L4" s="18"/>
      <c r="M4" s="17"/>
      <c r="N4" s="17"/>
      <c r="O4" s="17"/>
      <c r="P4" s="16"/>
    </row>
    <row r="5" spans="1:17" ht="21.75" customHeight="1" x14ac:dyDescent="0.25">
      <c r="A5" s="19" t="s">
        <v>44</v>
      </c>
      <c r="B5" s="20"/>
      <c r="C5" s="21"/>
      <c r="D5" s="21"/>
      <c r="E5" s="21"/>
      <c r="F5" s="21"/>
      <c r="G5" s="21"/>
      <c r="H5" s="21"/>
      <c r="I5" s="22"/>
      <c r="J5" s="22"/>
      <c r="K5" s="22"/>
      <c r="L5" s="22"/>
      <c r="M5" s="21"/>
      <c r="N5" s="21"/>
      <c r="O5" s="21"/>
      <c r="P5" s="23"/>
    </row>
    <row r="6" spans="1:17" x14ac:dyDescent="0.25">
      <c r="A6" s="24">
        <v>1</v>
      </c>
      <c r="B6" s="25" t="s">
        <v>45</v>
      </c>
      <c r="C6" s="26">
        <v>12</v>
      </c>
      <c r="D6" s="26">
        <v>12</v>
      </c>
      <c r="E6" s="26">
        <v>12</v>
      </c>
      <c r="F6" s="136">
        <f t="shared" ref="F6" si="0">(E6-D6)/D6%</f>
        <v>0</v>
      </c>
      <c r="G6" s="136">
        <f t="shared" ref="G6" si="1">E6/C6%</f>
        <v>100</v>
      </c>
      <c r="H6" s="26">
        <v>43884</v>
      </c>
      <c r="I6" s="26">
        <v>14128</v>
      </c>
      <c r="J6" s="26">
        <v>14300</v>
      </c>
      <c r="K6" s="136">
        <f>(J6-I6)/I6%</f>
        <v>1.2174405436013589</v>
      </c>
      <c r="L6" s="136">
        <f>J6/H6%</f>
        <v>32.585908303709779</v>
      </c>
      <c r="M6" s="26">
        <v>915</v>
      </c>
      <c r="N6" s="26">
        <v>925</v>
      </c>
      <c r="O6" s="136">
        <f>(N6-M6)/M6%</f>
        <v>1.0928961748633879</v>
      </c>
      <c r="P6" s="28" t="s">
        <v>6</v>
      </c>
      <c r="Q6" s="13"/>
    </row>
    <row r="7" spans="1:17" s="5" customFormat="1" ht="14.4" thickBot="1" x14ac:dyDescent="0.3">
      <c r="A7" s="29">
        <f>A6</f>
        <v>1</v>
      </c>
      <c r="B7" s="30" t="s">
        <v>46</v>
      </c>
      <c r="C7" s="31">
        <f>C6</f>
        <v>12</v>
      </c>
      <c r="D7" s="31">
        <f>D6</f>
        <v>12</v>
      </c>
      <c r="E7" s="31">
        <f>E6</f>
        <v>12</v>
      </c>
      <c r="F7" s="136">
        <f>(E7-D7)/D7%</f>
        <v>0</v>
      </c>
      <c r="G7" s="136">
        <f>E7/C7%</f>
        <v>100</v>
      </c>
      <c r="H7" s="31">
        <f>H6</f>
        <v>43884</v>
      </c>
      <c r="I7" s="31">
        <f>I6</f>
        <v>14128</v>
      </c>
      <c r="J7" s="31">
        <f>J6</f>
        <v>14300</v>
      </c>
      <c r="K7" s="136">
        <f>(J7-I7)/I7%</f>
        <v>1.2174405436013589</v>
      </c>
      <c r="L7" s="136">
        <f>J7/H7%</f>
        <v>32.585908303709779</v>
      </c>
      <c r="M7" s="31">
        <f>M6</f>
        <v>915</v>
      </c>
      <c r="N7" s="31">
        <f>N6</f>
        <v>925</v>
      </c>
      <c r="O7" s="136">
        <f>(N7-M7)/M7%</f>
        <v>1.0928961748633879</v>
      </c>
      <c r="P7" s="32"/>
    </row>
    <row r="8" spans="1:17" ht="4.5" customHeight="1" thickBot="1" x14ac:dyDescent="0.35">
      <c r="A8" s="14"/>
      <c r="B8" s="15"/>
      <c r="C8" s="70"/>
      <c r="D8" s="33"/>
      <c r="E8" s="34"/>
      <c r="F8" s="137"/>
      <c r="G8" s="137"/>
      <c r="H8" s="70"/>
      <c r="I8" s="34"/>
      <c r="J8" s="34"/>
      <c r="K8" s="34"/>
      <c r="L8" s="34"/>
      <c r="M8" s="34"/>
      <c r="N8" s="34"/>
      <c r="O8" s="34"/>
      <c r="P8" s="16"/>
    </row>
    <row r="9" spans="1:17" x14ac:dyDescent="0.25">
      <c r="A9" s="19" t="s">
        <v>47</v>
      </c>
      <c r="B9" s="20"/>
      <c r="C9" s="21"/>
      <c r="D9" s="35"/>
      <c r="E9" s="36"/>
      <c r="F9" s="138"/>
      <c r="G9" s="138"/>
      <c r="H9" s="21"/>
      <c r="I9" s="36"/>
      <c r="J9" s="36"/>
      <c r="K9" s="36"/>
      <c r="L9" s="36"/>
      <c r="M9" s="36"/>
      <c r="N9" s="36"/>
      <c r="O9" s="36"/>
      <c r="P9" s="23"/>
    </row>
    <row r="10" spans="1:17" x14ac:dyDescent="0.25">
      <c r="A10" s="24">
        <v>1</v>
      </c>
      <c r="B10" s="25" t="s">
        <v>48</v>
      </c>
      <c r="C10" s="26">
        <v>8</v>
      </c>
      <c r="D10" s="26">
        <v>8</v>
      </c>
      <c r="E10" s="26">
        <v>8</v>
      </c>
      <c r="F10" s="136">
        <f t="shared" ref="F10:F40" si="2">(E10-D10)/D10%</f>
        <v>0</v>
      </c>
      <c r="G10" s="136">
        <f t="shared" ref="G10:G40" si="3">E10/C10%</f>
        <v>100</v>
      </c>
      <c r="H10" s="26">
        <v>22144</v>
      </c>
      <c r="I10" s="26">
        <v>9360</v>
      </c>
      <c r="J10" s="26">
        <v>9360</v>
      </c>
      <c r="K10" s="136">
        <f t="shared" ref="K10:K40" si="4">(J10-I10)/I10%</f>
        <v>0</v>
      </c>
      <c r="L10" s="136">
        <f>J10/H10%</f>
        <v>42.26878612716763</v>
      </c>
      <c r="M10" s="26">
        <v>566</v>
      </c>
      <c r="N10" s="26">
        <v>566</v>
      </c>
      <c r="O10" s="136">
        <f t="shared" ref="O10:O40" si="5">(N10-M10)/M10%</f>
        <v>0</v>
      </c>
      <c r="P10" s="28" t="s">
        <v>6</v>
      </c>
      <c r="Q10" s="13"/>
    </row>
    <row r="11" spans="1:17" x14ac:dyDescent="0.25">
      <c r="A11" s="24">
        <v>2</v>
      </c>
      <c r="B11" s="25" t="s">
        <v>188</v>
      </c>
      <c r="C11" s="26">
        <v>8</v>
      </c>
      <c r="D11" s="26">
        <v>0</v>
      </c>
      <c r="E11" s="26">
        <v>0</v>
      </c>
      <c r="F11" s="136">
        <v>0</v>
      </c>
      <c r="G11" s="136">
        <f t="shared" si="3"/>
        <v>0</v>
      </c>
      <c r="H11" s="26">
        <v>0</v>
      </c>
      <c r="I11" s="26">
        <v>0</v>
      </c>
      <c r="J11" s="26">
        <v>0</v>
      </c>
      <c r="K11" s="136">
        <v>0</v>
      </c>
      <c r="L11" s="136">
        <v>0</v>
      </c>
      <c r="M11" s="27">
        <v>0</v>
      </c>
      <c r="N11" s="27">
        <v>0</v>
      </c>
      <c r="O11" s="136">
        <v>0</v>
      </c>
      <c r="P11" s="106">
        <v>0</v>
      </c>
      <c r="Q11" s="13"/>
    </row>
    <row r="12" spans="1:17" x14ac:dyDescent="0.25">
      <c r="A12" s="24">
        <v>3</v>
      </c>
      <c r="B12" s="25" t="s">
        <v>49</v>
      </c>
      <c r="C12" s="26">
        <v>27</v>
      </c>
      <c r="D12" s="26">
        <v>1</v>
      </c>
      <c r="E12" s="26">
        <v>1</v>
      </c>
      <c r="F12" s="136">
        <f t="shared" si="2"/>
        <v>0</v>
      </c>
      <c r="G12" s="136">
        <f t="shared" si="3"/>
        <v>3.7037037037037033</v>
      </c>
      <c r="H12" s="26">
        <v>35003</v>
      </c>
      <c r="I12" s="26">
        <v>2434</v>
      </c>
      <c r="J12" s="26">
        <v>2434</v>
      </c>
      <c r="K12" s="136">
        <f t="shared" si="4"/>
        <v>0</v>
      </c>
      <c r="L12" s="136">
        <f t="shared" ref="L12:L40" si="6">J12/H12%</f>
        <v>6.953689683741394</v>
      </c>
      <c r="M12" s="26">
        <v>109</v>
      </c>
      <c r="N12" s="26">
        <v>109</v>
      </c>
      <c r="O12" s="136">
        <f t="shared" si="5"/>
        <v>0</v>
      </c>
      <c r="P12" s="28" t="s">
        <v>4</v>
      </c>
      <c r="Q12" s="13"/>
    </row>
    <row r="13" spans="1:17" x14ac:dyDescent="0.25">
      <c r="A13" s="24">
        <v>4</v>
      </c>
      <c r="B13" s="25" t="s">
        <v>189</v>
      </c>
      <c r="C13" s="26">
        <v>10</v>
      </c>
      <c r="D13" s="26">
        <v>0</v>
      </c>
      <c r="E13" s="26">
        <v>0</v>
      </c>
      <c r="F13" s="136">
        <v>0</v>
      </c>
      <c r="G13" s="136">
        <f t="shared" si="3"/>
        <v>0</v>
      </c>
      <c r="H13" s="26">
        <v>0</v>
      </c>
      <c r="I13" s="26">
        <v>0</v>
      </c>
      <c r="J13" s="26">
        <v>0</v>
      </c>
      <c r="K13" s="136">
        <v>0</v>
      </c>
      <c r="L13" s="136">
        <v>0</v>
      </c>
      <c r="M13" s="27">
        <v>0</v>
      </c>
      <c r="N13" s="27">
        <v>0</v>
      </c>
      <c r="O13" s="136">
        <v>0</v>
      </c>
      <c r="P13" s="106">
        <v>0</v>
      </c>
      <c r="Q13" s="13"/>
    </row>
    <row r="14" spans="1:17" x14ac:dyDescent="0.25">
      <c r="A14" s="24">
        <v>5</v>
      </c>
      <c r="B14" s="25" t="s">
        <v>190</v>
      </c>
      <c r="C14" s="26">
        <v>12</v>
      </c>
      <c r="D14" s="26">
        <v>0</v>
      </c>
      <c r="E14" s="26">
        <v>0</v>
      </c>
      <c r="F14" s="136">
        <v>0</v>
      </c>
      <c r="G14" s="136">
        <f t="shared" si="3"/>
        <v>0</v>
      </c>
      <c r="H14" s="26">
        <v>0</v>
      </c>
      <c r="I14" s="26">
        <v>0</v>
      </c>
      <c r="J14" s="26">
        <v>0</v>
      </c>
      <c r="K14" s="136">
        <v>0</v>
      </c>
      <c r="L14" s="136">
        <v>0</v>
      </c>
      <c r="M14" s="27">
        <v>0</v>
      </c>
      <c r="N14" s="27">
        <v>0</v>
      </c>
      <c r="O14" s="136">
        <v>0</v>
      </c>
      <c r="P14" s="106">
        <v>0</v>
      </c>
      <c r="Q14" s="13"/>
    </row>
    <row r="15" spans="1:17" x14ac:dyDescent="0.25">
      <c r="A15" s="24">
        <v>6</v>
      </c>
      <c r="B15" s="25" t="s">
        <v>50</v>
      </c>
      <c r="C15" s="26">
        <v>13</v>
      </c>
      <c r="D15" s="26">
        <v>13</v>
      </c>
      <c r="E15" s="26">
        <v>13</v>
      </c>
      <c r="F15" s="136">
        <f t="shared" si="2"/>
        <v>0</v>
      </c>
      <c r="G15" s="136">
        <f t="shared" si="3"/>
        <v>100</v>
      </c>
      <c r="H15" s="26">
        <v>16691</v>
      </c>
      <c r="I15" s="26">
        <v>16048</v>
      </c>
      <c r="J15" s="26">
        <v>16444</v>
      </c>
      <c r="K15" s="136">
        <f t="shared" si="4"/>
        <v>2.4675972083748756</v>
      </c>
      <c r="L15" s="136">
        <f t="shared" si="6"/>
        <v>98.520160565574258</v>
      </c>
      <c r="M15" s="26">
        <v>676</v>
      </c>
      <c r="N15" s="26">
        <v>704</v>
      </c>
      <c r="O15" s="136">
        <f t="shared" si="5"/>
        <v>4.1420118343195265</v>
      </c>
      <c r="P15" s="28" t="s">
        <v>6</v>
      </c>
      <c r="Q15" s="13"/>
    </row>
    <row r="16" spans="1:17" x14ac:dyDescent="0.25">
      <c r="A16" s="24">
        <v>7</v>
      </c>
      <c r="B16" s="25" t="s">
        <v>191</v>
      </c>
      <c r="C16" s="26">
        <v>10</v>
      </c>
      <c r="D16" s="26">
        <v>0</v>
      </c>
      <c r="E16" s="26">
        <v>0</v>
      </c>
      <c r="F16" s="136">
        <v>0</v>
      </c>
      <c r="G16" s="136">
        <f t="shared" si="3"/>
        <v>0</v>
      </c>
      <c r="H16" s="26">
        <v>0</v>
      </c>
      <c r="I16" s="26">
        <v>0</v>
      </c>
      <c r="J16" s="26">
        <v>0</v>
      </c>
      <c r="K16" s="136">
        <v>0</v>
      </c>
      <c r="L16" s="136">
        <v>0</v>
      </c>
      <c r="M16" s="27">
        <v>0</v>
      </c>
      <c r="N16" s="27">
        <v>0</v>
      </c>
      <c r="O16" s="136">
        <v>0</v>
      </c>
      <c r="P16" s="106">
        <v>0</v>
      </c>
      <c r="Q16" s="13"/>
    </row>
    <row r="17" spans="1:17" x14ac:dyDescent="0.25">
      <c r="A17" s="24">
        <v>8</v>
      </c>
      <c r="B17" s="25" t="s">
        <v>51</v>
      </c>
      <c r="C17" s="26">
        <v>9</v>
      </c>
      <c r="D17" s="26">
        <v>9</v>
      </c>
      <c r="E17" s="26">
        <v>9</v>
      </c>
      <c r="F17" s="136">
        <f t="shared" si="2"/>
        <v>0</v>
      </c>
      <c r="G17" s="136">
        <f t="shared" si="3"/>
        <v>100</v>
      </c>
      <c r="H17" s="26">
        <v>16184</v>
      </c>
      <c r="I17" s="26">
        <v>7155</v>
      </c>
      <c r="J17" s="26">
        <v>7155</v>
      </c>
      <c r="K17" s="136">
        <f t="shared" si="4"/>
        <v>0</v>
      </c>
      <c r="L17" s="136">
        <f t="shared" si="6"/>
        <v>44.21033119130005</v>
      </c>
      <c r="M17" s="26">
        <v>477</v>
      </c>
      <c r="N17" s="26">
        <v>477</v>
      </c>
      <c r="O17" s="136">
        <f t="shared" si="5"/>
        <v>0</v>
      </c>
      <c r="P17" s="28" t="s">
        <v>4</v>
      </c>
      <c r="Q17" s="13"/>
    </row>
    <row r="18" spans="1:17" x14ac:dyDescent="0.25">
      <c r="A18" s="24">
        <v>9</v>
      </c>
      <c r="B18" s="25" t="s">
        <v>52</v>
      </c>
      <c r="C18" s="26">
        <v>46</v>
      </c>
      <c r="D18" s="26">
        <v>22</v>
      </c>
      <c r="E18" s="26">
        <v>29</v>
      </c>
      <c r="F18" s="136">
        <f t="shared" si="2"/>
        <v>31.818181818181817</v>
      </c>
      <c r="G18" s="136">
        <f t="shared" si="3"/>
        <v>63.043478260869563</v>
      </c>
      <c r="H18" s="26">
        <v>52664</v>
      </c>
      <c r="I18" s="26">
        <v>5659</v>
      </c>
      <c r="J18" s="26">
        <v>8739</v>
      </c>
      <c r="K18" s="136">
        <f t="shared" si="4"/>
        <v>54.426577133769214</v>
      </c>
      <c r="L18" s="136">
        <f t="shared" si="6"/>
        <v>16.593878171046637</v>
      </c>
      <c r="M18" s="26">
        <v>128</v>
      </c>
      <c r="N18" s="26">
        <v>163</v>
      </c>
      <c r="O18" s="136">
        <v>0</v>
      </c>
      <c r="P18" s="28" t="s">
        <v>4</v>
      </c>
      <c r="Q18" s="13"/>
    </row>
    <row r="19" spans="1:17" x14ac:dyDescent="0.25">
      <c r="A19" s="24">
        <v>10</v>
      </c>
      <c r="B19" s="25" t="s">
        <v>53</v>
      </c>
      <c r="C19" s="26">
        <v>18</v>
      </c>
      <c r="D19" s="26">
        <v>15</v>
      </c>
      <c r="E19" s="26">
        <v>15</v>
      </c>
      <c r="F19" s="136">
        <f t="shared" si="2"/>
        <v>0</v>
      </c>
      <c r="G19" s="136">
        <f t="shared" si="3"/>
        <v>83.333333333333343</v>
      </c>
      <c r="H19" s="26">
        <v>31396</v>
      </c>
      <c r="I19" s="26">
        <v>28829</v>
      </c>
      <c r="J19" s="26">
        <v>28829</v>
      </c>
      <c r="K19" s="136">
        <f t="shared" si="4"/>
        <v>0</v>
      </c>
      <c r="L19" s="136">
        <f t="shared" si="6"/>
        <v>91.823799210090456</v>
      </c>
      <c r="M19" s="26">
        <v>1870</v>
      </c>
      <c r="N19" s="26">
        <v>1870</v>
      </c>
      <c r="O19" s="136">
        <f t="shared" si="5"/>
        <v>0</v>
      </c>
      <c r="P19" s="28" t="s">
        <v>4</v>
      </c>
      <c r="Q19" s="13"/>
    </row>
    <row r="20" spans="1:17" x14ac:dyDescent="0.25">
      <c r="A20" s="24">
        <v>11</v>
      </c>
      <c r="B20" s="25" t="s">
        <v>54</v>
      </c>
      <c r="C20" s="26">
        <v>38</v>
      </c>
      <c r="D20" s="26">
        <v>38</v>
      </c>
      <c r="E20" s="26">
        <v>38</v>
      </c>
      <c r="F20" s="136">
        <f t="shared" si="2"/>
        <v>0</v>
      </c>
      <c r="G20" s="136">
        <f t="shared" si="3"/>
        <v>100</v>
      </c>
      <c r="H20" s="26">
        <v>70164</v>
      </c>
      <c r="I20" s="26">
        <v>38717</v>
      </c>
      <c r="J20" s="26">
        <v>39321</v>
      </c>
      <c r="K20" s="136">
        <f t="shared" si="4"/>
        <v>1.560038226102229</v>
      </c>
      <c r="L20" s="136">
        <f t="shared" si="6"/>
        <v>56.041559774243204</v>
      </c>
      <c r="M20" s="26">
        <v>1780</v>
      </c>
      <c r="N20" s="26">
        <v>1825</v>
      </c>
      <c r="O20" s="136">
        <f t="shared" si="5"/>
        <v>2.5280898876404492</v>
      </c>
      <c r="P20" s="28" t="s">
        <v>6</v>
      </c>
      <c r="Q20" s="13"/>
    </row>
    <row r="21" spans="1:17" x14ac:dyDescent="0.25">
      <c r="A21" s="24">
        <v>12</v>
      </c>
      <c r="B21" s="25" t="s">
        <v>55</v>
      </c>
      <c r="C21" s="26">
        <v>7</v>
      </c>
      <c r="D21" s="26">
        <v>7</v>
      </c>
      <c r="E21" s="26">
        <v>7</v>
      </c>
      <c r="F21" s="136">
        <f t="shared" si="2"/>
        <v>0</v>
      </c>
      <c r="G21" s="136">
        <f t="shared" si="3"/>
        <v>99.999999999999986</v>
      </c>
      <c r="H21" s="26">
        <v>14328.125</v>
      </c>
      <c r="I21" s="26">
        <v>10545</v>
      </c>
      <c r="J21" s="26">
        <v>12385</v>
      </c>
      <c r="K21" s="136">
        <f t="shared" si="4"/>
        <v>17.449027975343764</v>
      </c>
      <c r="L21" s="136">
        <f t="shared" si="6"/>
        <v>86.438386041439472</v>
      </c>
      <c r="M21" s="26">
        <v>703</v>
      </c>
      <c r="N21" s="26">
        <v>727</v>
      </c>
      <c r="O21" s="136">
        <f t="shared" si="5"/>
        <v>3.4139402560455192</v>
      </c>
      <c r="P21" s="28" t="s">
        <v>4</v>
      </c>
      <c r="Q21" s="13"/>
    </row>
    <row r="22" spans="1:17" x14ac:dyDescent="0.25">
      <c r="A22" s="24">
        <v>13</v>
      </c>
      <c r="B22" s="25" t="s">
        <v>56</v>
      </c>
      <c r="C22" s="26">
        <v>35</v>
      </c>
      <c r="D22" s="26">
        <v>27</v>
      </c>
      <c r="E22" s="26">
        <v>27</v>
      </c>
      <c r="F22" s="136">
        <f t="shared" si="2"/>
        <v>0</v>
      </c>
      <c r="G22" s="136">
        <f t="shared" si="3"/>
        <v>77.142857142857153</v>
      </c>
      <c r="H22" s="26">
        <v>60032</v>
      </c>
      <c r="I22" s="26">
        <v>25025</v>
      </c>
      <c r="J22" s="26">
        <v>28088</v>
      </c>
      <c r="K22" s="136">
        <f t="shared" si="4"/>
        <v>12.239760239760241</v>
      </c>
      <c r="L22" s="136">
        <f t="shared" si="6"/>
        <v>46.788379530916842</v>
      </c>
      <c r="M22" s="26">
        <v>1430</v>
      </c>
      <c r="N22" s="26">
        <v>1547</v>
      </c>
      <c r="O22" s="136">
        <f t="shared" si="5"/>
        <v>8.1818181818181817</v>
      </c>
      <c r="P22" s="28" t="s">
        <v>4</v>
      </c>
      <c r="Q22" s="13"/>
    </row>
    <row r="23" spans="1:17" x14ac:dyDescent="0.25">
      <c r="A23" s="24">
        <v>14</v>
      </c>
      <c r="B23" s="25" t="s">
        <v>192</v>
      </c>
      <c r="C23" s="26">
        <v>25</v>
      </c>
      <c r="D23" s="26">
        <v>0</v>
      </c>
      <c r="E23" s="26">
        <v>0</v>
      </c>
      <c r="F23" s="136">
        <v>0</v>
      </c>
      <c r="G23" s="136">
        <f t="shared" si="3"/>
        <v>0</v>
      </c>
      <c r="H23" s="26">
        <v>0</v>
      </c>
      <c r="I23" s="26">
        <v>0</v>
      </c>
      <c r="J23" s="26">
        <v>0</v>
      </c>
      <c r="K23" s="136">
        <v>0</v>
      </c>
      <c r="L23" s="136">
        <v>0</v>
      </c>
      <c r="M23" s="27">
        <v>0</v>
      </c>
      <c r="N23" s="27">
        <v>0</v>
      </c>
      <c r="O23" s="136">
        <v>0</v>
      </c>
      <c r="P23" s="106">
        <v>0</v>
      </c>
      <c r="Q23" s="13"/>
    </row>
    <row r="24" spans="1:17" x14ac:dyDescent="0.25">
      <c r="A24" s="24">
        <v>15</v>
      </c>
      <c r="B24" s="25" t="s">
        <v>57</v>
      </c>
      <c r="C24" s="26">
        <v>15</v>
      </c>
      <c r="D24" s="26">
        <v>13</v>
      </c>
      <c r="E24" s="26">
        <v>13</v>
      </c>
      <c r="F24" s="136">
        <f t="shared" si="2"/>
        <v>0</v>
      </c>
      <c r="G24" s="136">
        <f t="shared" si="3"/>
        <v>86.666666666666671</v>
      </c>
      <c r="H24" s="26">
        <v>28796</v>
      </c>
      <c r="I24" s="26">
        <v>19117</v>
      </c>
      <c r="J24" s="26">
        <v>19117</v>
      </c>
      <c r="K24" s="136">
        <f t="shared" si="4"/>
        <v>0</v>
      </c>
      <c r="L24" s="136">
        <f t="shared" si="6"/>
        <v>66.387692735102107</v>
      </c>
      <c r="M24" s="26">
        <v>1220</v>
      </c>
      <c r="N24" s="26">
        <v>1220</v>
      </c>
      <c r="O24" s="136">
        <f t="shared" si="5"/>
        <v>0</v>
      </c>
      <c r="P24" s="28" t="s">
        <v>4</v>
      </c>
      <c r="Q24" s="13"/>
    </row>
    <row r="25" spans="1:17" x14ac:dyDescent="0.25">
      <c r="A25" s="24">
        <v>16</v>
      </c>
      <c r="B25" s="25" t="s">
        <v>193</v>
      </c>
      <c r="C25" s="26">
        <v>8</v>
      </c>
      <c r="D25" s="26">
        <v>0</v>
      </c>
      <c r="E25" s="26">
        <v>0</v>
      </c>
      <c r="F25" s="136">
        <v>0</v>
      </c>
      <c r="G25" s="136">
        <f t="shared" si="3"/>
        <v>0</v>
      </c>
      <c r="H25" s="26">
        <v>0</v>
      </c>
      <c r="I25" s="26">
        <v>0</v>
      </c>
      <c r="J25" s="26">
        <v>0</v>
      </c>
      <c r="K25" s="136">
        <v>0</v>
      </c>
      <c r="L25" s="136">
        <v>0</v>
      </c>
      <c r="M25" s="27">
        <v>0</v>
      </c>
      <c r="N25" s="27">
        <v>0</v>
      </c>
      <c r="O25" s="136">
        <v>0</v>
      </c>
      <c r="P25" s="106">
        <v>0</v>
      </c>
      <c r="Q25" s="13"/>
    </row>
    <row r="26" spans="1:17" x14ac:dyDescent="0.25">
      <c r="A26" s="24">
        <v>17</v>
      </c>
      <c r="B26" s="25" t="s">
        <v>58</v>
      </c>
      <c r="C26" s="26">
        <v>22</v>
      </c>
      <c r="D26" s="26">
        <v>0</v>
      </c>
      <c r="E26" s="26">
        <v>0</v>
      </c>
      <c r="F26" s="136">
        <v>0</v>
      </c>
      <c r="G26" s="136">
        <f t="shared" si="3"/>
        <v>0</v>
      </c>
      <c r="H26" s="26">
        <v>34637</v>
      </c>
      <c r="I26" s="26">
        <v>0</v>
      </c>
      <c r="J26" s="26">
        <v>0</v>
      </c>
      <c r="K26" s="136">
        <v>0</v>
      </c>
      <c r="L26" s="136">
        <f t="shared" si="6"/>
        <v>0</v>
      </c>
      <c r="M26" s="26">
        <v>0</v>
      </c>
      <c r="N26" s="26">
        <v>0</v>
      </c>
      <c r="O26" s="136">
        <v>0</v>
      </c>
      <c r="P26" s="28" t="s">
        <v>6</v>
      </c>
      <c r="Q26" s="13"/>
    </row>
    <row r="27" spans="1:17" x14ac:dyDescent="0.25">
      <c r="A27" s="24">
        <v>18</v>
      </c>
      <c r="B27" s="25" t="s">
        <v>194</v>
      </c>
      <c r="C27" s="26">
        <v>20</v>
      </c>
      <c r="D27" s="26">
        <v>16</v>
      </c>
      <c r="E27" s="26">
        <v>20</v>
      </c>
      <c r="F27" s="136">
        <f t="shared" si="2"/>
        <v>25</v>
      </c>
      <c r="G27" s="136">
        <f t="shared" si="3"/>
        <v>100</v>
      </c>
      <c r="H27" s="26">
        <v>0</v>
      </c>
      <c r="I27" s="26">
        <v>960</v>
      </c>
      <c r="J27" s="26">
        <v>960</v>
      </c>
      <c r="K27" s="136">
        <f t="shared" si="4"/>
        <v>0</v>
      </c>
      <c r="L27" s="136">
        <v>0</v>
      </c>
      <c r="M27" s="26">
        <v>64</v>
      </c>
      <c r="N27" s="26">
        <v>64</v>
      </c>
      <c r="O27" s="136">
        <f t="shared" si="5"/>
        <v>0</v>
      </c>
      <c r="P27" s="106" t="s">
        <v>4</v>
      </c>
      <c r="Q27" s="13"/>
    </row>
    <row r="28" spans="1:17" x14ac:dyDescent="0.25">
      <c r="A28" s="24">
        <v>19</v>
      </c>
      <c r="B28" s="25" t="s">
        <v>59</v>
      </c>
      <c r="C28" s="26">
        <v>13</v>
      </c>
      <c r="D28" s="26">
        <v>13</v>
      </c>
      <c r="E28" s="26">
        <v>13</v>
      </c>
      <c r="F28" s="136">
        <f t="shared" si="2"/>
        <v>0</v>
      </c>
      <c r="G28" s="136">
        <f t="shared" si="3"/>
        <v>100</v>
      </c>
      <c r="H28" s="26">
        <v>18831</v>
      </c>
      <c r="I28" s="26">
        <v>18831</v>
      </c>
      <c r="J28" s="26">
        <v>18831</v>
      </c>
      <c r="K28" s="136">
        <f t="shared" si="4"/>
        <v>0</v>
      </c>
      <c r="L28" s="136">
        <f t="shared" si="6"/>
        <v>100</v>
      </c>
      <c r="M28" s="26">
        <v>1389</v>
      </c>
      <c r="N28" s="26">
        <v>1389</v>
      </c>
      <c r="O28" s="136">
        <f t="shared" si="5"/>
        <v>0</v>
      </c>
      <c r="P28" s="28" t="s">
        <v>4</v>
      </c>
      <c r="Q28" s="13"/>
    </row>
    <row r="29" spans="1:17" x14ac:dyDescent="0.25">
      <c r="A29" s="24">
        <v>20</v>
      </c>
      <c r="B29" s="25" t="s">
        <v>195</v>
      </c>
      <c r="C29" s="26">
        <v>10</v>
      </c>
      <c r="D29" s="26">
        <v>0</v>
      </c>
      <c r="E29" s="26">
        <v>0</v>
      </c>
      <c r="F29" s="136">
        <v>0</v>
      </c>
      <c r="G29" s="136">
        <f t="shared" si="3"/>
        <v>0</v>
      </c>
      <c r="H29" s="26">
        <v>0</v>
      </c>
      <c r="I29" s="26">
        <v>0</v>
      </c>
      <c r="J29" s="26">
        <v>0</v>
      </c>
      <c r="K29" s="136">
        <v>0</v>
      </c>
      <c r="L29" s="136">
        <v>0</v>
      </c>
      <c r="M29" s="27">
        <v>0</v>
      </c>
      <c r="N29" s="27">
        <v>0</v>
      </c>
      <c r="O29" s="136">
        <v>0</v>
      </c>
      <c r="P29" s="106">
        <v>0</v>
      </c>
      <c r="Q29" s="13"/>
    </row>
    <row r="30" spans="1:17" x14ac:dyDescent="0.25">
      <c r="A30" s="24">
        <v>21</v>
      </c>
      <c r="B30" s="25" t="s">
        <v>196</v>
      </c>
      <c r="C30" s="26">
        <v>24</v>
      </c>
      <c r="D30" s="26">
        <v>0</v>
      </c>
      <c r="E30" s="26">
        <v>0</v>
      </c>
      <c r="F30" s="136">
        <v>0</v>
      </c>
      <c r="G30" s="136">
        <f t="shared" si="3"/>
        <v>0</v>
      </c>
      <c r="H30" s="26">
        <v>0</v>
      </c>
      <c r="I30" s="26">
        <v>0</v>
      </c>
      <c r="J30" s="26">
        <v>0</v>
      </c>
      <c r="K30" s="136">
        <v>0</v>
      </c>
      <c r="L30" s="136">
        <v>0</v>
      </c>
      <c r="M30" s="27">
        <v>0</v>
      </c>
      <c r="N30" s="27">
        <v>0</v>
      </c>
      <c r="O30" s="136">
        <v>0</v>
      </c>
      <c r="P30" s="106">
        <v>0</v>
      </c>
      <c r="Q30" s="13"/>
    </row>
    <row r="31" spans="1:17" x14ac:dyDescent="0.25">
      <c r="A31" s="24">
        <v>22</v>
      </c>
      <c r="B31" s="25" t="s">
        <v>197</v>
      </c>
      <c r="C31" s="26">
        <v>10</v>
      </c>
      <c r="D31" s="26">
        <v>0</v>
      </c>
      <c r="E31" s="26">
        <v>0</v>
      </c>
      <c r="F31" s="136">
        <v>0</v>
      </c>
      <c r="G31" s="136">
        <f t="shared" si="3"/>
        <v>0</v>
      </c>
      <c r="H31" s="26">
        <v>0</v>
      </c>
      <c r="I31" s="26">
        <v>0</v>
      </c>
      <c r="J31" s="26">
        <v>0</v>
      </c>
      <c r="K31" s="136">
        <v>0</v>
      </c>
      <c r="L31" s="136">
        <v>0</v>
      </c>
      <c r="M31" s="27">
        <v>0</v>
      </c>
      <c r="N31" s="27">
        <v>0</v>
      </c>
      <c r="O31" s="136">
        <v>0</v>
      </c>
      <c r="P31" s="106">
        <v>0</v>
      </c>
      <c r="Q31" s="13"/>
    </row>
    <row r="32" spans="1:17" x14ac:dyDescent="0.25">
      <c r="A32" s="24">
        <v>23</v>
      </c>
      <c r="B32" s="25" t="s">
        <v>60</v>
      </c>
      <c r="C32" s="26">
        <v>16</v>
      </c>
      <c r="D32" s="26">
        <v>16</v>
      </c>
      <c r="E32" s="26">
        <v>16</v>
      </c>
      <c r="F32" s="136">
        <f t="shared" si="2"/>
        <v>0</v>
      </c>
      <c r="G32" s="136">
        <f t="shared" si="3"/>
        <v>100</v>
      </c>
      <c r="H32" s="26">
        <v>35703</v>
      </c>
      <c r="I32" s="26">
        <v>14892</v>
      </c>
      <c r="J32" s="26">
        <v>14892</v>
      </c>
      <c r="K32" s="136">
        <f t="shared" si="4"/>
        <v>0</v>
      </c>
      <c r="L32" s="136">
        <f t="shared" si="6"/>
        <v>41.710780606671712</v>
      </c>
      <c r="M32" s="26">
        <v>908</v>
      </c>
      <c r="N32" s="26">
        <v>908</v>
      </c>
      <c r="O32" s="136">
        <f t="shared" si="5"/>
        <v>0</v>
      </c>
      <c r="P32" s="28" t="s">
        <v>6</v>
      </c>
      <c r="Q32" s="13"/>
    </row>
    <row r="33" spans="1:17" x14ac:dyDescent="0.25">
      <c r="A33" s="24">
        <v>24</v>
      </c>
      <c r="B33" s="25" t="s">
        <v>61</v>
      </c>
      <c r="C33" s="26">
        <v>38</v>
      </c>
      <c r="D33" s="26">
        <v>35</v>
      </c>
      <c r="E33" s="26">
        <v>35</v>
      </c>
      <c r="F33" s="136">
        <f t="shared" si="2"/>
        <v>0</v>
      </c>
      <c r="G33" s="136">
        <f t="shared" si="3"/>
        <v>92.10526315789474</v>
      </c>
      <c r="H33" s="26">
        <v>55654</v>
      </c>
      <c r="I33" s="26">
        <v>17985</v>
      </c>
      <c r="J33" s="26">
        <v>18625</v>
      </c>
      <c r="K33" s="136">
        <f t="shared" si="4"/>
        <v>3.5585209897136503</v>
      </c>
      <c r="L33" s="136">
        <f t="shared" si="6"/>
        <v>33.465698781758725</v>
      </c>
      <c r="M33" s="26">
        <v>1146</v>
      </c>
      <c r="N33" s="26">
        <v>1186</v>
      </c>
      <c r="O33" s="136">
        <f t="shared" si="5"/>
        <v>3.490401396160558</v>
      </c>
      <c r="P33" s="28" t="s">
        <v>4</v>
      </c>
      <c r="Q33" s="13"/>
    </row>
    <row r="34" spans="1:17" x14ac:dyDescent="0.25">
      <c r="A34" s="24">
        <v>25</v>
      </c>
      <c r="B34" s="25" t="s">
        <v>201</v>
      </c>
      <c r="C34" s="26">
        <v>47</v>
      </c>
      <c r="D34" s="26">
        <v>5</v>
      </c>
      <c r="E34" s="26">
        <v>5</v>
      </c>
      <c r="F34" s="136">
        <f t="shared" si="2"/>
        <v>0</v>
      </c>
      <c r="G34" s="136">
        <f t="shared" si="3"/>
        <v>10.638297872340425</v>
      </c>
      <c r="H34" s="26">
        <v>0</v>
      </c>
      <c r="I34" s="26">
        <v>300</v>
      </c>
      <c r="J34" s="26">
        <v>540</v>
      </c>
      <c r="K34" s="136">
        <f t="shared" si="4"/>
        <v>80</v>
      </c>
      <c r="L34" s="136">
        <v>0</v>
      </c>
      <c r="M34" s="26">
        <v>20</v>
      </c>
      <c r="N34" s="26">
        <v>35</v>
      </c>
      <c r="O34" s="136">
        <f t="shared" si="5"/>
        <v>75</v>
      </c>
      <c r="P34" s="106" t="s">
        <v>4</v>
      </c>
      <c r="Q34" s="13"/>
    </row>
    <row r="35" spans="1:17" x14ac:dyDescent="0.25">
      <c r="A35" s="24">
        <v>26</v>
      </c>
      <c r="B35" s="25" t="s">
        <v>62</v>
      </c>
      <c r="C35" s="26">
        <v>7</v>
      </c>
      <c r="D35" s="26">
        <v>7</v>
      </c>
      <c r="E35" s="26">
        <v>7</v>
      </c>
      <c r="F35" s="136">
        <f t="shared" si="2"/>
        <v>0</v>
      </c>
      <c r="G35" s="136">
        <f t="shared" si="3"/>
        <v>99.999999999999986</v>
      </c>
      <c r="H35" s="26">
        <v>10608.311688311687</v>
      </c>
      <c r="I35" s="26">
        <v>2520</v>
      </c>
      <c r="J35" s="26">
        <v>2520</v>
      </c>
      <c r="K35" s="136">
        <f t="shared" si="4"/>
        <v>0</v>
      </c>
      <c r="L35" s="136">
        <f t="shared" si="6"/>
        <v>23.754958131335393</v>
      </c>
      <c r="M35" s="26">
        <v>118</v>
      </c>
      <c r="N35" s="26">
        <v>118</v>
      </c>
      <c r="O35" s="136">
        <f t="shared" si="5"/>
        <v>0</v>
      </c>
      <c r="P35" s="28" t="s">
        <v>4</v>
      </c>
      <c r="Q35" s="13"/>
    </row>
    <row r="36" spans="1:17" x14ac:dyDescent="0.25">
      <c r="A36" s="24">
        <v>27</v>
      </c>
      <c r="B36" s="25" t="s">
        <v>198</v>
      </c>
      <c r="C36" s="26">
        <v>11</v>
      </c>
      <c r="D36" s="26">
        <v>0</v>
      </c>
      <c r="E36" s="26">
        <v>0</v>
      </c>
      <c r="F36" s="136">
        <v>0</v>
      </c>
      <c r="G36" s="136">
        <f t="shared" si="3"/>
        <v>0</v>
      </c>
      <c r="H36" s="26">
        <v>0</v>
      </c>
      <c r="I36" s="26">
        <v>0</v>
      </c>
      <c r="J36" s="26">
        <v>0</v>
      </c>
      <c r="K36" s="136">
        <v>0</v>
      </c>
      <c r="L36" s="136">
        <v>0</v>
      </c>
      <c r="M36" s="27">
        <v>0</v>
      </c>
      <c r="N36" s="27">
        <v>0</v>
      </c>
      <c r="O36" s="136">
        <v>0</v>
      </c>
      <c r="P36" s="106">
        <v>0</v>
      </c>
      <c r="Q36" s="13"/>
    </row>
    <row r="37" spans="1:17" x14ac:dyDescent="0.25">
      <c r="A37" s="24">
        <v>28</v>
      </c>
      <c r="B37" s="25" t="s">
        <v>199</v>
      </c>
      <c r="C37" s="26">
        <v>9</v>
      </c>
      <c r="D37" s="26">
        <v>0</v>
      </c>
      <c r="E37" s="26">
        <v>0</v>
      </c>
      <c r="F37" s="136">
        <v>0</v>
      </c>
      <c r="G37" s="136">
        <f t="shared" si="3"/>
        <v>0</v>
      </c>
      <c r="H37" s="26">
        <v>0</v>
      </c>
      <c r="I37" s="26">
        <v>0</v>
      </c>
      <c r="J37" s="26">
        <v>0</v>
      </c>
      <c r="K37" s="136">
        <v>0</v>
      </c>
      <c r="L37" s="136">
        <v>0</v>
      </c>
      <c r="M37" s="27">
        <v>0</v>
      </c>
      <c r="N37" s="27">
        <v>0</v>
      </c>
      <c r="O37" s="136">
        <v>0</v>
      </c>
      <c r="P37" s="106">
        <v>0</v>
      </c>
      <c r="Q37" s="13"/>
    </row>
    <row r="38" spans="1:17" x14ac:dyDescent="0.25">
      <c r="A38" s="24">
        <v>29</v>
      </c>
      <c r="B38" s="25" t="s">
        <v>63</v>
      </c>
      <c r="C38" s="26">
        <v>21</v>
      </c>
      <c r="D38" s="26">
        <v>21</v>
      </c>
      <c r="E38" s="26">
        <v>21</v>
      </c>
      <c r="F38" s="136">
        <f t="shared" si="2"/>
        <v>0</v>
      </c>
      <c r="G38" s="136">
        <f t="shared" si="3"/>
        <v>100</v>
      </c>
      <c r="H38" s="26">
        <v>21117.688311688311</v>
      </c>
      <c r="I38" s="26">
        <v>18533</v>
      </c>
      <c r="J38" s="26">
        <v>19127</v>
      </c>
      <c r="K38" s="136">
        <f t="shared" si="4"/>
        <v>3.2050936167916686</v>
      </c>
      <c r="L38" s="136">
        <f t="shared" si="6"/>
        <v>90.573360671364313</v>
      </c>
      <c r="M38" s="26">
        <v>1055</v>
      </c>
      <c r="N38" s="26">
        <v>1084</v>
      </c>
      <c r="O38" s="136">
        <f t="shared" si="5"/>
        <v>2.7488151658767772</v>
      </c>
      <c r="P38" s="28" t="s">
        <v>4</v>
      </c>
      <c r="Q38" s="13"/>
    </row>
    <row r="39" spans="1:17" x14ac:dyDescent="0.25">
      <c r="A39" s="24">
        <v>30</v>
      </c>
      <c r="B39" s="45" t="s">
        <v>200</v>
      </c>
      <c r="C39" s="46">
        <v>10</v>
      </c>
      <c r="D39" s="46">
        <v>0</v>
      </c>
      <c r="E39" s="46">
        <v>0</v>
      </c>
      <c r="F39" s="136">
        <v>0</v>
      </c>
      <c r="G39" s="136">
        <f t="shared" si="3"/>
        <v>0</v>
      </c>
      <c r="H39" s="46">
        <v>0</v>
      </c>
      <c r="I39" s="46">
        <v>0</v>
      </c>
      <c r="J39" s="46">
        <v>0</v>
      </c>
      <c r="K39" s="136">
        <v>0</v>
      </c>
      <c r="L39" s="136">
        <v>0</v>
      </c>
      <c r="M39" s="48">
        <v>0</v>
      </c>
      <c r="N39" s="48">
        <v>0</v>
      </c>
      <c r="O39" s="136">
        <v>0</v>
      </c>
      <c r="P39" s="115">
        <v>0</v>
      </c>
      <c r="Q39" s="13"/>
    </row>
    <row r="40" spans="1:17" s="5" customFormat="1" ht="14.4" thickBot="1" x14ac:dyDescent="0.3">
      <c r="A40" s="29">
        <f>COUNTIF(P10:P39,"*")</f>
        <v>18</v>
      </c>
      <c r="B40" s="30" t="s">
        <v>46</v>
      </c>
      <c r="C40" s="31">
        <f t="shared" ref="C40:M40" si="7">SUM(C10:C39)</f>
        <v>547</v>
      </c>
      <c r="D40" s="31">
        <f>SUM(D10:D39)</f>
        <v>266</v>
      </c>
      <c r="E40" s="31">
        <f>SUM(E10:E39)</f>
        <v>277</v>
      </c>
      <c r="F40" s="136">
        <f t="shared" si="2"/>
        <v>4.1353383458646613</v>
      </c>
      <c r="G40" s="136">
        <f t="shared" si="3"/>
        <v>50.63985374771481</v>
      </c>
      <c r="H40" s="31">
        <f>SUM(H10:H39)</f>
        <v>523953.125</v>
      </c>
      <c r="I40" s="31">
        <f>SUM(I10:I39)</f>
        <v>236910</v>
      </c>
      <c r="J40" s="31">
        <f>SUM(J10:J39)</f>
        <v>247367</v>
      </c>
      <c r="K40" s="136">
        <f t="shared" si="4"/>
        <v>4.4139124562069982</v>
      </c>
      <c r="L40" s="136">
        <f t="shared" si="6"/>
        <v>47.211666119941547</v>
      </c>
      <c r="M40" s="31">
        <f t="shared" si="7"/>
        <v>13659</v>
      </c>
      <c r="N40" s="31">
        <f>SUM(N10:N39)</f>
        <v>13992</v>
      </c>
      <c r="O40" s="136">
        <f t="shared" si="5"/>
        <v>2.4379529980232815</v>
      </c>
      <c r="P40" s="32"/>
      <c r="Q40" s="13"/>
    </row>
    <row r="41" spans="1:17" ht="5.25" customHeight="1" thickBot="1" x14ac:dyDescent="0.35">
      <c r="A41" s="116"/>
      <c r="B41" s="117"/>
      <c r="C41" s="54"/>
      <c r="D41" s="53"/>
      <c r="E41" s="54"/>
      <c r="F41" s="139"/>
      <c r="G41" s="139"/>
      <c r="H41" s="54"/>
      <c r="I41" s="54"/>
      <c r="J41" s="54"/>
      <c r="K41" s="54"/>
      <c r="L41" s="54"/>
      <c r="M41" s="54"/>
      <c r="N41" s="54"/>
      <c r="O41" s="54"/>
      <c r="P41" s="118"/>
      <c r="Q41" s="13"/>
    </row>
    <row r="42" spans="1:17" s="6" customFormat="1" x14ac:dyDescent="0.25">
      <c r="A42" s="19" t="s">
        <v>64</v>
      </c>
      <c r="B42" s="20"/>
      <c r="C42" s="21"/>
      <c r="D42" s="35"/>
      <c r="E42" s="36"/>
      <c r="F42" s="138"/>
      <c r="G42" s="138"/>
      <c r="H42" s="21"/>
      <c r="I42" s="36"/>
      <c r="J42" s="36"/>
      <c r="K42" s="36"/>
      <c r="L42" s="36"/>
      <c r="M42" s="36"/>
      <c r="N42" s="36"/>
      <c r="O42" s="36"/>
      <c r="P42" s="23"/>
      <c r="Q42" s="13"/>
    </row>
    <row r="43" spans="1:17" x14ac:dyDescent="0.25">
      <c r="A43" s="24">
        <v>1</v>
      </c>
      <c r="B43" s="25" t="s">
        <v>65</v>
      </c>
      <c r="C43" s="26">
        <v>51</v>
      </c>
      <c r="D43" s="26">
        <v>48</v>
      </c>
      <c r="E43" s="26">
        <v>48</v>
      </c>
      <c r="F43" s="136">
        <f t="shared" ref="F43:F76" si="8">(E43-D43)/D43%</f>
        <v>0</v>
      </c>
      <c r="G43" s="136">
        <f t="shared" ref="G43:G76" si="9">E43/C43%</f>
        <v>94.117647058823522</v>
      </c>
      <c r="H43" s="26">
        <v>115585</v>
      </c>
      <c r="I43" s="26">
        <v>46600</v>
      </c>
      <c r="J43" s="26">
        <v>46600</v>
      </c>
      <c r="K43" s="136">
        <f t="shared" ref="K43:K76" si="10">(J43-I43)/I43%</f>
        <v>0</v>
      </c>
      <c r="L43" s="136">
        <f t="shared" ref="L43:L76" si="11">J43/H43%</f>
        <v>40.316650084353512</v>
      </c>
      <c r="M43" s="26">
        <v>1538</v>
      </c>
      <c r="N43" s="26">
        <v>1538</v>
      </c>
      <c r="O43" s="136">
        <f t="shared" ref="O43:O76" si="12">(N43-M43)/M43%</f>
        <v>0</v>
      </c>
      <c r="P43" s="28" t="s">
        <v>10</v>
      </c>
      <c r="Q43" s="13"/>
    </row>
    <row r="44" spans="1:17" x14ac:dyDescent="0.25">
      <c r="A44" s="24">
        <v>2</v>
      </c>
      <c r="B44" s="25" t="s">
        <v>214</v>
      </c>
      <c r="C44" s="26">
        <v>49</v>
      </c>
      <c r="D44" s="26">
        <v>0</v>
      </c>
      <c r="E44" s="26">
        <v>0</v>
      </c>
      <c r="F44" s="136">
        <v>0</v>
      </c>
      <c r="G44" s="136">
        <f t="shared" si="9"/>
        <v>0</v>
      </c>
      <c r="H44" s="26">
        <v>0</v>
      </c>
      <c r="I44" s="26">
        <v>0</v>
      </c>
      <c r="J44" s="26">
        <v>0</v>
      </c>
      <c r="K44" s="136">
        <v>0</v>
      </c>
      <c r="L44" s="136">
        <v>0</v>
      </c>
      <c r="M44" s="27">
        <v>0</v>
      </c>
      <c r="N44" s="27">
        <v>0</v>
      </c>
      <c r="O44" s="136">
        <v>0</v>
      </c>
      <c r="P44" s="106">
        <v>0</v>
      </c>
      <c r="Q44" s="13"/>
    </row>
    <row r="45" spans="1:17" x14ac:dyDescent="0.25">
      <c r="A45" s="24">
        <v>3</v>
      </c>
      <c r="B45" s="25" t="s">
        <v>66</v>
      </c>
      <c r="C45" s="26">
        <v>20</v>
      </c>
      <c r="D45" s="26">
        <v>20</v>
      </c>
      <c r="E45" s="26">
        <v>20</v>
      </c>
      <c r="F45" s="136">
        <f t="shared" si="8"/>
        <v>0</v>
      </c>
      <c r="G45" s="136">
        <f t="shared" si="9"/>
        <v>100</v>
      </c>
      <c r="H45" s="26">
        <v>46053</v>
      </c>
      <c r="I45" s="26">
        <v>33042</v>
      </c>
      <c r="J45" s="26">
        <v>33042</v>
      </c>
      <c r="K45" s="136">
        <f t="shared" si="10"/>
        <v>0</v>
      </c>
      <c r="L45" s="136">
        <f t="shared" si="11"/>
        <v>71.747768874991863</v>
      </c>
      <c r="M45" s="26">
        <v>1236</v>
      </c>
      <c r="N45" s="26">
        <v>1236</v>
      </c>
      <c r="O45" s="136">
        <f t="shared" si="12"/>
        <v>0</v>
      </c>
      <c r="P45" s="28" t="s">
        <v>10</v>
      </c>
      <c r="Q45" s="13"/>
    </row>
    <row r="46" spans="1:17" x14ac:dyDescent="0.25">
      <c r="A46" s="24">
        <v>4</v>
      </c>
      <c r="B46" s="25" t="s">
        <v>67</v>
      </c>
      <c r="C46" s="26">
        <v>27</v>
      </c>
      <c r="D46" s="26">
        <v>5</v>
      </c>
      <c r="E46" s="26">
        <v>5</v>
      </c>
      <c r="F46" s="136">
        <f t="shared" si="8"/>
        <v>0</v>
      </c>
      <c r="G46" s="136">
        <f t="shared" si="9"/>
        <v>18.518518518518519</v>
      </c>
      <c r="H46" s="26">
        <v>56591</v>
      </c>
      <c r="I46" s="26">
        <v>269</v>
      </c>
      <c r="J46" s="26">
        <v>269</v>
      </c>
      <c r="K46" s="136">
        <f t="shared" si="10"/>
        <v>0</v>
      </c>
      <c r="L46" s="136">
        <f t="shared" si="11"/>
        <v>0.475340601862487</v>
      </c>
      <c r="M46" s="26">
        <v>19</v>
      </c>
      <c r="N46" s="26">
        <v>19</v>
      </c>
      <c r="O46" s="136">
        <f t="shared" si="12"/>
        <v>0</v>
      </c>
      <c r="P46" s="28" t="s">
        <v>6</v>
      </c>
      <c r="Q46" s="13"/>
    </row>
    <row r="47" spans="1:17" x14ac:dyDescent="0.25">
      <c r="A47" s="24">
        <v>4</v>
      </c>
      <c r="B47" s="25" t="s">
        <v>68</v>
      </c>
      <c r="C47" s="26">
        <v>27</v>
      </c>
      <c r="D47" s="26">
        <v>15</v>
      </c>
      <c r="E47" s="26">
        <v>15</v>
      </c>
      <c r="F47" s="136">
        <f t="shared" si="8"/>
        <v>0</v>
      </c>
      <c r="G47" s="136">
        <f t="shared" si="9"/>
        <v>55.55555555555555</v>
      </c>
      <c r="H47" s="26">
        <v>56591</v>
      </c>
      <c r="I47" s="26">
        <v>2001</v>
      </c>
      <c r="J47" s="26">
        <v>2351</v>
      </c>
      <c r="K47" s="136">
        <f t="shared" si="10"/>
        <v>17.491254372813593</v>
      </c>
      <c r="L47" s="136">
        <f t="shared" si="11"/>
        <v>4.1543708363520704</v>
      </c>
      <c r="M47" s="26">
        <v>99</v>
      </c>
      <c r="N47" s="26">
        <v>112</v>
      </c>
      <c r="O47" s="136">
        <f t="shared" si="12"/>
        <v>13.131313131313131</v>
      </c>
      <c r="P47" s="28" t="s">
        <v>10</v>
      </c>
      <c r="Q47" s="13"/>
    </row>
    <row r="48" spans="1:17" x14ac:dyDescent="0.25">
      <c r="A48" s="24">
        <v>5</v>
      </c>
      <c r="B48" s="25" t="s">
        <v>69</v>
      </c>
      <c r="C48" s="26">
        <v>49</v>
      </c>
      <c r="D48" s="26">
        <v>28</v>
      </c>
      <c r="E48" s="26">
        <v>28</v>
      </c>
      <c r="F48" s="136">
        <f t="shared" si="8"/>
        <v>0</v>
      </c>
      <c r="G48" s="136">
        <f t="shared" si="9"/>
        <v>57.142857142857146</v>
      </c>
      <c r="H48" s="26">
        <v>102361</v>
      </c>
      <c r="I48" s="26">
        <v>12926</v>
      </c>
      <c r="J48" s="26">
        <v>12926</v>
      </c>
      <c r="K48" s="136">
        <f t="shared" si="10"/>
        <v>0</v>
      </c>
      <c r="L48" s="136">
        <f t="shared" si="11"/>
        <v>12.627856312462754</v>
      </c>
      <c r="M48" s="26">
        <v>736</v>
      </c>
      <c r="N48" s="26">
        <v>736</v>
      </c>
      <c r="O48" s="136">
        <f t="shared" si="12"/>
        <v>0</v>
      </c>
      <c r="P48" s="28" t="s">
        <v>6</v>
      </c>
      <c r="Q48" s="13"/>
    </row>
    <row r="49" spans="1:17" x14ac:dyDescent="0.25">
      <c r="A49" s="24">
        <v>5</v>
      </c>
      <c r="B49" s="25" t="s">
        <v>70</v>
      </c>
      <c r="C49" s="26">
        <v>49</v>
      </c>
      <c r="D49" s="26">
        <v>37</v>
      </c>
      <c r="E49" s="26">
        <v>37</v>
      </c>
      <c r="F49" s="136">
        <f t="shared" si="8"/>
        <v>0</v>
      </c>
      <c r="G49" s="136">
        <f t="shared" si="9"/>
        <v>75.510204081632651</v>
      </c>
      <c r="H49" s="26">
        <v>102361</v>
      </c>
      <c r="I49" s="26">
        <v>23000</v>
      </c>
      <c r="J49" s="26">
        <v>23693</v>
      </c>
      <c r="K49" s="136">
        <f t="shared" si="10"/>
        <v>3.0130434782608697</v>
      </c>
      <c r="L49" s="136">
        <f t="shared" si="11"/>
        <v>23.146510878166488</v>
      </c>
      <c r="M49" s="26">
        <v>889</v>
      </c>
      <c r="N49" s="26">
        <v>917</v>
      </c>
      <c r="O49" s="136">
        <f t="shared" si="12"/>
        <v>3.1496062992125982</v>
      </c>
      <c r="P49" s="28" t="s">
        <v>10</v>
      </c>
      <c r="Q49" s="13"/>
    </row>
    <row r="50" spans="1:17" x14ac:dyDescent="0.25">
      <c r="A50" s="24">
        <v>6</v>
      </c>
      <c r="B50" s="25" t="s">
        <v>71</v>
      </c>
      <c r="C50" s="26">
        <v>24</v>
      </c>
      <c r="D50" s="26">
        <v>24</v>
      </c>
      <c r="E50" s="26">
        <v>24</v>
      </c>
      <c r="F50" s="136">
        <f t="shared" si="8"/>
        <v>0</v>
      </c>
      <c r="G50" s="136">
        <f t="shared" si="9"/>
        <v>100</v>
      </c>
      <c r="H50" s="26">
        <v>36879</v>
      </c>
      <c r="I50" s="26">
        <v>33188</v>
      </c>
      <c r="J50" s="26">
        <v>33188</v>
      </c>
      <c r="K50" s="136">
        <f t="shared" si="10"/>
        <v>0</v>
      </c>
      <c r="L50" s="136">
        <f t="shared" si="11"/>
        <v>89.991594132161936</v>
      </c>
      <c r="M50" s="27">
        <v>1439</v>
      </c>
      <c r="N50" s="26">
        <v>1439</v>
      </c>
      <c r="O50" s="136">
        <f t="shared" si="12"/>
        <v>0</v>
      </c>
      <c r="P50" s="28" t="s">
        <v>3</v>
      </c>
      <c r="Q50" s="13"/>
    </row>
    <row r="51" spans="1:17" x14ac:dyDescent="0.25">
      <c r="A51" s="24">
        <v>6</v>
      </c>
      <c r="B51" s="25" t="s">
        <v>72</v>
      </c>
      <c r="C51" s="26">
        <v>24</v>
      </c>
      <c r="D51" s="26">
        <v>24</v>
      </c>
      <c r="E51" s="26">
        <v>24</v>
      </c>
      <c r="F51" s="136">
        <f t="shared" si="8"/>
        <v>0</v>
      </c>
      <c r="G51" s="136">
        <f t="shared" si="9"/>
        <v>100</v>
      </c>
      <c r="H51" s="26">
        <v>36879</v>
      </c>
      <c r="I51" s="26">
        <v>22842</v>
      </c>
      <c r="J51" s="26">
        <v>22842</v>
      </c>
      <c r="K51" s="136">
        <f t="shared" si="10"/>
        <v>0</v>
      </c>
      <c r="L51" s="136">
        <f t="shared" si="11"/>
        <v>61.937688115187498</v>
      </c>
      <c r="M51" s="26">
        <v>704</v>
      </c>
      <c r="N51" s="26">
        <v>704</v>
      </c>
      <c r="O51" s="136">
        <f t="shared" si="12"/>
        <v>0</v>
      </c>
      <c r="P51" s="28" t="s">
        <v>10</v>
      </c>
      <c r="Q51" s="13"/>
    </row>
    <row r="52" spans="1:17" x14ac:dyDescent="0.25">
      <c r="A52" s="24">
        <v>7</v>
      </c>
      <c r="B52" s="25" t="s">
        <v>73</v>
      </c>
      <c r="C52" s="26">
        <v>28</v>
      </c>
      <c r="D52" s="26">
        <v>19</v>
      </c>
      <c r="E52" s="26">
        <v>19</v>
      </c>
      <c r="F52" s="136">
        <f t="shared" si="8"/>
        <v>0</v>
      </c>
      <c r="G52" s="136">
        <f t="shared" si="9"/>
        <v>67.857142857142847</v>
      </c>
      <c r="H52" s="26">
        <v>70230</v>
      </c>
      <c r="I52" s="26">
        <v>27396</v>
      </c>
      <c r="J52" s="26">
        <v>27396</v>
      </c>
      <c r="K52" s="136">
        <f t="shared" si="10"/>
        <v>0</v>
      </c>
      <c r="L52" s="136">
        <f t="shared" si="11"/>
        <v>39.008970525416494</v>
      </c>
      <c r="M52" s="26">
        <v>1364</v>
      </c>
      <c r="N52" s="26">
        <v>1364</v>
      </c>
      <c r="O52" s="136">
        <f t="shared" si="12"/>
        <v>0</v>
      </c>
      <c r="P52" s="28" t="s">
        <v>10</v>
      </c>
      <c r="Q52" s="13"/>
    </row>
    <row r="53" spans="1:17" x14ac:dyDescent="0.25">
      <c r="A53" s="24">
        <v>8</v>
      </c>
      <c r="B53" s="25" t="s">
        <v>215</v>
      </c>
      <c r="C53" s="26">
        <v>37</v>
      </c>
      <c r="D53" s="26">
        <v>0</v>
      </c>
      <c r="E53" s="26">
        <v>0</v>
      </c>
      <c r="F53" s="136">
        <v>0</v>
      </c>
      <c r="G53" s="136">
        <f t="shared" si="9"/>
        <v>0</v>
      </c>
      <c r="H53" s="26">
        <v>0</v>
      </c>
      <c r="I53" s="26">
        <v>0</v>
      </c>
      <c r="J53" s="26">
        <v>0</v>
      </c>
      <c r="K53" s="136">
        <v>0</v>
      </c>
      <c r="L53" s="136">
        <v>0</v>
      </c>
      <c r="M53" s="27">
        <v>0</v>
      </c>
      <c r="N53" s="27">
        <v>0</v>
      </c>
      <c r="O53" s="136">
        <v>0</v>
      </c>
      <c r="P53" s="106">
        <v>0</v>
      </c>
      <c r="Q53" s="13"/>
    </row>
    <row r="54" spans="1:17" x14ac:dyDescent="0.25">
      <c r="A54" s="24">
        <v>9</v>
      </c>
      <c r="B54" s="25" t="s">
        <v>216</v>
      </c>
      <c r="C54" s="26">
        <v>47</v>
      </c>
      <c r="D54" s="26">
        <v>0</v>
      </c>
      <c r="E54" s="26">
        <v>0</v>
      </c>
      <c r="F54" s="136">
        <v>0</v>
      </c>
      <c r="G54" s="136">
        <f t="shared" si="9"/>
        <v>0</v>
      </c>
      <c r="H54" s="26">
        <v>0</v>
      </c>
      <c r="I54" s="26">
        <v>0</v>
      </c>
      <c r="J54" s="26">
        <v>0</v>
      </c>
      <c r="K54" s="136">
        <v>0</v>
      </c>
      <c r="L54" s="136">
        <v>0</v>
      </c>
      <c r="M54" s="27">
        <v>0</v>
      </c>
      <c r="N54" s="27">
        <v>0</v>
      </c>
      <c r="O54" s="136">
        <v>0</v>
      </c>
      <c r="P54" s="106">
        <v>0</v>
      </c>
      <c r="Q54" s="13"/>
    </row>
    <row r="55" spans="1:17" x14ac:dyDescent="0.25">
      <c r="A55" s="24">
        <v>10</v>
      </c>
      <c r="B55" s="25" t="s">
        <v>74</v>
      </c>
      <c r="C55" s="26">
        <v>19</v>
      </c>
      <c r="D55" s="26">
        <v>17</v>
      </c>
      <c r="E55" s="26">
        <v>17</v>
      </c>
      <c r="F55" s="136">
        <f t="shared" si="8"/>
        <v>0</v>
      </c>
      <c r="G55" s="136">
        <f t="shared" si="9"/>
        <v>89.473684210526315</v>
      </c>
      <c r="H55" s="26">
        <v>24536</v>
      </c>
      <c r="I55" s="26">
        <v>14204</v>
      </c>
      <c r="J55" s="26">
        <v>14204</v>
      </c>
      <c r="K55" s="136">
        <f t="shared" si="10"/>
        <v>0</v>
      </c>
      <c r="L55" s="136">
        <f t="shared" si="11"/>
        <v>57.890446690577107</v>
      </c>
      <c r="M55" s="26">
        <v>505</v>
      </c>
      <c r="N55" s="26">
        <v>505</v>
      </c>
      <c r="O55" s="136">
        <f t="shared" si="12"/>
        <v>0</v>
      </c>
      <c r="P55" s="28" t="s">
        <v>10</v>
      </c>
      <c r="Q55" s="13"/>
    </row>
    <row r="56" spans="1:17" x14ac:dyDescent="0.25">
      <c r="A56" s="24">
        <v>11</v>
      </c>
      <c r="B56" s="25" t="s">
        <v>75</v>
      </c>
      <c r="C56" s="26">
        <v>45</v>
      </c>
      <c r="D56" s="26">
        <v>4</v>
      </c>
      <c r="E56" s="26">
        <v>4</v>
      </c>
      <c r="F56" s="136">
        <f t="shared" si="8"/>
        <v>0</v>
      </c>
      <c r="G56" s="136">
        <f t="shared" si="9"/>
        <v>8.8888888888888893</v>
      </c>
      <c r="H56" s="26">
        <v>94383</v>
      </c>
      <c r="I56" s="26">
        <v>6406</v>
      </c>
      <c r="J56" s="26">
        <v>6518</v>
      </c>
      <c r="K56" s="136">
        <f t="shared" si="10"/>
        <v>1.7483609116453325</v>
      </c>
      <c r="L56" s="136">
        <f t="shared" si="11"/>
        <v>6.9059046650350169</v>
      </c>
      <c r="M56" s="26">
        <v>628</v>
      </c>
      <c r="N56" s="26">
        <v>638</v>
      </c>
      <c r="O56" s="136">
        <f t="shared" si="12"/>
        <v>1.592356687898089</v>
      </c>
      <c r="P56" s="28" t="s">
        <v>5</v>
      </c>
      <c r="Q56" s="13"/>
    </row>
    <row r="57" spans="1:17" x14ac:dyDescent="0.25">
      <c r="A57" s="24">
        <v>11</v>
      </c>
      <c r="B57" s="25" t="s">
        <v>76</v>
      </c>
      <c r="C57" s="26">
        <v>45</v>
      </c>
      <c r="D57" s="26">
        <v>37</v>
      </c>
      <c r="E57" s="26">
        <v>37</v>
      </c>
      <c r="F57" s="136">
        <f t="shared" si="8"/>
        <v>0</v>
      </c>
      <c r="G57" s="136">
        <f t="shared" si="9"/>
        <v>82.222222222222214</v>
      </c>
      <c r="H57" s="26">
        <v>94383</v>
      </c>
      <c r="I57" s="26">
        <v>39747</v>
      </c>
      <c r="J57" s="26">
        <v>39747</v>
      </c>
      <c r="K57" s="136">
        <f t="shared" si="10"/>
        <v>0</v>
      </c>
      <c r="L57" s="136">
        <f t="shared" si="11"/>
        <v>42.112456692412827</v>
      </c>
      <c r="M57" s="26">
        <v>1255</v>
      </c>
      <c r="N57" s="26">
        <v>1255</v>
      </c>
      <c r="O57" s="136">
        <f t="shared" si="12"/>
        <v>0</v>
      </c>
      <c r="P57" s="28" t="s">
        <v>10</v>
      </c>
      <c r="Q57" s="13"/>
    </row>
    <row r="58" spans="1:17" x14ac:dyDescent="0.25">
      <c r="A58" s="24">
        <v>12</v>
      </c>
      <c r="B58" s="25" t="s">
        <v>77</v>
      </c>
      <c r="C58" s="26">
        <v>21</v>
      </c>
      <c r="D58" s="26">
        <v>21</v>
      </c>
      <c r="E58" s="26">
        <v>21</v>
      </c>
      <c r="F58" s="136">
        <f t="shared" si="8"/>
        <v>0</v>
      </c>
      <c r="G58" s="136">
        <f t="shared" si="9"/>
        <v>100</v>
      </c>
      <c r="H58" s="26">
        <v>40734</v>
      </c>
      <c r="I58" s="26">
        <v>44954</v>
      </c>
      <c r="J58" s="26">
        <v>47380</v>
      </c>
      <c r="K58" s="136">
        <f t="shared" si="10"/>
        <v>5.3966276638341411</v>
      </c>
      <c r="L58" s="136">
        <f t="shared" si="11"/>
        <v>116.31560858251093</v>
      </c>
      <c r="M58" s="26">
        <v>1785</v>
      </c>
      <c r="N58" s="26">
        <v>1806</v>
      </c>
      <c r="O58" s="136">
        <f t="shared" si="12"/>
        <v>1.1764705882352939</v>
      </c>
      <c r="P58" s="28" t="s">
        <v>10</v>
      </c>
      <c r="Q58" s="13"/>
    </row>
    <row r="59" spans="1:17" x14ac:dyDescent="0.25">
      <c r="A59" s="24">
        <v>13</v>
      </c>
      <c r="B59" s="25" t="s">
        <v>78</v>
      </c>
      <c r="C59" s="26">
        <v>32</v>
      </c>
      <c r="D59" s="26">
        <v>29</v>
      </c>
      <c r="E59" s="26">
        <v>29</v>
      </c>
      <c r="F59" s="136">
        <f t="shared" si="8"/>
        <v>0</v>
      </c>
      <c r="G59" s="136">
        <f t="shared" si="9"/>
        <v>90.625</v>
      </c>
      <c r="H59" s="26">
        <v>55911</v>
      </c>
      <c r="I59" s="26">
        <v>56592</v>
      </c>
      <c r="J59" s="26">
        <v>56592</v>
      </c>
      <c r="K59" s="136">
        <f t="shared" si="10"/>
        <v>0</v>
      </c>
      <c r="L59" s="136">
        <f t="shared" si="11"/>
        <v>101.21800718999839</v>
      </c>
      <c r="M59" s="26">
        <v>2213</v>
      </c>
      <c r="N59" s="26">
        <v>2213</v>
      </c>
      <c r="O59" s="136">
        <f t="shared" si="12"/>
        <v>0</v>
      </c>
      <c r="P59" s="28" t="s">
        <v>10</v>
      </c>
      <c r="Q59" s="13"/>
    </row>
    <row r="60" spans="1:17" x14ac:dyDescent="0.25">
      <c r="A60" s="24">
        <v>14</v>
      </c>
      <c r="B60" s="25" t="s">
        <v>79</v>
      </c>
      <c r="C60" s="26">
        <v>38</v>
      </c>
      <c r="D60" s="26">
        <v>38</v>
      </c>
      <c r="E60" s="26">
        <v>38</v>
      </c>
      <c r="F60" s="136">
        <f t="shared" si="8"/>
        <v>0</v>
      </c>
      <c r="G60" s="136">
        <f t="shared" si="9"/>
        <v>100</v>
      </c>
      <c r="H60" s="26">
        <v>74041</v>
      </c>
      <c r="I60" s="26">
        <v>32334</v>
      </c>
      <c r="J60" s="26">
        <v>32572</v>
      </c>
      <c r="K60" s="136">
        <f t="shared" si="10"/>
        <v>0.73606729758149325</v>
      </c>
      <c r="L60" s="136">
        <f t="shared" si="11"/>
        <v>43.991842357612676</v>
      </c>
      <c r="M60" s="26">
        <v>1743</v>
      </c>
      <c r="N60" s="26">
        <v>1759</v>
      </c>
      <c r="O60" s="136">
        <f t="shared" si="12"/>
        <v>0.91795754446356859</v>
      </c>
      <c r="P60" s="28" t="s">
        <v>10</v>
      </c>
      <c r="Q60" s="13"/>
    </row>
    <row r="61" spans="1:17" x14ac:dyDescent="0.25">
      <c r="A61" s="24">
        <v>15</v>
      </c>
      <c r="B61" s="25" t="s">
        <v>218</v>
      </c>
      <c r="C61" s="26">
        <v>33</v>
      </c>
      <c r="D61" s="26">
        <v>0</v>
      </c>
      <c r="E61" s="26">
        <v>0</v>
      </c>
      <c r="F61" s="136">
        <v>0</v>
      </c>
      <c r="G61" s="136">
        <f t="shared" si="9"/>
        <v>0</v>
      </c>
      <c r="H61" s="26">
        <v>0</v>
      </c>
      <c r="I61" s="26">
        <v>0</v>
      </c>
      <c r="J61" s="26">
        <v>0</v>
      </c>
      <c r="K61" s="136">
        <v>0</v>
      </c>
      <c r="L61" s="136">
        <v>0</v>
      </c>
      <c r="M61" s="27">
        <v>0</v>
      </c>
      <c r="N61" s="27">
        <v>0</v>
      </c>
      <c r="O61" s="136">
        <v>0</v>
      </c>
      <c r="P61" s="106">
        <v>0</v>
      </c>
      <c r="Q61" s="13"/>
    </row>
    <row r="62" spans="1:17" x14ac:dyDescent="0.25">
      <c r="A62" s="24">
        <v>16</v>
      </c>
      <c r="B62" s="25" t="s">
        <v>80</v>
      </c>
      <c r="C62" s="26">
        <v>28</v>
      </c>
      <c r="D62" s="26">
        <v>25</v>
      </c>
      <c r="E62" s="26">
        <v>25</v>
      </c>
      <c r="F62" s="136">
        <f t="shared" si="8"/>
        <v>0</v>
      </c>
      <c r="G62" s="136">
        <f t="shared" si="9"/>
        <v>89.285714285714278</v>
      </c>
      <c r="H62" s="26">
        <v>45731</v>
      </c>
      <c r="I62" s="26">
        <v>21177</v>
      </c>
      <c r="J62" s="26">
        <v>22166</v>
      </c>
      <c r="K62" s="136">
        <f t="shared" si="10"/>
        <v>4.6701610237521836</v>
      </c>
      <c r="L62" s="136">
        <f t="shared" si="11"/>
        <v>48.470403008899872</v>
      </c>
      <c r="M62" s="26">
        <v>1506</v>
      </c>
      <c r="N62" s="26">
        <v>1551</v>
      </c>
      <c r="O62" s="136">
        <f t="shared" si="12"/>
        <v>2.9880478087649402</v>
      </c>
      <c r="P62" s="28" t="s">
        <v>6</v>
      </c>
      <c r="Q62" s="13"/>
    </row>
    <row r="63" spans="1:17" x14ac:dyDescent="0.25">
      <c r="A63" s="24">
        <v>16</v>
      </c>
      <c r="B63" s="25" t="s">
        <v>297</v>
      </c>
      <c r="C63" s="26">
        <v>28</v>
      </c>
      <c r="D63" s="26">
        <v>0</v>
      </c>
      <c r="E63" s="26">
        <v>12</v>
      </c>
      <c r="F63" s="136"/>
      <c r="G63" s="136"/>
      <c r="H63" s="26">
        <v>45731</v>
      </c>
      <c r="I63" s="26">
        <v>0</v>
      </c>
      <c r="J63" s="26">
        <v>2087</v>
      </c>
      <c r="K63" s="136">
        <v>0</v>
      </c>
      <c r="L63" s="136">
        <f t="shared" si="11"/>
        <v>4.5636439176925938</v>
      </c>
      <c r="M63" s="26">
        <v>0</v>
      </c>
      <c r="N63" s="26">
        <v>65</v>
      </c>
      <c r="O63" s="136">
        <v>0</v>
      </c>
      <c r="P63" s="28" t="s">
        <v>10</v>
      </c>
      <c r="Q63" s="13"/>
    </row>
    <row r="64" spans="1:17" x14ac:dyDescent="0.25">
      <c r="A64" s="24">
        <v>17</v>
      </c>
      <c r="B64" s="25" t="s">
        <v>81</v>
      </c>
      <c r="C64" s="26">
        <v>59</v>
      </c>
      <c r="D64" s="26">
        <v>55</v>
      </c>
      <c r="E64" s="26">
        <v>55</v>
      </c>
      <c r="F64" s="136">
        <f t="shared" si="8"/>
        <v>0</v>
      </c>
      <c r="G64" s="136">
        <f t="shared" si="9"/>
        <v>93.220338983050851</v>
      </c>
      <c r="H64" s="26">
        <v>167833</v>
      </c>
      <c r="I64" s="26">
        <v>99118</v>
      </c>
      <c r="J64" s="26">
        <v>99118</v>
      </c>
      <c r="K64" s="136">
        <f t="shared" si="10"/>
        <v>0</v>
      </c>
      <c r="L64" s="136">
        <f t="shared" si="11"/>
        <v>59.057515506485615</v>
      </c>
      <c r="M64" s="26">
        <v>3416</v>
      </c>
      <c r="N64" s="26">
        <v>3416</v>
      </c>
      <c r="O64" s="136">
        <f t="shared" si="12"/>
        <v>0</v>
      </c>
      <c r="P64" s="28" t="s">
        <v>10</v>
      </c>
      <c r="Q64" s="13"/>
    </row>
    <row r="65" spans="1:17" x14ac:dyDescent="0.25">
      <c r="A65" s="24">
        <v>18</v>
      </c>
      <c r="B65" s="25" t="s">
        <v>82</v>
      </c>
      <c r="C65" s="26">
        <v>75</v>
      </c>
      <c r="D65" s="26">
        <v>63</v>
      </c>
      <c r="E65" s="26">
        <v>63</v>
      </c>
      <c r="F65" s="136">
        <f t="shared" si="8"/>
        <v>0</v>
      </c>
      <c r="G65" s="136">
        <f t="shared" si="9"/>
        <v>84</v>
      </c>
      <c r="H65" s="26">
        <v>141386</v>
      </c>
      <c r="I65" s="26">
        <v>33150</v>
      </c>
      <c r="J65" s="26">
        <v>35965</v>
      </c>
      <c r="K65" s="136">
        <f t="shared" si="10"/>
        <v>8.4917043740573153</v>
      </c>
      <c r="L65" s="136">
        <f t="shared" si="11"/>
        <v>25.437454910670084</v>
      </c>
      <c r="M65" s="26">
        <v>2330</v>
      </c>
      <c r="N65" s="26">
        <v>2520</v>
      </c>
      <c r="O65" s="136">
        <f t="shared" si="12"/>
        <v>8.1545064377682408</v>
      </c>
      <c r="P65" s="28" t="s">
        <v>6</v>
      </c>
      <c r="Q65" s="13"/>
    </row>
    <row r="66" spans="1:17" x14ac:dyDescent="0.25">
      <c r="A66" s="24">
        <v>18</v>
      </c>
      <c r="B66" s="25" t="s">
        <v>83</v>
      </c>
      <c r="C66" s="26">
        <v>75</v>
      </c>
      <c r="D66" s="26">
        <v>20</v>
      </c>
      <c r="E66" s="26">
        <v>20</v>
      </c>
      <c r="F66" s="136">
        <f t="shared" si="8"/>
        <v>0</v>
      </c>
      <c r="G66" s="136">
        <f t="shared" si="9"/>
        <v>26.666666666666668</v>
      </c>
      <c r="H66" s="26">
        <v>141386</v>
      </c>
      <c r="I66" s="26">
        <v>30656</v>
      </c>
      <c r="J66" s="26">
        <v>34475</v>
      </c>
      <c r="K66" s="136">
        <f t="shared" si="10"/>
        <v>12.45759394572025</v>
      </c>
      <c r="L66" s="136">
        <f t="shared" si="11"/>
        <v>24.383602336865039</v>
      </c>
      <c r="M66" s="26">
        <v>1425</v>
      </c>
      <c r="N66" s="26">
        <v>1516</v>
      </c>
      <c r="O66" s="136">
        <f t="shared" si="12"/>
        <v>6.3859649122807021</v>
      </c>
      <c r="P66" s="28" t="s">
        <v>10</v>
      </c>
      <c r="Q66" s="13"/>
    </row>
    <row r="67" spans="1:17" x14ac:dyDescent="0.25">
      <c r="A67" s="24">
        <v>19</v>
      </c>
      <c r="B67" s="25" t="s">
        <v>84</v>
      </c>
      <c r="C67" s="26">
        <v>48</v>
      </c>
      <c r="D67" s="26">
        <v>10</v>
      </c>
      <c r="E67" s="26">
        <v>10</v>
      </c>
      <c r="F67" s="136">
        <f t="shared" si="8"/>
        <v>0</v>
      </c>
      <c r="G67" s="136">
        <f t="shared" si="9"/>
        <v>20.833333333333336</v>
      </c>
      <c r="H67" s="26">
        <v>84851</v>
      </c>
      <c r="I67" s="26">
        <v>14863</v>
      </c>
      <c r="J67" s="26">
        <v>15461</v>
      </c>
      <c r="K67" s="136">
        <f t="shared" si="10"/>
        <v>4.0234138464643747</v>
      </c>
      <c r="L67" s="136">
        <f t="shared" si="11"/>
        <v>18.221352724187106</v>
      </c>
      <c r="M67" s="26">
        <v>629</v>
      </c>
      <c r="N67" s="26">
        <v>667</v>
      </c>
      <c r="O67" s="136">
        <f t="shared" si="12"/>
        <v>6.0413354531001593</v>
      </c>
      <c r="P67" s="28" t="s">
        <v>10</v>
      </c>
      <c r="Q67" s="13"/>
    </row>
    <row r="68" spans="1:17" x14ac:dyDescent="0.25">
      <c r="A68" s="24">
        <v>19</v>
      </c>
      <c r="B68" s="25" t="s">
        <v>296</v>
      </c>
      <c r="C68" s="26">
        <v>48</v>
      </c>
      <c r="D68" s="26">
        <v>0</v>
      </c>
      <c r="E68" s="26">
        <v>13</v>
      </c>
      <c r="F68" s="136">
        <v>0</v>
      </c>
      <c r="G68" s="136">
        <f t="shared" ref="G68" si="13">E68/C68%</f>
        <v>27.083333333333336</v>
      </c>
      <c r="H68" s="26">
        <v>84851</v>
      </c>
      <c r="I68" s="26">
        <v>0</v>
      </c>
      <c r="J68" s="26">
        <v>2163</v>
      </c>
      <c r="K68" s="136">
        <v>0</v>
      </c>
      <c r="L68" s="136">
        <f t="shared" ref="L68" si="14">J68/H68%</f>
        <v>2.5491744351863854</v>
      </c>
      <c r="M68" s="26">
        <v>0</v>
      </c>
      <c r="N68" s="26">
        <v>101</v>
      </c>
      <c r="O68" s="136">
        <v>0</v>
      </c>
      <c r="P68" s="28" t="s">
        <v>6</v>
      </c>
      <c r="Q68" s="13"/>
    </row>
    <row r="69" spans="1:17" x14ac:dyDescent="0.25">
      <c r="A69" s="24">
        <v>20</v>
      </c>
      <c r="B69" s="25" t="s">
        <v>85</v>
      </c>
      <c r="C69" s="26">
        <v>67</v>
      </c>
      <c r="D69" s="26">
        <v>10</v>
      </c>
      <c r="E69" s="26">
        <v>10</v>
      </c>
      <c r="F69" s="136">
        <f t="shared" si="8"/>
        <v>0</v>
      </c>
      <c r="G69" s="136">
        <f t="shared" si="9"/>
        <v>14.925373134328357</v>
      </c>
      <c r="H69" s="26">
        <v>132070</v>
      </c>
      <c r="I69" s="26">
        <v>11403</v>
      </c>
      <c r="J69" s="26">
        <v>11403</v>
      </c>
      <c r="K69" s="136">
        <f t="shared" si="10"/>
        <v>0</v>
      </c>
      <c r="L69" s="136">
        <f t="shared" si="11"/>
        <v>8.6340576966760043</v>
      </c>
      <c r="M69" s="26">
        <v>509</v>
      </c>
      <c r="N69" s="26">
        <v>509</v>
      </c>
      <c r="O69" s="136">
        <f t="shared" si="12"/>
        <v>0</v>
      </c>
      <c r="P69" s="28" t="s">
        <v>10</v>
      </c>
      <c r="Q69" s="13"/>
    </row>
    <row r="70" spans="1:17" x14ac:dyDescent="0.25">
      <c r="A70" s="24">
        <v>21</v>
      </c>
      <c r="B70" s="25" t="s">
        <v>86</v>
      </c>
      <c r="C70" s="26">
        <v>28</v>
      </c>
      <c r="D70" s="26">
        <v>18</v>
      </c>
      <c r="E70" s="26">
        <v>20</v>
      </c>
      <c r="F70" s="136">
        <f t="shared" si="8"/>
        <v>11.111111111111111</v>
      </c>
      <c r="G70" s="136">
        <f t="shared" si="9"/>
        <v>71.428571428571416</v>
      </c>
      <c r="H70" s="26">
        <v>53994</v>
      </c>
      <c r="I70" s="26">
        <v>21250</v>
      </c>
      <c r="J70" s="26">
        <v>22049</v>
      </c>
      <c r="K70" s="136">
        <f t="shared" si="10"/>
        <v>3.76</v>
      </c>
      <c r="L70" s="136">
        <f t="shared" si="11"/>
        <v>40.836018816905579</v>
      </c>
      <c r="M70" s="26">
        <v>1250</v>
      </c>
      <c r="N70" s="26">
        <v>1297</v>
      </c>
      <c r="O70" s="136">
        <f t="shared" si="12"/>
        <v>3.76</v>
      </c>
      <c r="P70" s="28" t="s">
        <v>10</v>
      </c>
      <c r="Q70" s="13"/>
    </row>
    <row r="71" spans="1:17" x14ac:dyDescent="0.25">
      <c r="A71" s="24">
        <v>22</v>
      </c>
      <c r="B71" s="25" t="s">
        <v>87</v>
      </c>
      <c r="C71" s="26">
        <v>55</v>
      </c>
      <c r="D71" s="26">
        <v>4</v>
      </c>
      <c r="E71" s="26">
        <v>4</v>
      </c>
      <c r="F71" s="136">
        <f t="shared" si="8"/>
        <v>0</v>
      </c>
      <c r="G71" s="136">
        <f t="shared" si="9"/>
        <v>7.2727272727272725</v>
      </c>
      <c r="H71" s="26">
        <v>112083</v>
      </c>
      <c r="I71" s="26">
        <v>7120</v>
      </c>
      <c r="J71" s="26">
        <v>7177</v>
      </c>
      <c r="K71" s="136">
        <f t="shared" si="10"/>
        <v>0.800561797752809</v>
      </c>
      <c r="L71" s="136">
        <f t="shared" si="11"/>
        <v>6.4032904187075657</v>
      </c>
      <c r="M71" s="26">
        <v>542</v>
      </c>
      <c r="N71" s="26">
        <v>549</v>
      </c>
      <c r="O71" s="136">
        <f t="shared" si="12"/>
        <v>1.2915129151291513</v>
      </c>
      <c r="P71" s="28" t="s">
        <v>5</v>
      </c>
      <c r="Q71" s="13"/>
    </row>
    <row r="72" spans="1:17" x14ac:dyDescent="0.25">
      <c r="A72" s="24">
        <v>22</v>
      </c>
      <c r="B72" s="25" t="s">
        <v>88</v>
      </c>
      <c r="C72" s="26">
        <v>55</v>
      </c>
      <c r="D72" s="26">
        <v>38</v>
      </c>
      <c r="E72" s="26">
        <v>38</v>
      </c>
      <c r="F72" s="136">
        <f t="shared" si="8"/>
        <v>0</v>
      </c>
      <c r="G72" s="136">
        <f t="shared" si="9"/>
        <v>69.090909090909079</v>
      </c>
      <c r="H72" s="26">
        <v>112083</v>
      </c>
      <c r="I72" s="26">
        <v>23739</v>
      </c>
      <c r="J72" s="26">
        <v>23739</v>
      </c>
      <c r="K72" s="136">
        <f t="shared" si="10"/>
        <v>0</v>
      </c>
      <c r="L72" s="136">
        <f t="shared" si="11"/>
        <v>21.179839940044431</v>
      </c>
      <c r="M72" s="26">
        <v>1519</v>
      </c>
      <c r="N72" s="26">
        <v>1519</v>
      </c>
      <c r="O72" s="136">
        <f t="shared" si="12"/>
        <v>0</v>
      </c>
      <c r="P72" s="28" t="s">
        <v>6</v>
      </c>
      <c r="Q72" s="13"/>
    </row>
    <row r="73" spans="1:17" x14ac:dyDescent="0.25">
      <c r="A73" s="24">
        <v>23</v>
      </c>
      <c r="B73" s="25" t="s">
        <v>89</v>
      </c>
      <c r="C73" s="26">
        <v>65</v>
      </c>
      <c r="D73" s="26">
        <v>19</v>
      </c>
      <c r="E73" s="26">
        <v>19</v>
      </c>
      <c r="F73" s="136">
        <f t="shared" si="8"/>
        <v>0</v>
      </c>
      <c r="G73" s="136">
        <f t="shared" si="9"/>
        <v>29.23076923076923</v>
      </c>
      <c r="H73" s="26">
        <v>125377</v>
      </c>
      <c r="I73" s="26">
        <v>6488</v>
      </c>
      <c r="J73" s="26">
        <v>6488</v>
      </c>
      <c r="K73" s="136">
        <f t="shared" si="10"/>
        <v>0</v>
      </c>
      <c r="L73" s="136">
        <f t="shared" si="11"/>
        <v>5.1747928248402815</v>
      </c>
      <c r="M73" s="26">
        <v>298</v>
      </c>
      <c r="N73" s="26">
        <v>298</v>
      </c>
      <c r="O73" s="136">
        <f t="shared" si="12"/>
        <v>0</v>
      </c>
      <c r="P73" s="28" t="s">
        <v>6</v>
      </c>
      <c r="Q73" s="13"/>
    </row>
    <row r="74" spans="1:17" x14ac:dyDescent="0.25">
      <c r="A74" s="24">
        <v>23</v>
      </c>
      <c r="B74" s="25" t="s">
        <v>90</v>
      </c>
      <c r="C74" s="26">
        <v>65</v>
      </c>
      <c r="D74" s="26">
        <v>51</v>
      </c>
      <c r="E74" s="26">
        <v>51</v>
      </c>
      <c r="F74" s="136">
        <f t="shared" si="8"/>
        <v>0</v>
      </c>
      <c r="G74" s="136">
        <f t="shared" si="9"/>
        <v>78.461538461538453</v>
      </c>
      <c r="H74" s="26">
        <v>125377</v>
      </c>
      <c r="I74" s="26">
        <v>8097</v>
      </c>
      <c r="J74" s="26">
        <v>9420</v>
      </c>
      <c r="K74" s="136">
        <f t="shared" si="10"/>
        <v>16.339384957391626</v>
      </c>
      <c r="L74" s="136">
        <f t="shared" si="11"/>
        <v>7.5133397672619378</v>
      </c>
      <c r="M74" s="26">
        <v>333</v>
      </c>
      <c r="N74" s="26">
        <v>390</v>
      </c>
      <c r="O74" s="136">
        <f t="shared" si="12"/>
        <v>17.117117117117118</v>
      </c>
      <c r="P74" s="28" t="s">
        <v>10</v>
      </c>
      <c r="Q74" s="13"/>
    </row>
    <row r="75" spans="1:17" x14ac:dyDescent="0.25">
      <c r="A75" s="44">
        <v>24</v>
      </c>
      <c r="B75" s="45" t="s">
        <v>217</v>
      </c>
      <c r="C75" s="46">
        <v>16</v>
      </c>
      <c r="D75" s="46">
        <v>0</v>
      </c>
      <c r="E75" s="46">
        <v>0</v>
      </c>
      <c r="F75" s="136">
        <v>0</v>
      </c>
      <c r="G75" s="136">
        <f t="shared" si="9"/>
        <v>0</v>
      </c>
      <c r="H75" s="46">
        <v>0</v>
      </c>
      <c r="I75" s="46">
        <v>0</v>
      </c>
      <c r="J75" s="46">
        <v>0</v>
      </c>
      <c r="K75" s="136">
        <v>0</v>
      </c>
      <c r="L75" s="136">
        <v>0</v>
      </c>
      <c r="M75" s="48">
        <v>0</v>
      </c>
      <c r="N75" s="48"/>
      <c r="O75" s="136">
        <v>0</v>
      </c>
      <c r="P75" s="115">
        <v>0</v>
      </c>
      <c r="Q75" s="13"/>
    </row>
    <row r="76" spans="1:17" s="5" customFormat="1" ht="14.4" thickBot="1" x14ac:dyDescent="0.3">
      <c r="A76" s="29">
        <f>COUNTIF(P43:P75,"*")-9</f>
        <v>19</v>
      </c>
      <c r="B76" s="30" t="s">
        <v>91</v>
      </c>
      <c r="C76" s="31">
        <f>SUM(C43:C75)-(C47+C48+C51+C56+C66+C71+C74+C67+C63)</f>
        <v>961</v>
      </c>
      <c r="D76" s="31">
        <f>SUM(D43:D75)-(D47+D48+D51+D56+D66+D71+D74+D67+D63)</f>
        <v>523</v>
      </c>
      <c r="E76" s="31">
        <f>SUM(E43:E75)-(E47+E48+E51+E56+E66+E71+E74+E67+E63)</f>
        <v>538</v>
      </c>
      <c r="F76" s="136">
        <f t="shared" si="8"/>
        <v>2.8680688336520075</v>
      </c>
      <c r="G76" s="136">
        <f t="shared" si="9"/>
        <v>55.983350676378777</v>
      </c>
      <c r="H76" s="31">
        <f>SUM(H43:H75)-(H47+H48+H51+H56+H66+H71+H74+H67+H63)</f>
        <v>1580629</v>
      </c>
      <c r="I76" s="31">
        <f>SUM(I43:I75)</f>
        <v>672562</v>
      </c>
      <c r="J76" s="31">
        <f>SUM(J43:J75)</f>
        <v>691031</v>
      </c>
      <c r="K76" s="136">
        <f t="shared" si="10"/>
        <v>2.746066533642995</v>
      </c>
      <c r="L76" s="136">
        <f t="shared" si="11"/>
        <v>43.718734756859448</v>
      </c>
      <c r="M76" s="31">
        <f>SUM(M43:M75)</f>
        <v>29910</v>
      </c>
      <c r="N76" s="31">
        <f>SUM(N43:N75)</f>
        <v>30639</v>
      </c>
      <c r="O76" s="136">
        <f t="shared" si="12"/>
        <v>2.437311935807422</v>
      </c>
      <c r="P76" s="32"/>
      <c r="Q76" s="13"/>
    </row>
    <row r="77" spans="1:17" ht="8.25" customHeight="1" thickBot="1" x14ac:dyDescent="0.35">
      <c r="A77" s="14"/>
      <c r="B77" s="15"/>
      <c r="C77" s="70"/>
      <c r="D77" s="33"/>
      <c r="E77" s="34"/>
      <c r="F77" s="137"/>
      <c r="G77" s="137"/>
      <c r="H77" s="70"/>
      <c r="I77" s="34"/>
      <c r="J77" s="34"/>
      <c r="K77" s="34"/>
      <c r="L77" s="34"/>
      <c r="M77" s="34"/>
      <c r="N77" s="34"/>
      <c r="O77" s="34"/>
      <c r="P77" s="16"/>
      <c r="Q77" s="13"/>
    </row>
    <row r="78" spans="1:17" s="6" customFormat="1" x14ac:dyDescent="0.25">
      <c r="A78" s="19" t="s">
        <v>92</v>
      </c>
      <c r="B78" s="20"/>
      <c r="C78" s="21"/>
      <c r="D78" s="35"/>
      <c r="E78" s="36"/>
      <c r="F78" s="138"/>
      <c r="G78" s="138"/>
      <c r="H78" s="21"/>
      <c r="I78" s="36"/>
      <c r="J78" s="36"/>
      <c r="K78" s="36"/>
      <c r="L78" s="36"/>
      <c r="M78" s="36"/>
      <c r="N78" s="36"/>
      <c r="O78" s="36"/>
      <c r="P78" s="23"/>
      <c r="Q78" s="13"/>
    </row>
    <row r="79" spans="1:17" ht="14.4" x14ac:dyDescent="0.3">
      <c r="A79" s="24">
        <v>1</v>
      </c>
      <c r="B79" s="25" t="s">
        <v>93</v>
      </c>
      <c r="C79" s="26">
        <v>46</v>
      </c>
      <c r="D79" s="26">
        <v>46</v>
      </c>
      <c r="E79" s="26">
        <v>46</v>
      </c>
      <c r="F79" s="136">
        <f t="shared" ref="F79:F102" si="15">(E79-D79)/D79%</f>
        <v>0</v>
      </c>
      <c r="G79" s="136">
        <f t="shared" ref="G79:G102" si="16">E79/C79%</f>
        <v>100</v>
      </c>
      <c r="H79" s="37">
        <v>185266</v>
      </c>
      <c r="I79" s="26">
        <v>72248</v>
      </c>
      <c r="J79" s="26">
        <v>73186</v>
      </c>
      <c r="K79" s="136">
        <f t="shared" ref="K79:K102" si="17">(J79-I79)/I79%</f>
        <v>1.2983058354556527</v>
      </c>
      <c r="L79" s="136">
        <f t="shared" ref="L79:L102" si="18">J79/H79%</f>
        <v>39.503200803169499</v>
      </c>
      <c r="M79" s="26">
        <v>3886</v>
      </c>
      <c r="N79" s="26">
        <v>3930</v>
      </c>
      <c r="O79" s="136">
        <f t="shared" ref="O79:O102" si="19">(N79-M79)/M79%</f>
        <v>1.1322696860524961</v>
      </c>
      <c r="P79" s="38" t="s">
        <v>6</v>
      </c>
      <c r="Q79" s="13"/>
    </row>
    <row r="80" spans="1:17" x14ac:dyDescent="0.25">
      <c r="A80" s="24">
        <v>2</v>
      </c>
      <c r="B80" s="25" t="s">
        <v>94</v>
      </c>
      <c r="C80" s="26">
        <v>52</v>
      </c>
      <c r="D80" s="26">
        <v>30</v>
      </c>
      <c r="E80" s="26">
        <v>30</v>
      </c>
      <c r="F80" s="136">
        <f t="shared" si="15"/>
        <v>0</v>
      </c>
      <c r="G80" s="136">
        <f t="shared" si="16"/>
        <v>57.692307692307693</v>
      </c>
      <c r="H80" s="26">
        <v>164849</v>
      </c>
      <c r="I80" s="26">
        <v>33980</v>
      </c>
      <c r="J80" s="26">
        <v>35040</v>
      </c>
      <c r="K80" s="136">
        <f t="shared" si="17"/>
        <v>3.1194820482636842</v>
      </c>
      <c r="L80" s="136">
        <f t="shared" si="18"/>
        <v>21.255815928516398</v>
      </c>
      <c r="M80" s="26">
        <v>1378</v>
      </c>
      <c r="N80" s="26">
        <v>1431</v>
      </c>
      <c r="O80" s="136">
        <f t="shared" si="19"/>
        <v>3.8461538461538463</v>
      </c>
      <c r="P80" s="39" t="s">
        <v>11</v>
      </c>
      <c r="Q80" s="13"/>
    </row>
    <row r="81" spans="1:17" ht="14.4" x14ac:dyDescent="0.3">
      <c r="A81" s="24">
        <v>3</v>
      </c>
      <c r="B81" s="25" t="s">
        <v>95</v>
      </c>
      <c r="C81" s="41">
        <v>46</v>
      </c>
      <c r="D81" s="26">
        <v>35</v>
      </c>
      <c r="E81" s="26">
        <v>35</v>
      </c>
      <c r="F81" s="136">
        <f t="shared" si="15"/>
        <v>0</v>
      </c>
      <c r="G81" s="136">
        <f t="shared" si="16"/>
        <v>76.086956521739125</v>
      </c>
      <c r="H81" s="26">
        <v>158489</v>
      </c>
      <c r="I81" s="26">
        <v>72592</v>
      </c>
      <c r="J81" s="26">
        <v>77103</v>
      </c>
      <c r="K81" s="136">
        <f t="shared" si="17"/>
        <v>6.2141833810888256</v>
      </c>
      <c r="L81" s="136">
        <f t="shared" si="18"/>
        <v>48.648802125068613</v>
      </c>
      <c r="M81" s="26">
        <v>4430</v>
      </c>
      <c r="N81" s="26">
        <v>4430</v>
      </c>
      <c r="O81" s="136">
        <f t="shared" si="19"/>
        <v>0</v>
      </c>
      <c r="P81" s="38" t="s">
        <v>9</v>
      </c>
      <c r="Q81" s="13"/>
    </row>
    <row r="82" spans="1:17" ht="14.4" x14ac:dyDescent="0.3">
      <c r="A82" s="24">
        <v>4</v>
      </c>
      <c r="B82" s="25" t="s">
        <v>96</v>
      </c>
      <c r="C82" s="26">
        <v>37</v>
      </c>
      <c r="D82" s="26">
        <v>10</v>
      </c>
      <c r="E82" s="26">
        <v>20</v>
      </c>
      <c r="F82" s="136">
        <f t="shared" si="15"/>
        <v>100</v>
      </c>
      <c r="G82" s="136">
        <f t="shared" si="16"/>
        <v>54.054054054054056</v>
      </c>
      <c r="H82" s="37">
        <v>128856</v>
      </c>
      <c r="I82" s="26">
        <v>11473</v>
      </c>
      <c r="J82" s="26">
        <v>11483</v>
      </c>
      <c r="K82" s="136">
        <f t="shared" si="17"/>
        <v>8.7161160986664335E-2</v>
      </c>
      <c r="L82" s="136">
        <f t="shared" si="18"/>
        <v>8.9114981064133616</v>
      </c>
      <c r="M82" s="26">
        <v>700</v>
      </c>
      <c r="N82" s="26">
        <v>701</v>
      </c>
      <c r="O82" s="136">
        <f t="shared" si="19"/>
        <v>0.14285714285714285</v>
      </c>
      <c r="P82" s="38" t="s">
        <v>6</v>
      </c>
      <c r="Q82" s="13"/>
    </row>
    <row r="83" spans="1:17" ht="14.4" x14ac:dyDescent="0.3">
      <c r="A83" s="24">
        <v>5</v>
      </c>
      <c r="B83" s="25" t="s">
        <v>97</v>
      </c>
      <c r="C83" s="26">
        <v>40</v>
      </c>
      <c r="D83" s="26">
        <v>29</v>
      </c>
      <c r="E83" s="26">
        <v>29</v>
      </c>
      <c r="F83" s="136">
        <f t="shared" si="15"/>
        <v>0</v>
      </c>
      <c r="G83" s="136">
        <f t="shared" si="16"/>
        <v>72.5</v>
      </c>
      <c r="H83" s="26">
        <v>90682.077922077922</v>
      </c>
      <c r="I83" s="26">
        <v>76533</v>
      </c>
      <c r="J83" s="26">
        <v>84893</v>
      </c>
      <c r="K83" s="136">
        <f t="shared" si="17"/>
        <v>10.9233925234866</v>
      </c>
      <c r="L83" s="136">
        <f t="shared" si="18"/>
        <v>93.616072707274739</v>
      </c>
      <c r="M83" s="26">
        <v>4601</v>
      </c>
      <c r="N83" s="26">
        <v>5074</v>
      </c>
      <c r="O83" s="136">
        <f t="shared" si="19"/>
        <v>10.280373831775702</v>
      </c>
      <c r="P83" s="38" t="s">
        <v>9</v>
      </c>
      <c r="Q83" s="13"/>
    </row>
    <row r="84" spans="1:17" x14ac:dyDescent="0.25">
      <c r="A84" s="24">
        <v>6</v>
      </c>
      <c r="B84" s="25" t="s">
        <v>98</v>
      </c>
      <c r="C84" s="26">
        <v>28</v>
      </c>
      <c r="D84" s="26">
        <v>11</v>
      </c>
      <c r="E84" s="26">
        <v>11</v>
      </c>
      <c r="F84" s="136">
        <f t="shared" si="15"/>
        <v>0</v>
      </c>
      <c r="G84" s="136">
        <f t="shared" si="16"/>
        <v>39.285714285714285</v>
      </c>
      <c r="H84" s="26">
        <v>88816</v>
      </c>
      <c r="I84" s="26">
        <v>23580</v>
      </c>
      <c r="J84" s="26">
        <v>25450</v>
      </c>
      <c r="K84" s="136">
        <f t="shared" si="17"/>
        <v>7.9304495335029683</v>
      </c>
      <c r="L84" s="136">
        <f t="shared" si="18"/>
        <v>28.654746892451811</v>
      </c>
      <c r="M84" s="26">
        <v>398</v>
      </c>
      <c r="N84" s="26">
        <v>488</v>
      </c>
      <c r="O84" s="136">
        <f t="shared" si="19"/>
        <v>22.613065326633166</v>
      </c>
      <c r="P84" s="39" t="s">
        <v>11</v>
      </c>
      <c r="Q84" s="13"/>
    </row>
    <row r="85" spans="1:17" x14ac:dyDescent="0.25">
      <c r="A85" s="24">
        <v>7</v>
      </c>
      <c r="B85" s="25" t="s">
        <v>219</v>
      </c>
      <c r="C85" s="26">
        <v>0</v>
      </c>
      <c r="D85" s="26">
        <v>0</v>
      </c>
      <c r="E85" s="26">
        <v>0</v>
      </c>
      <c r="F85" s="136">
        <v>0</v>
      </c>
      <c r="G85" s="136">
        <v>0</v>
      </c>
      <c r="H85" s="26">
        <v>0</v>
      </c>
      <c r="I85" s="26">
        <v>0</v>
      </c>
      <c r="J85" s="26">
        <v>0</v>
      </c>
      <c r="K85" s="136">
        <v>0</v>
      </c>
      <c r="L85" s="136">
        <v>0</v>
      </c>
      <c r="M85" s="27">
        <v>0</v>
      </c>
      <c r="N85" s="27">
        <v>0</v>
      </c>
      <c r="O85" s="136">
        <v>0</v>
      </c>
      <c r="P85" s="106">
        <v>0</v>
      </c>
      <c r="Q85" s="13"/>
    </row>
    <row r="86" spans="1:17" ht="14.4" x14ac:dyDescent="0.3">
      <c r="A86" s="24">
        <v>8</v>
      </c>
      <c r="B86" s="25" t="s">
        <v>99</v>
      </c>
      <c r="C86" s="26">
        <v>37</v>
      </c>
      <c r="D86" s="26">
        <v>37</v>
      </c>
      <c r="E86" s="26">
        <v>37</v>
      </c>
      <c r="F86" s="136">
        <f t="shared" si="15"/>
        <v>0</v>
      </c>
      <c r="G86" s="136">
        <f t="shared" si="16"/>
        <v>100</v>
      </c>
      <c r="H86" s="26">
        <v>110969</v>
      </c>
      <c r="I86" s="26">
        <v>80708</v>
      </c>
      <c r="J86" s="26">
        <v>80708</v>
      </c>
      <c r="K86" s="136">
        <f t="shared" si="17"/>
        <v>0</v>
      </c>
      <c r="L86" s="136">
        <f t="shared" si="18"/>
        <v>72.73022195387901</v>
      </c>
      <c r="M86" s="26">
        <v>4787</v>
      </c>
      <c r="N86" s="26">
        <v>4787</v>
      </c>
      <c r="O86" s="136">
        <f t="shared" si="19"/>
        <v>0</v>
      </c>
      <c r="P86" s="38" t="s">
        <v>9</v>
      </c>
      <c r="Q86" s="13"/>
    </row>
    <row r="87" spans="1:17" ht="14.4" x14ac:dyDescent="0.3">
      <c r="A87" s="24">
        <v>9</v>
      </c>
      <c r="B87" s="40" t="s">
        <v>100</v>
      </c>
      <c r="C87" s="26">
        <v>76</v>
      </c>
      <c r="D87" s="26">
        <v>32</v>
      </c>
      <c r="E87" s="26">
        <v>39</v>
      </c>
      <c r="F87" s="136">
        <f t="shared" si="15"/>
        <v>21.875</v>
      </c>
      <c r="G87" s="136">
        <f t="shared" si="16"/>
        <v>51.315789473684212</v>
      </c>
      <c r="H87" s="26">
        <v>208270</v>
      </c>
      <c r="I87" s="26">
        <v>64069</v>
      </c>
      <c r="J87" s="26">
        <v>64069</v>
      </c>
      <c r="K87" s="136">
        <f t="shared" si="17"/>
        <v>0</v>
      </c>
      <c r="L87" s="136">
        <f t="shared" si="18"/>
        <v>30.762471791424595</v>
      </c>
      <c r="M87" s="26">
        <v>3662</v>
      </c>
      <c r="N87" s="26">
        <v>3662</v>
      </c>
      <c r="O87" s="136">
        <f t="shared" si="19"/>
        <v>0</v>
      </c>
      <c r="P87" s="38" t="s">
        <v>9</v>
      </c>
      <c r="Q87" s="13"/>
    </row>
    <row r="88" spans="1:17" ht="14.4" x14ac:dyDescent="0.3">
      <c r="A88" s="24">
        <v>10</v>
      </c>
      <c r="B88" s="25" t="s">
        <v>101</v>
      </c>
      <c r="C88" s="26">
        <v>44</v>
      </c>
      <c r="D88" s="26">
        <v>31</v>
      </c>
      <c r="E88" s="26">
        <v>36</v>
      </c>
      <c r="F88" s="136">
        <f t="shared" si="15"/>
        <v>16.129032258064516</v>
      </c>
      <c r="G88" s="136">
        <f t="shared" si="16"/>
        <v>81.818181818181813</v>
      </c>
      <c r="H88" s="26">
        <v>121639.04761904762</v>
      </c>
      <c r="I88" s="26">
        <v>17018</v>
      </c>
      <c r="J88" s="26">
        <v>23198</v>
      </c>
      <c r="K88" s="136">
        <f t="shared" si="17"/>
        <v>36.314490539428839</v>
      </c>
      <c r="L88" s="136">
        <f t="shared" si="18"/>
        <v>19.071178584571058</v>
      </c>
      <c r="M88" s="26">
        <v>1379</v>
      </c>
      <c r="N88" s="26">
        <v>1873</v>
      </c>
      <c r="O88" s="136">
        <f t="shared" si="19"/>
        <v>35.823060188542428</v>
      </c>
      <c r="P88" s="38" t="s">
        <v>9</v>
      </c>
      <c r="Q88" s="13"/>
    </row>
    <row r="89" spans="1:17" ht="14.4" x14ac:dyDescent="0.3">
      <c r="A89" s="24">
        <v>11</v>
      </c>
      <c r="B89" s="25" t="s">
        <v>102</v>
      </c>
      <c r="C89" s="26">
        <v>19</v>
      </c>
      <c r="D89" s="26">
        <v>15</v>
      </c>
      <c r="E89" s="26">
        <v>15</v>
      </c>
      <c r="F89" s="136">
        <f t="shared" si="15"/>
        <v>0</v>
      </c>
      <c r="G89" s="136">
        <f t="shared" si="16"/>
        <v>78.94736842105263</v>
      </c>
      <c r="H89" s="37">
        <v>47026</v>
      </c>
      <c r="I89" s="26">
        <v>23129</v>
      </c>
      <c r="J89" s="26">
        <v>23129</v>
      </c>
      <c r="K89" s="136">
        <f t="shared" si="17"/>
        <v>0</v>
      </c>
      <c r="L89" s="136">
        <f t="shared" si="18"/>
        <v>49.183430442733808</v>
      </c>
      <c r="M89" s="26">
        <v>1770</v>
      </c>
      <c r="N89" s="26">
        <v>1770</v>
      </c>
      <c r="O89" s="136">
        <f t="shared" si="19"/>
        <v>0</v>
      </c>
      <c r="P89" s="38" t="s">
        <v>6</v>
      </c>
      <c r="Q89" s="13"/>
    </row>
    <row r="90" spans="1:17" ht="14.4" x14ac:dyDescent="0.3">
      <c r="A90" s="24">
        <v>12</v>
      </c>
      <c r="B90" s="25" t="s">
        <v>103</v>
      </c>
      <c r="C90" s="26">
        <v>41</v>
      </c>
      <c r="D90" s="26">
        <v>41</v>
      </c>
      <c r="E90" s="26">
        <v>41</v>
      </c>
      <c r="F90" s="136">
        <f t="shared" si="15"/>
        <v>0</v>
      </c>
      <c r="G90" s="136">
        <f t="shared" si="16"/>
        <v>100</v>
      </c>
      <c r="H90" s="37">
        <v>111973</v>
      </c>
      <c r="I90" s="26">
        <v>43318</v>
      </c>
      <c r="J90" s="26">
        <v>43812</v>
      </c>
      <c r="K90" s="136">
        <f t="shared" si="17"/>
        <v>1.1404035274020037</v>
      </c>
      <c r="L90" s="136">
        <f t="shared" si="18"/>
        <v>39.127289614460629</v>
      </c>
      <c r="M90" s="26">
        <v>2697</v>
      </c>
      <c r="N90" s="26">
        <v>2723</v>
      </c>
      <c r="O90" s="136">
        <f t="shared" si="19"/>
        <v>0.96403411197626998</v>
      </c>
      <c r="P90" s="38" t="s">
        <v>6</v>
      </c>
      <c r="Q90" s="13"/>
    </row>
    <row r="91" spans="1:17" ht="14.4" x14ac:dyDescent="0.3">
      <c r="A91" s="24">
        <v>13</v>
      </c>
      <c r="B91" s="25" t="s">
        <v>104</v>
      </c>
      <c r="C91" s="26">
        <v>51</v>
      </c>
      <c r="D91" s="26">
        <v>35</v>
      </c>
      <c r="E91" s="26">
        <v>35</v>
      </c>
      <c r="F91" s="136">
        <f t="shared" si="15"/>
        <v>0</v>
      </c>
      <c r="G91" s="136">
        <f t="shared" si="16"/>
        <v>68.627450980392155</v>
      </c>
      <c r="H91" s="26">
        <v>164715</v>
      </c>
      <c r="I91" s="26">
        <v>11864</v>
      </c>
      <c r="J91" s="26">
        <v>18929</v>
      </c>
      <c r="K91" s="136">
        <f t="shared" si="17"/>
        <v>59.549898853674982</v>
      </c>
      <c r="L91" s="136">
        <f t="shared" si="18"/>
        <v>11.491970980177882</v>
      </c>
      <c r="M91" s="26">
        <v>922</v>
      </c>
      <c r="N91" s="26">
        <v>1348</v>
      </c>
      <c r="O91" s="136">
        <f t="shared" si="19"/>
        <v>46.20390455531453</v>
      </c>
      <c r="P91" s="38" t="s">
        <v>9</v>
      </c>
      <c r="Q91" s="13"/>
    </row>
    <row r="92" spans="1:17" ht="14.4" x14ac:dyDescent="0.3">
      <c r="A92" s="24">
        <v>14</v>
      </c>
      <c r="B92" s="25" t="s">
        <v>105</v>
      </c>
      <c r="C92" s="26">
        <v>51</v>
      </c>
      <c r="D92" s="26">
        <v>27</v>
      </c>
      <c r="E92" s="26">
        <v>27</v>
      </c>
      <c r="F92" s="136">
        <f t="shared" si="15"/>
        <v>0</v>
      </c>
      <c r="G92" s="136">
        <f t="shared" si="16"/>
        <v>52.941176470588232</v>
      </c>
      <c r="H92" s="37">
        <v>141671</v>
      </c>
      <c r="I92" s="26">
        <v>3092</v>
      </c>
      <c r="J92" s="26">
        <v>3092</v>
      </c>
      <c r="K92" s="136">
        <f t="shared" si="17"/>
        <v>0</v>
      </c>
      <c r="L92" s="136">
        <f t="shared" si="18"/>
        <v>2.1825214758136808</v>
      </c>
      <c r="M92" s="26">
        <v>564</v>
      </c>
      <c r="N92" s="26">
        <v>564</v>
      </c>
      <c r="O92" s="136">
        <f t="shared" si="19"/>
        <v>0</v>
      </c>
      <c r="P92" s="38" t="s">
        <v>6</v>
      </c>
      <c r="Q92" s="13"/>
    </row>
    <row r="93" spans="1:17" ht="14.4" x14ac:dyDescent="0.3">
      <c r="A93" s="24">
        <v>15</v>
      </c>
      <c r="B93" s="25" t="s">
        <v>106</v>
      </c>
      <c r="C93" s="26">
        <v>40</v>
      </c>
      <c r="D93" s="26">
        <v>32</v>
      </c>
      <c r="E93" s="26">
        <v>32</v>
      </c>
      <c r="F93" s="136">
        <f t="shared" si="15"/>
        <v>0</v>
      </c>
      <c r="G93" s="136">
        <f t="shared" si="16"/>
        <v>80</v>
      </c>
      <c r="H93" s="26">
        <v>128408</v>
      </c>
      <c r="I93" s="26">
        <v>16181</v>
      </c>
      <c r="J93" s="26">
        <v>17349</v>
      </c>
      <c r="K93" s="136">
        <f t="shared" si="17"/>
        <v>7.2183425004635069</v>
      </c>
      <c r="L93" s="136">
        <f t="shared" si="18"/>
        <v>13.510840446078127</v>
      </c>
      <c r="M93" s="26">
        <v>1392</v>
      </c>
      <c r="N93" s="26">
        <v>1878</v>
      </c>
      <c r="O93" s="136">
        <f t="shared" si="19"/>
        <v>34.913793103448278</v>
      </c>
      <c r="P93" s="38" t="s">
        <v>9</v>
      </c>
      <c r="Q93" s="13"/>
    </row>
    <row r="94" spans="1:17" ht="14.4" x14ac:dyDescent="0.3">
      <c r="A94" s="24">
        <v>16</v>
      </c>
      <c r="B94" s="25" t="s">
        <v>107</v>
      </c>
      <c r="C94" s="26">
        <v>55</v>
      </c>
      <c r="D94" s="26">
        <v>11</v>
      </c>
      <c r="E94" s="26">
        <v>11</v>
      </c>
      <c r="F94" s="136">
        <f t="shared" si="15"/>
        <v>0</v>
      </c>
      <c r="G94" s="136">
        <f t="shared" si="16"/>
        <v>20</v>
      </c>
      <c r="H94" s="26">
        <v>209191</v>
      </c>
      <c r="I94" s="26">
        <v>11000</v>
      </c>
      <c r="J94" s="26">
        <v>11200</v>
      </c>
      <c r="K94" s="136">
        <f t="shared" si="17"/>
        <v>1.8181818181818181</v>
      </c>
      <c r="L94" s="136">
        <f t="shared" si="18"/>
        <v>5.3539588223202719</v>
      </c>
      <c r="M94" s="129">
        <v>718</v>
      </c>
      <c r="N94" s="129">
        <v>718</v>
      </c>
      <c r="O94" s="136">
        <f t="shared" si="19"/>
        <v>0</v>
      </c>
      <c r="P94" s="38" t="s">
        <v>8</v>
      </c>
      <c r="Q94" s="13"/>
    </row>
    <row r="95" spans="1:17" ht="14.4" x14ac:dyDescent="0.3">
      <c r="A95" s="24">
        <v>17</v>
      </c>
      <c r="B95" s="25" t="s">
        <v>108</v>
      </c>
      <c r="C95" s="26">
        <v>51</v>
      </c>
      <c r="D95" s="26">
        <v>50</v>
      </c>
      <c r="E95" s="26">
        <v>50</v>
      </c>
      <c r="F95" s="136">
        <f t="shared" si="15"/>
        <v>0</v>
      </c>
      <c r="G95" s="136">
        <f t="shared" si="16"/>
        <v>98.039215686274503</v>
      </c>
      <c r="H95" s="26">
        <v>122340</v>
      </c>
      <c r="I95" s="26">
        <v>104557</v>
      </c>
      <c r="J95" s="26">
        <v>104557</v>
      </c>
      <c r="K95" s="136">
        <f t="shared" si="17"/>
        <v>0</v>
      </c>
      <c r="L95" s="136">
        <f t="shared" si="18"/>
        <v>85.464279875756077</v>
      </c>
      <c r="M95" s="26">
        <v>5997</v>
      </c>
      <c r="N95" s="26">
        <v>5997</v>
      </c>
      <c r="O95" s="136">
        <f t="shared" si="19"/>
        <v>0</v>
      </c>
      <c r="P95" s="38" t="s">
        <v>9</v>
      </c>
      <c r="Q95" s="13"/>
    </row>
    <row r="96" spans="1:17" ht="14.4" x14ac:dyDescent="0.3">
      <c r="A96" s="24">
        <v>18</v>
      </c>
      <c r="B96" s="25" t="s">
        <v>109</v>
      </c>
      <c r="C96" s="26">
        <v>46</v>
      </c>
      <c r="D96" s="26">
        <v>24</v>
      </c>
      <c r="E96" s="26">
        <v>25</v>
      </c>
      <c r="F96" s="136">
        <f t="shared" si="15"/>
        <v>4.166666666666667</v>
      </c>
      <c r="G96" s="136">
        <f t="shared" si="16"/>
        <v>54.347826086956516</v>
      </c>
      <c r="H96" s="26">
        <v>78458</v>
      </c>
      <c r="I96" s="26">
        <v>23877</v>
      </c>
      <c r="J96" s="26">
        <v>24849</v>
      </c>
      <c r="K96" s="136">
        <f t="shared" si="17"/>
        <v>4.0708631737655478</v>
      </c>
      <c r="L96" s="136">
        <f t="shared" si="18"/>
        <v>31.671722450228145</v>
      </c>
      <c r="M96" s="26">
        <v>2007</v>
      </c>
      <c r="N96" s="26">
        <v>2007</v>
      </c>
      <c r="O96" s="136">
        <f t="shared" si="19"/>
        <v>0</v>
      </c>
      <c r="P96" s="38" t="s">
        <v>9</v>
      </c>
      <c r="Q96" s="13"/>
    </row>
    <row r="97" spans="1:17" s="7" customFormat="1" ht="14.4" x14ac:dyDescent="0.3">
      <c r="A97" s="24">
        <v>19</v>
      </c>
      <c r="B97" s="25" t="s">
        <v>110</v>
      </c>
      <c r="C97" s="26">
        <v>19</v>
      </c>
      <c r="D97" s="26">
        <v>12</v>
      </c>
      <c r="E97" s="26">
        <v>12</v>
      </c>
      <c r="F97" s="136">
        <f t="shared" si="15"/>
        <v>0</v>
      </c>
      <c r="G97" s="136">
        <f t="shared" si="16"/>
        <v>63.157894736842103</v>
      </c>
      <c r="H97" s="37">
        <v>47082</v>
      </c>
      <c r="I97" s="26">
        <v>12702</v>
      </c>
      <c r="J97" s="26">
        <v>12702</v>
      </c>
      <c r="K97" s="136">
        <f t="shared" si="17"/>
        <v>0</v>
      </c>
      <c r="L97" s="136">
        <f t="shared" si="18"/>
        <v>26.978463106919843</v>
      </c>
      <c r="M97" s="26">
        <v>1025</v>
      </c>
      <c r="N97" s="26">
        <v>1025</v>
      </c>
      <c r="O97" s="136">
        <f t="shared" si="19"/>
        <v>0</v>
      </c>
      <c r="P97" s="38" t="s">
        <v>6</v>
      </c>
      <c r="Q97" s="13"/>
    </row>
    <row r="98" spans="1:17" s="7" customFormat="1" ht="14.4" x14ac:dyDescent="0.3">
      <c r="A98" s="24">
        <v>20</v>
      </c>
      <c r="B98" s="25" t="s">
        <v>111</v>
      </c>
      <c r="C98" s="26">
        <v>16</v>
      </c>
      <c r="D98" s="26">
        <v>11</v>
      </c>
      <c r="E98" s="26">
        <v>13</v>
      </c>
      <c r="F98" s="136">
        <f t="shared" si="15"/>
        <v>18.181818181818183</v>
      </c>
      <c r="G98" s="136">
        <f t="shared" si="16"/>
        <v>81.25</v>
      </c>
      <c r="H98" s="37">
        <v>39648</v>
      </c>
      <c r="I98" s="26">
        <v>10095</v>
      </c>
      <c r="J98" s="26">
        <v>11630</v>
      </c>
      <c r="K98" s="136">
        <f t="shared" si="17"/>
        <v>15.205547300643882</v>
      </c>
      <c r="L98" s="136">
        <f t="shared" si="18"/>
        <v>29.333131557707826</v>
      </c>
      <c r="M98" s="26">
        <v>682</v>
      </c>
      <c r="N98" s="26">
        <v>746</v>
      </c>
      <c r="O98" s="136">
        <f t="shared" si="19"/>
        <v>9.3841642228738991</v>
      </c>
      <c r="P98" s="38" t="s">
        <v>6</v>
      </c>
      <c r="Q98" s="13"/>
    </row>
    <row r="99" spans="1:17" s="7" customFormat="1" x14ac:dyDescent="0.25">
      <c r="A99" s="24">
        <v>21</v>
      </c>
      <c r="B99" s="25" t="s">
        <v>112</v>
      </c>
      <c r="C99" s="26">
        <v>44</v>
      </c>
      <c r="D99" s="26">
        <v>44</v>
      </c>
      <c r="E99" s="26">
        <v>44</v>
      </c>
      <c r="F99" s="136">
        <f t="shared" si="15"/>
        <v>0</v>
      </c>
      <c r="G99" s="136">
        <f t="shared" si="16"/>
        <v>100</v>
      </c>
      <c r="H99" s="26">
        <v>159486</v>
      </c>
      <c r="I99" s="26">
        <v>159335</v>
      </c>
      <c r="J99" s="26">
        <v>159335</v>
      </c>
      <c r="K99" s="136">
        <f t="shared" si="17"/>
        <v>0</v>
      </c>
      <c r="L99" s="136">
        <f t="shared" si="18"/>
        <v>99.905320843208813</v>
      </c>
      <c r="M99" s="26">
        <v>11447</v>
      </c>
      <c r="N99" s="26">
        <v>11447</v>
      </c>
      <c r="O99" s="136">
        <f t="shared" si="19"/>
        <v>0</v>
      </c>
      <c r="P99" s="39" t="s">
        <v>11</v>
      </c>
      <c r="Q99" s="13"/>
    </row>
    <row r="100" spans="1:17" s="7" customFormat="1" ht="14.4" x14ac:dyDescent="0.3">
      <c r="A100" s="24">
        <v>22</v>
      </c>
      <c r="B100" s="25" t="s">
        <v>113</v>
      </c>
      <c r="C100" s="26">
        <v>55</v>
      </c>
      <c r="D100" s="26">
        <v>42</v>
      </c>
      <c r="E100" s="26">
        <v>52</v>
      </c>
      <c r="F100" s="136">
        <f t="shared" si="15"/>
        <v>23.80952380952381</v>
      </c>
      <c r="G100" s="136">
        <f t="shared" si="16"/>
        <v>94.545454545454533</v>
      </c>
      <c r="H100" s="37">
        <v>202554</v>
      </c>
      <c r="I100" s="26">
        <v>28190</v>
      </c>
      <c r="J100" s="26">
        <v>29863</v>
      </c>
      <c r="K100" s="136">
        <f t="shared" si="17"/>
        <v>5.9347286271727571</v>
      </c>
      <c r="L100" s="136">
        <f t="shared" si="18"/>
        <v>14.743228966102867</v>
      </c>
      <c r="M100" s="26">
        <v>1696</v>
      </c>
      <c r="N100" s="26">
        <v>1776</v>
      </c>
      <c r="O100" s="136">
        <f t="shared" si="19"/>
        <v>4.7169811320754711</v>
      </c>
      <c r="P100" s="38" t="s">
        <v>6</v>
      </c>
      <c r="Q100" s="13"/>
    </row>
    <row r="101" spans="1:17" s="7" customFormat="1" x14ac:dyDescent="0.25">
      <c r="A101" s="24">
        <v>23</v>
      </c>
      <c r="B101" s="25" t="s">
        <v>114</v>
      </c>
      <c r="C101" s="26">
        <v>27</v>
      </c>
      <c r="D101" s="26">
        <v>27</v>
      </c>
      <c r="E101" s="26">
        <v>27</v>
      </c>
      <c r="F101" s="136">
        <f t="shared" si="15"/>
        <v>0</v>
      </c>
      <c r="G101" s="136">
        <f t="shared" si="16"/>
        <v>100</v>
      </c>
      <c r="H101" s="26">
        <v>106515</v>
      </c>
      <c r="I101" s="26">
        <v>41243</v>
      </c>
      <c r="J101" s="26">
        <v>41823</v>
      </c>
      <c r="K101" s="136">
        <f t="shared" si="17"/>
        <v>1.4062992507819509</v>
      </c>
      <c r="L101" s="136">
        <f t="shared" si="18"/>
        <v>39.264892268694545</v>
      </c>
      <c r="M101" s="26">
        <v>2567</v>
      </c>
      <c r="N101" s="26">
        <v>2596</v>
      </c>
      <c r="O101" s="136">
        <f t="shared" si="19"/>
        <v>1.1297234125438254</v>
      </c>
      <c r="P101" s="39" t="s">
        <v>11</v>
      </c>
      <c r="Q101" s="13"/>
    </row>
    <row r="102" spans="1:17" s="5" customFormat="1" ht="14.4" thickBot="1" x14ac:dyDescent="0.3">
      <c r="A102" s="29">
        <f>COUNTIF(P79:P101,"*")</f>
        <v>22</v>
      </c>
      <c r="B102" s="30" t="s">
        <v>91</v>
      </c>
      <c r="C102" s="31">
        <f>SUM(C79:C101)</f>
        <v>921</v>
      </c>
      <c r="D102" s="31">
        <f>SUM(D79:D101)</f>
        <v>632</v>
      </c>
      <c r="E102" s="31">
        <f>SUM(E79:E101)</f>
        <v>667</v>
      </c>
      <c r="F102" s="136">
        <f t="shared" si="15"/>
        <v>5.5379746835443031</v>
      </c>
      <c r="G102" s="136">
        <f t="shared" si="16"/>
        <v>72.421281216069488</v>
      </c>
      <c r="H102" s="31">
        <f t="shared" ref="H102" si="20">SUM(H79:H101)</f>
        <v>2816903.1255411254</v>
      </c>
      <c r="I102" s="31">
        <f>SUM(I79:I101)</f>
        <v>940784</v>
      </c>
      <c r="J102" s="31">
        <f>SUM(J79:J101)</f>
        <v>977400</v>
      </c>
      <c r="K102" s="136">
        <f t="shared" si="17"/>
        <v>3.8920729944386809</v>
      </c>
      <c r="L102" s="136">
        <f t="shared" si="18"/>
        <v>34.697678849436542</v>
      </c>
      <c r="M102" s="31">
        <f>SUM(M79:M101)</f>
        <v>58705</v>
      </c>
      <c r="N102" s="31">
        <f>SUM(N79:N101)</f>
        <v>60971</v>
      </c>
      <c r="O102" s="136">
        <f t="shared" si="19"/>
        <v>3.8599778553785882</v>
      </c>
      <c r="P102" s="32"/>
      <c r="Q102" s="13"/>
    </row>
    <row r="103" spans="1:17" ht="5.25" customHeight="1" thickBot="1" x14ac:dyDescent="0.35">
      <c r="A103" s="42"/>
      <c r="B103" s="43"/>
      <c r="C103" s="34"/>
      <c r="D103" s="33"/>
      <c r="E103" s="34"/>
      <c r="F103" s="137"/>
      <c r="G103" s="137"/>
      <c r="H103" s="34"/>
      <c r="I103" s="34"/>
      <c r="J103" s="34"/>
      <c r="K103" s="34"/>
      <c r="L103" s="34"/>
      <c r="M103" s="34"/>
      <c r="N103" s="34"/>
      <c r="O103" s="34"/>
      <c r="P103" s="16"/>
      <c r="Q103" s="13"/>
    </row>
    <row r="104" spans="1:17" s="6" customFormat="1" x14ac:dyDescent="0.25">
      <c r="A104" s="19" t="s">
        <v>115</v>
      </c>
      <c r="B104" s="20"/>
      <c r="C104" s="21"/>
      <c r="D104" s="35"/>
      <c r="E104" s="36"/>
      <c r="F104" s="138"/>
      <c r="G104" s="138"/>
      <c r="H104" s="21"/>
      <c r="I104" s="36"/>
      <c r="J104" s="36"/>
      <c r="K104" s="36"/>
      <c r="L104" s="36"/>
      <c r="M104" s="36"/>
      <c r="N104" s="36"/>
      <c r="O104" s="36"/>
      <c r="P104" s="23"/>
      <c r="Q104" s="13"/>
    </row>
    <row r="105" spans="1:17" s="7" customFormat="1" x14ac:dyDescent="0.25">
      <c r="A105" s="24">
        <v>1</v>
      </c>
      <c r="B105" s="25" t="s">
        <v>116</v>
      </c>
      <c r="C105" s="37">
        <v>65</v>
      </c>
      <c r="D105" s="26">
        <v>12</v>
      </c>
      <c r="E105" s="26">
        <v>12</v>
      </c>
      <c r="F105" s="136">
        <f t="shared" ref="F105:F110" si="21">(E105-D105)/D105%</f>
        <v>0</v>
      </c>
      <c r="G105" s="136">
        <f t="shared" ref="G105:G151" si="22">E105/C105%</f>
        <v>18.46153846153846</v>
      </c>
      <c r="H105" s="26">
        <v>164849</v>
      </c>
      <c r="I105" s="26">
        <v>17187</v>
      </c>
      <c r="J105" s="26">
        <v>17447</v>
      </c>
      <c r="K105" s="136">
        <f t="shared" ref="K105:K150" si="23">(J105-I105)/I105%</f>
        <v>1.5127712806190725</v>
      </c>
      <c r="L105" s="136">
        <f t="shared" ref="L105:L151" si="24">J105/H105%</f>
        <v>10.583625014407124</v>
      </c>
      <c r="M105" s="26">
        <v>1393</v>
      </c>
      <c r="N105" s="26">
        <v>1420</v>
      </c>
      <c r="O105" s="136">
        <f t="shared" ref="O105:O151" si="25">(N105-M105)/M105%</f>
        <v>1.9382627422828429</v>
      </c>
      <c r="P105" s="39" t="s">
        <v>5</v>
      </c>
      <c r="Q105" s="13"/>
    </row>
    <row r="106" spans="1:17" x14ac:dyDescent="0.25">
      <c r="A106" s="24">
        <v>1</v>
      </c>
      <c r="B106" s="25" t="s">
        <v>117</v>
      </c>
      <c r="C106" s="26">
        <v>65</v>
      </c>
      <c r="D106" s="26">
        <v>64</v>
      </c>
      <c r="E106" s="26">
        <v>64</v>
      </c>
      <c r="F106" s="136">
        <f t="shared" si="21"/>
        <v>0</v>
      </c>
      <c r="G106" s="136">
        <f t="shared" si="22"/>
        <v>98.461538461538453</v>
      </c>
      <c r="H106" s="26">
        <v>164849</v>
      </c>
      <c r="I106" s="26">
        <v>52956</v>
      </c>
      <c r="J106" s="26">
        <v>54043</v>
      </c>
      <c r="K106" s="136">
        <f t="shared" si="23"/>
        <v>2.0526474809275626</v>
      </c>
      <c r="L106" s="136">
        <f t="shared" si="24"/>
        <v>32.783335052077959</v>
      </c>
      <c r="M106" s="26">
        <v>3135</v>
      </c>
      <c r="N106" s="26">
        <v>3194</v>
      </c>
      <c r="O106" s="136">
        <f t="shared" si="25"/>
        <v>1.8819776714513556</v>
      </c>
      <c r="P106" s="28" t="s">
        <v>6</v>
      </c>
      <c r="Q106" s="13"/>
    </row>
    <row r="107" spans="1:17" s="7" customFormat="1" x14ac:dyDescent="0.25">
      <c r="A107" s="24">
        <v>2</v>
      </c>
      <c r="B107" s="25" t="s">
        <v>118</v>
      </c>
      <c r="C107" s="26">
        <v>101</v>
      </c>
      <c r="D107" s="26">
        <v>101</v>
      </c>
      <c r="E107" s="26">
        <v>101</v>
      </c>
      <c r="F107" s="136">
        <f t="shared" si="21"/>
        <v>0</v>
      </c>
      <c r="G107" s="136">
        <f t="shared" si="22"/>
        <v>100</v>
      </c>
      <c r="H107" s="37">
        <v>158489</v>
      </c>
      <c r="I107" s="26">
        <v>195371</v>
      </c>
      <c r="J107" s="26">
        <v>195478</v>
      </c>
      <c r="K107" s="136">
        <f t="shared" si="23"/>
        <v>5.4767596009643191E-2</v>
      </c>
      <c r="L107" s="136">
        <f t="shared" si="24"/>
        <v>123.33852822593366</v>
      </c>
      <c r="M107" s="26">
        <v>14458</v>
      </c>
      <c r="N107" s="26">
        <v>14461</v>
      </c>
      <c r="O107" s="136">
        <f t="shared" si="25"/>
        <v>2.0749757919490939E-2</v>
      </c>
      <c r="P107" s="39" t="s">
        <v>6</v>
      </c>
      <c r="Q107" s="13"/>
    </row>
    <row r="108" spans="1:17" s="7" customFormat="1" x14ac:dyDescent="0.25">
      <c r="A108" s="24">
        <v>3</v>
      </c>
      <c r="B108" s="25" t="s">
        <v>119</v>
      </c>
      <c r="C108" s="26">
        <v>97</v>
      </c>
      <c r="D108" s="26">
        <v>97</v>
      </c>
      <c r="E108" s="26">
        <v>97</v>
      </c>
      <c r="F108" s="136">
        <f t="shared" si="21"/>
        <v>0</v>
      </c>
      <c r="G108" s="136">
        <f t="shared" si="22"/>
        <v>100</v>
      </c>
      <c r="H108" s="37">
        <v>128856</v>
      </c>
      <c r="I108" s="26">
        <v>226415</v>
      </c>
      <c r="J108" s="26">
        <v>226415</v>
      </c>
      <c r="K108" s="136">
        <f t="shared" si="23"/>
        <v>0</v>
      </c>
      <c r="L108" s="136">
        <f t="shared" si="24"/>
        <v>175.7116471099522</v>
      </c>
      <c r="M108" s="26">
        <v>15755</v>
      </c>
      <c r="N108" s="26">
        <v>15755</v>
      </c>
      <c r="O108" s="136">
        <f t="shared" si="25"/>
        <v>0</v>
      </c>
      <c r="P108" s="39" t="s">
        <v>6</v>
      </c>
      <c r="Q108" s="13"/>
    </row>
    <row r="109" spans="1:17" s="7" customFormat="1" x14ac:dyDescent="0.25">
      <c r="A109" s="24">
        <v>4</v>
      </c>
      <c r="B109" s="25" t="s">
        <v>120</v>
      </c>
      <c r="C109" s="26">
        <v>42</v>
      </c>
      <c r="D109" s="26">
        <v>40</v>
      </c>
      <c r="E109" s="26">
        <v>40</v>
      </c>
      <c r="F109" s="136">
        <f t="shared" si="21"/>
        <v>0</v>
      </c>
      <c r="G109" s="136">
        <f t="shared" si="22"/>
        <v>95.238095238095241</v>
      </c>
      <c r="H109" s="37">
        <v>90682.077922077922</v>
      </c>
      <c r="I109" s="26">
        <v>118191</v>
      </c>
      <c r="J109" s="26">
        <v>118191</v>
      </c>
      <c r="K109" s="136">
        <f t="shared" si="23"/>
        <v>0</v>
      </c>
      <c r="L109" s="136">
        <f t="shared" si="24"/>
        <v>130.33556652898955</v>
      </c>
      <c r="M109" s="26">
        <v>7786</v>
      </c>
      <c r="N109" s="26">
        <v>7786</v>
      </c>
      <c r="O109" s="136">
        <f t="shared" si="25"/>
        <v>0</v>
      </c>
      <c r="P109" s="39" t="s">
        <v>6</v>
      </c>
      <c r="Q109" s="13"/>
    </row>
    <row r="110" spans="1:17" s="7" customFormat="1" x14ac:dyDescent="0.25">
      <c r="A110" s="24">
        <v>5</v>
      </c>
      <c r="B110" s="25" t="s">
        <v>121</v>
      </c>
      <c r="C110" s="26">
        <v>65</v>
      </c>
      <c r="D110" s="26">
        <v>60</v>
      </c>
      <c r="E110" s="26">
        <v>60</v>
      </c>
      <c r="F110" s="136">
        <f t="shared" si="21"/>
        <v>0</v>
      </c>
      <c r="G110" s="136">
        <f t="shared" si="22"/>
        <v>92.307692307692307</v>
      </c>
      <c r="H110" s="37">
        <v>88816</v>
      </c>
      <c r="I110" s="26">
        <v>49159</v>
      </c>
      <c r="J110" s="26">
        <v>49662</v>
      </c>
      <c r="K110" s="136">
        <f t="shared" si="23"/>
        <v>1.0232103989096606</v>
      </c>
      <c r="L110" s="136">
        <f t="shared" si="24"/>
        <v>55.915600792649975</v>
      </c>
      <c r="M110" s="26">
        <v>2743</v>
      </c>
      <c r="N110" s="26">
        <v>2760</v>
      </c>
      <c r="O110" s="136">
        <f t="shared" si="25"/>
        <v>0.61975938753189941</v>
      </c>
      <c r="P110" s="39" t="s">
        <v>6</v>
      </c>
      <c r="Q110" s="13"/>
    </row>
    <row r="111" spans="1:17" s="7" customFormat="1" x14ac:dyDescent="0.25">
      <c r="A111" s="24">
        <v>6</v>
      </c>
      <c r="B111" s="25" t="s">
        <v>277</v>
      </c>
      <c r="C111" s="26">
        <v>42</v>
      </c>
      <c r="D111" s="131">
        <v>4</v>
      </c>
      <c r="E111" s="131">
        <v>0</v>
      </c>
      <c r="F111" s="136">
        <f>(E111-D111)/D111%</f>
        <v>-100</v>
      </c>
      <c r="G111" s="136">
        <f t="shared" si="22"/>
        <v>0</v>
      </c>
      <c r="H111" s="37">
        <v>0</v>
      </c>
      <c r="I111" s="26">
        <v>1069</v>
      </c>
      <c r="J111" s="131">
        <v>1069</v>
      </c>
      <c r="K111" s="136">
        <f t="shared" si="23"/>
        <v>0</v>
      </c>
      <c r="L111" s="136">
        <v>0</v>
      </c>
      <c r="M111" s="26">
        <v>60</v>
      </c>
      <c r="N111" s="131">
        <v>60</v>
      </c>
      <c r="O111" s="136">
        <f t="shared" si="25"/>
        <v>0</v>
      </c>
      <c r="P111" s="106" t="s">
        <v>7</v>
      </c>
      <c r="Q111" s="13"/>
    </row>
    <row r="112" spans="1:17" s="7" customFormat="1" x14ac:dyDescent="0.25">
      <c r="A112" s="24">
        <v>7</v>
      </c>
      <c r="B112" s="25" t="s">
        <v>122</v>
      </c>
      <c r="C112" s="26">
        <v>55</v>
      </c>
      <c r="D112" s="26">
        <v>50</v>
      </c>
      <c r="E112" s="26">
        <v>50</v>
      </c>
      <c r="F112" s="136">
        <f t="shared" ref="F112:F151" si="26">(E112-D112)/D112%</f>
        <v>0</v>
      </c>
      <c r="G112" s="136">
        <f t="shared" si="22"/>
        <v>90.909090909090907</v>
      </c>
      <c r="H112" s="26">
        <v>208270</v>
      </c>
      <c r="I112" s="26">
        <v>114956</v>
      </c>
      <c r="J112" s="26">
        <v>114956</v>
      </c>
      <c r="K112" s="136">
        <f t="shared" si="23"/>
        <v>0</v>
      </c>
      <c r="L112" s="136">
        <f t="shared" si="24"/>
        <v>55.195659480482071</v>
      </c>
      <c r="M112" s="26">
        <v>8565</v>
      </c>
      <c r="N112" s="26">
        <v>8568</v>
      </c>
      <c r="O112" s="136">
        <f t="shared" si="25"/>
        <v>3.5026269702276708E-2</v>
      </c>
      <c r="P112" s="39" t="s">
        <v>6</v>
      </c>
      <c r="Q112" s="13"/>
    </row>
    <row r="113" spans="1:17" s="7" customFormat="1" x14ac:dyDescent="0.25">
      <c r="A113" s="24">
        <v>7</v>
      </c>
      <c r="B113" s="25" t="s">
        <v>278</v>
      </c>
      <c r="C113" s="26">
        <v>55</v>
      </c>
      <c r="D113" s="131">
        <v>35</v>
      </c>
      <c r="E113" s="131">
        <v>0</v>
      </c>
      <c r="F113" s="136">
        <f t="shared" si="26"/>
        <v>-100</v>
      </c>
      <c r="G113" s="136">
        <f t="shared" si="22"/>
        <v>0</v>
      </c>
      <c r="H113" s="26">
        <v>208270</v>
      </c>
      <c r="I113" s="26">
        <v>20260</v>
      </c>
      <c r="J113" s="131">
        <v>20260</v>
      </c>
      <c r="K113" s="136">
        <f t="shared" si="23"/>
        <v>0</v>
      </c>
      <c r="L113" s="136">
        <f t="shared" si="24"/>
        <v>9.7277572382004145</v>
      </c>
      <c r="M113" s="26">
        <v>1302</v>
      </c>
      <c r="N113" s="131">
        <v>1302</v>
      </c>
      <c r="O113" s="136">
        <f t="shared" si="25"/>
        <v>0</v>
      </c>
      <c r="P113" s="39" t="s">
        <v>7</v>
      </c>
      <c r="Q113" s="13"/>
    </row>
    <row r="114" spans="1:17" s="7" customFormat="1" x14ac:dyDescent="0.25">
      <c r="A114" s="24">
        <v>8</v>
      </c>
      <c r="B114" s="25" t="s">
        <v>123</v>
      </c>
      <c r="C114" s="26">
        <v>71</v>
      </c>
      <c r="D114" s="131">
        <v>71</v>
      </c>
      <c r="E114" s="131">
        <v>70</v>
      </c>
      <c r="F114" s="136">
        <f t="shared" si="26"/>
        <v>-1.4084507042253522</v>
      </c>
      <c r="G114" s="136">
        <f t="shared" si="22"/>
        <v>98.591549295774655</v>
      </c>
      <c r="H114" s="26">
        <v>121639.04761904762</v>
      </c>
      <c r="I114" s="26">
        <v>49004</v>
      </c>
      <c r="J114" s="131">
        <v>50407</v>
      </c>
      <c r="K114" s="136">
        <f t="shared" si="23"/>
        <v>2.8630315892580196</v>
      </c>
      <c r="L114" s="136">
        <f t="shared" si="24"/>
        <v>41.439818040885996</v>
      </c>
      <c r="M114" s="26">
        <v>3247</v>
      </c>
      <c r="N114" s="131">
        <v>3338</v>
      </c>
      <c r="O114" s="136">
        <f t="shared" si="25"/>
        <v>2.8025870033877425</v>
      </c>
      <c r="P114" s="39" t="s">
        <v>7</v>
      </c>
      <c r="Q114" s="13"/>
    </row>
    <row r="115" spans="1:17" s="7" customFormat="1" x14ac:dyDescent="0.25">
      <c r="A115" s="24">
        <v>9</v>
      </c>
      <c r="B115" s="25" t="s">
        <v>124</v>
      </c>
      <c r="C115" s="26">
        <v>97</v>
      </c>
      <c r="D115" s="131">
        <v>68</v>
      </c>
      <c r="E115" s="131">
        <v>62</v>
      </c>
      <c r="F115" s="136">
        <f t="shared" si="26"/>
        <v>-8.8235294117647047</v>
      </c>
      <c r="G115" s="136">
        <f t="shared" si="22"/>
        <v>63.917525773195877</v>
      </c>
      <c r="H115" s="26">
        <v>47026</v>
      </c>
      <c r="I115" s="26">
        <v>44549</v>
      </c>
      <c r="J115" s="131">
        <v>45691</v>
      </c>
      <c r="K115" s="136">
        <f t="shared" si="23"/>
        <v>2.5634694381467598</v>
      </c>
      <c r="L115" s="136">
        <f t="shared" si="24"/>
        <v>97.161144898566747</v>
      </c>
      <c r="M115" s="26">
        <v>2586</v>
      </c>
      <c r="N115" s="131">
        <v>2640</v>
      </c>
      <c r="O115" s="136">
        <f t="shared" si="25"/>
        <v>2.0881670533642693</v>
      </c>
      <c r="P115" s="39" t="s">
        <v>7</v>
      </c>
      <c r="Q115" s="13"/>
    </row>
    <row r="116" spans="1:17" s="7" customFormat="1" x14ac:dyDescent="0.25">
      <c r="A116" s="24">
        <v>10</v>
      </c>
      <c r="B116" s="25" t="s">
        <v>125</v>
      </c>
      <c r="C116" s="26">
        <v>87</v>
      </c>
      <c r="D116" s="131">
        <v>35</v>
      </c>
      <c r="E116" s="131">
        <v>35</v>
      </c>
      <c r="F116" s="136">
        <f t="shared" si="26"/>
        <v>0</v>
      </c>
      <c r="G116" s="136">
        <f t="shared" si="22"/>
        <v>40.229885057471265</v>
      </c>
      <c r="H116" s="26">
        <v>111973</v>
      </c>
      <c r="I116" s="26">
        <v>41133</v>
      </c>
      <c r="J116" s="131">
        <v>42139</v>
      </c>
      <c r="K116" s="136">
        <f t="shared" si="23"/>
        <v>2.4457248437993826</v>
      </c>
      <c r="L116" s="136">
        <f t="shared" si="24"/>
        <v>37.633179427183336</v>
      </c>
      <c r="M116" s="26">
        <v>2684</v>
      </c>
      <c r="N116" s="131">
        <v>2751</v>
      </c>
      <c r="O116" s="136">
        <f t="shared" si="25"/>
        <v>2.4962742175856931</v>
      </c>
      <c r="P116" s="39" t="s">
        <v>7</v>
      </c>
      <c r="Q116" s="13"/>
    </row>
    <row r="117" spans="1:17" s="7" customFormat="1" x14ac:dyDescent="0.25">
      <c r="A117" s="24">
        <v>11</v>
      </c>
      <c r="B117" s="25" t="s">
        <v>126</v>
      </c>
      <c r="C117" s="26">
        <v>40</v>
      </c>
      <c r="D117" s="131">
        <v>16</v>
      </c>
      <c r="E117" s="131">
        <v>16</v>
      </c>
      <c r="F117" s="136">
        <f t="shared" si="26"/>
        <v>0</v>
      </c>
      <c r="G117" s="136">
        <f t="shared" si="22"/>
        <v>40</v>
      </c>
      <c r="H117" s="26">
        <v>164715</v>
      </c>
      <c r="I117" s="26">
        <v>20287</v>
      </c>
      <c r="J117" s="131">
        <v>21550</v>
      </c>
      <c r="K117" s="136">
        <f t="shared" si="23"/>
        <v>6.2256617538325036</v>
      </c>
      <c r="L117" s="136">
        <f t="shared" si="24"/>
        <v>13.083204322617854</v>
      </c>
      <c r="M117" s="26">
        <v>1296</v>
      </c>
      <c r="N117" s="131">
        <v>1358</v>
      </c>
      <c r="O117" s="136">
        <f t="shared" si="25"/>
        <v>4.7839506172839501</v>
      </c>
      <c r="P117" s="39" t="s">
        <v>7</v>
      </c>
      <c r="Q117" s="13"/>
    </row>
    <row r="118" spans="1:17" s="7" customFormat="1" x14ac:dyDescent="0.25">
      <c r="A118" s="24">
        <v>12</v>
      </c>
      <c r="B118" s="25" t="s">
        <v>127</v>
      </c>
      <c r="C118" s="26">
        <v>79</v>
      </c>
      <c r="D118" s="131">
        <v>21</v>
      </c>
      <c r="E118" s="131">
        <v>21</v>
      </c>
      <c r="F118" s="136">
        <f t="shared" si="26"/>
        <v>0</v>
      </c>
      <c r="G118" s="136">
        <f t="shared" si="22"/>
        <v>26.582278481012658</v>
      </c>
      <c r="H118" s="26">
        <v>141671</v>
      </c>
      <c r="I118" s="26">
        <v>22637</v>
      </c>
      <c r="J118" s="131">
        <v>23259</v>
      </c>
      <c r="K118" s="136">
        <f t="shared" si="23"/>
        <v>2.7477139196890046</v>
      </c>
      <c r="L118" s="136">
        <f t="shared" si="24"/>
        <v>16.41761546117413</v>
      </c>
      <c r="M118" s="26">
        <v>1577</v>
      </c>
      <c r="N118" s="131">
        <v>1618</v>
      </c>
      <c r="O118" s="136">
        <f t="shared" si="25"/>
        <v>2.5998731769181993</v>
      </c>
      <c r="P118" s="39" t="s">
        <v>7</v>
      </c>
      <c r="Q118" s="13"/>
    </row>
    <row r="119" spans="1:17" s="7" customFormat="1" x14ac:dyDescent="0.25">
      <c r="A119" s="24">
        <v>13</v>
      </c>
      <c r="B119" s="25" t="s">
        <v>128</v>
      </c>
      <c r="C119" s="26">
        <v>50</v>
      </c>
      <c r="D119" s="26">
        <v>35</v>
      </c>
      <c r="E119" s="26">
        <v>35</v>
      </c>
      <c r="F119" s="136">
        <f t="shared" si="26"/>
        <v>0</v>
      </c>
      <c r="G119" s="136">
        <f t="shared" si="22"/>
        <v>70</v>
      </c>
      <c r="H119" s="37">
        <v>128408</v>
      </c>
      <c r="I119" s="26">
        <v>22828</v>
      </c>
      <c r="J119" s="26">
        <v>23463</v>
      </c>
      <c r="K119" s="136">
        <f t="shared" si="23"/>
        <v>2.7816716313299459</v>
      </c>
      <c r="L119" s="136">
        <f t="shared" si="24"/>
        <v>18.27222602953087</v>
      </c>
      <c r="M119" s="26">
        <v>1278</v>
      </c>
      <c r="N119" s="26">
        <v>1326</v>
      </c>
      <c r="O119" s="136">
        <f t="shared" si="25"/>
        <v>3.755868544600939</v>
      </c>
      <c r="P119" s="39" t="s">
        <v>6</v>
      </c>
      <c r="Q119" s="13"/>
    </row>
    <row r="120" spans="1:17" s="7" customFormat="1" x14ac:dyDescent="0.25">
      <c r="A120" s="24">
        <v>14</v>
      </c>
      <c r="B120" s="25" t="s">
        <v>129</v>
      </c>
      <c r="C120" s="26">
        <v>89</v>
      </c>
      <c r="D120" s="131">
        <v>7</v>
      </c>
      <c r="E120" s="131">
        <v>10</v>
      </c>
      <c r="F120" s="136">
        <f t="shared" si="26"/>
        <v>42.857142857142854</v>
      </c>
      <c r="G120" s="136">
        <f t="shared" si="22"/>
        <v>11.235955056179774</v>
      </c>
      <c r="H120" s="26">
        <v>122340</v>
      </c>
      <c r="I120" s="26">
        <v>9580</v>
      </c>
      <c r="J120" s="131">
        <v>9815</v>
      </c>
      <c r="K120" s="136">
        <f t="shared" si="23"/>
        <v>2.453027139874739</v>
      </c>
      <c r="L120" s="136">
        <f t="shared" si="24"/>
        <v>8.0227235572993294</v>
      </c>
      <c r="M120" s="26">
        <v>746</v>
      </c>
      <c r="N120" s="131">
        <v>763</v>
      </c>
      <c r="O120" s="136">
        <f t="shared" si="25"/>
        <v>2.2788203753351208</v>
      </c>
      <c r="P120" s="39" t="s">
        <v>7</v>
      </c>
      <c r="Q120" s="13"/>
    </row>
    <row r="121" spans="1:17" s="7" customFormat="1" x14ac:dyDescent="0.25">
      <c r="A121" s="24">
        <v>15</v>
      </c>
      <c r="B121" s="25" t="s">
        <v>130</v>
      </c>
      <c r="C121" s="26">
        <v>98</v>
      </c>
      <c r="D121" s="131">
        <v>19</v>
      </c>
      <c r="E121" s="131">
        <v>19</v>
      </c>
      <c r="F121" s="136">
        <f t="shared" si="26"/>
        <v>0</v>
      </c>
      <c r="G121" s="136">
        <f t="shared" si="22"/>
        <v>19.387755102040817</v>
      </c>
      <c r="H121" s="26">
        <v>122340</v>
      </c>
      <c r="I121" s="26">
        <v>21818</v>
      </c>
      <c r="J121" s="131">
        <v>22541</v>
      </c>
      <c r="K121" s="136">
        <f t="shared" si="23"/>
        <v>3.3137776148134566</v>
      </c>
      <c r="L121" s="136">
        <f t="shared" si="24"/>
        <v>18.424881477848619</v>
      </c>
      <c r="M121" s="26">
        <v>1323</v>
      </c>
      <c r="N121" s="131">
        <v>1368</v>
      </c>
      <c r="O121" s="136">
        <f t="shared" si="25"/>
        <v>3.4013605442176869</v>
      </c>
      <c r="P121" s="39" t="s">
        <v>7</v>
      </c>
      <c r="Q121" s="13"/>
    </row>
    <row r="122" spans="1:17" x14ac:dyDescent="0.25">
      <c r="A122" s="24">
        <v>15</v>
      </c>
      <c r="B122" s="25" t="s">
        <v>131</v>
      </c>
      <c r="C122" s="26">
        <v>98</v>
      </c>
      <c r="D122" s="26">
        <v>70</v>
      </c>
      <c r="E122" s="26">
        <v>70</v>
      </c>
      <c r="F122" s="136">
        <f t="shared" si="26"/>
        <v>0</v>
      </c>
      <c r="G122" s="136">
        <f t="shared" si="22"/>
        <v>71.428571428571431</v>
      </c>
      <c r="H122" s="26">
        <v>78458</v>
      </c>
      <c r="I122" s="26">
        <v>17775</v>
      </c>
      <c r="J122" s="26">
        <v>17775</v>
      </c>
      <c r="K122" s="136">
        <f t="shared" si="23"/>
        <v>0</v>
      </c>
      <c r="L122" s="136">
        <f t="shared" si="24"/>
        <v>22.655433480333425</v>
      </c>
      <c r="M122" s="26">
        <v>1662</v>
      </c>
      <c r="N122" s="26">
        <v>1662</v>
      </c>
      <c r="O122" s="136">
        <f t="shared" si="25"/>
        <v>0</v>
      </c>
      <c r="P122" s="28" t="s">
        <v>6</v>
      </c>
      <c r="Q122" s="13"/>
    </row>
    <row r="123" spans="1:17" s="7" customFormat="1" x14ac:dyDescent="0.25">
      <c r="A123" s="24">
        <v>16</v>
      </c>
      <c r="B123" s="25" t="s">
        <v>132</v>
      </c>
      <c r="C123" s="26">
        <v>49</v>
      </c>
      <c r="D123" s="26">
        <v>45</v>
      </c>
      <c r="E123" s="26">
        <v>45</v>
      </c>
      <c r="F123" s="136">
        <f t="shared" si="26"/>
        <v>0</v>
      </c>
      <c r="G123" s="136">
        <f t="shared" si="22"/>
        <v>91.83673469387756</v>
      </c>
      <c r="H123" s="37">
        <v>47082</v>
      </c>
      <c r="I123" s="26">
        <v>107911</v>
      </c>
      <c r="J123" s="26">
        <v>107911</v>
      </c>
      <c r="K123" s="136">
        <f t="shared" si="23"/>
        <v>0</v>
      </c>
      <c r="L123" s="136">
        <f t="shared" si="24"/>
        <v>229.19799498746866</v>
      </c>
      <c r="M123" s="26">
        <v>6331</v>
      </c>
      <c r="N123" s="26">
        <v>6331</v>
      </c>
      <c r="O123" s="136">
        <f t="shared" si="25"/>
        <v>0</v>
      </c>
      <c r="P123" s="39" t="s">
        <v>6</v>
      </c>
      <c r="Q123" s="13"/>
    </row>
    <row r="124" spans="1:17" s="7" customFormat="1" x14ac:dyDescent="0.25">
      <c r="A124" s="24">
        <v>17</v>
      </c>
      <c r="B124" s="25" t="s">
        <v>133</v>
      </c>
      <c r="C124" s="26">
        <v>30</v>
      </c>
      <c r="D124" s="131">
        <v>27</v>
      </c>
      <c r="E124" s="131">
        <v>27</v>
      </c>
      <c r="F124" s="136">
        <f t="shared" si="26"/>
        <v>0</v>
      </c>
      <c r="G124" s="136">
        <f t="shared" si="22"/>
        <v>90</v>
      </c>
      <c r="H124" s="26">
        <v>39648</v>
      </c>
      <c r="I124" s="26">
        <v>34184</v>
      </c>
      <c r="J124" s="131">
        <v>34784</v>
      </c>
      <c r="K124" s="136">
        <f t="shared" si="23"/>
        <v>1.7552071144395041</v>
      </c>
      <c r="L124" s="136">
        <f t="shared" si="24"/>
        <v>87.732041969330098</v>
      </c>
      <c r="M124" s="26">
        <v>2231</v>
      </c>
      <c r="N124" s="131">
        <v>2292</v>
      </c>
      <c r="O124" s="136">
        <f t="shared" si="25"/>
        <v>2.7341999103541013</v>
      </c>
      <c r="P124" s="39" t="s">
        <v>7</v>
      </c>
      <c r="Q124" s="13"/>
    </row>
    <row r="125" spans="1:17" s="7" customFormat="1" x14ac:dyDescent="0.25">
      <c r="A125" s="24">
        <v>18</v>
      </c>
      <c r="B125" s="25" t="s">
        <v>134</v>
      </c>
      <c r="C125" s="26">
        <v>44</v>
      </c>
      <c r="D125" s="131">
        <v>31</v>
      </c>
      <c r="E125" s="131">
        <v>24</v>
      </c>
      <c r="F125" s="136">
        <f t="shared" si="26"/>
        <v>-22.580645161290324</v>
      </c>
      <c r="G125" s="136">
        <f t="shared" si="22"/>
        <v>54.545454545454547</v>
      </c>
      <c r="H125" s="26">
        <v>159486</v>
      </c>
      <c r="I125" s="26">
        <v>112703</v>
      </c>
      <c r="J125" s="131">
        <v>113410</v>
      </c>
      <c r="K125" s="136">
        <f t="shared" si="23"/>
        <v>0.62731249389989618</v>
      </c>
      <c r="L125" s="136">
        <f t="shared" si="24"/>
        <v>71.109689878735438</v>
      </c>
      <c r="M125" s="26">
        <v>7492</v>
      </c>
      <c r="N125" s="131">
        <v>7537</v>
      </c>
      <c r="O125" s="136">
        <f t="shared" si="25"/>
        <v>0.60064068339562193</v>
      </c>
      <c r="P125" s="39" t="s">
        <v>7</v>
      </c>
      <c r="Q125" s="13"/>
    </row>
    <row r="126" spans="1:17" s="7" customFormat="1" x14ac:dyDescent="0.25">
      <c r="A126" s="24">
        <v>19</v>
      </c>
      <c r="B126" s="25" t="s">
        <v>135</v>
      </c>
      <c r="C126" s="26">
        <v>70</v>
      </c>
      <c r="D126" s="26">
        <v>70</v>
      </c>
      <c r="E126" s="26">
        <v>70</v>
      </c>
      <c r="F126" s="136">
        <f t="shared" si="26"/>
        <v>0</v>
      </c>
      <c r="G126" s="136">
        <f t="shared" si="22"/>
        <v>100</v>
      </c>
      <c r="H126" s="37">
        <v>202554</v>
      </c>
      <c r="I126" s="26">
        <v>46705</v>
      </c>
      <c r="J126" s="26">
        <v>46705</v>
      </c>
      <c r="K126" s="136">
        <f t="shared" si="23"/>
        <v>0</v>
      </c>
      <c r="L126" s="136">
        <f t="shared" si="24"/>
        <v>23.058048717872765</v>
      </c>
      <c r="M126" s="26">
        <v>3886</v>
      </c>
      <c r="N126" s="26">
        <v>3886</v>
      </c>
      <c r="O126" s="136">
        <f t="shared" si="25"/>
        <v>0</v>
      </c>
      <c r="P126" s="39" t="s">
        <v>6</v>
      </c>
      <c r="Q126" s="13"/>
    </row>
    <row r="127" spans="1:17" s="7" customFormat="1" x14ac:dyDescent="0.25">
      <c r="A127" s="24">
        <v>19</v>
      </c>
      <c r="B127" s="25" t="s">
        <v>262</v>
      </c>
      <c r="C127" s="26">
        <v>70</v>
      </c>
      <c r="D127" s="131">
        <v>2</v>
      </c>
      <c r="E127" s="131">
        <v>3</v>
      </c>
      <c r="F127" s="136">
        <f t="shared" si="26"/>
        <v>50</v>
      </c>
      <c r="G127" s="136">
        <f t="shared" si="22"/>
        <v>4.2857142857142856</v>
      </c>
      <c r="H127" s="37">
        <v>202554</v>
      </c>
      <c r="I127" s="26">
        <v>663</v>
      </c>
      <c r="J127" s="131">
        <v>1020</v>
      </c>
      <c r="K127" s="136">
        <f t="shared" si="23"/>
        <v>53.846153846153847</v>
      </c>
      <c r="L127" s="136">
        <f t="shared" si="24"/>
        <v>0.50356941852543025</v>
      </c>
      <c r="M127" s="26">
        <v>47</v>
      </c>
      <c r="N127" s="131">
        <v>69</v>
      </c>
      <c r="O127" s="136">
        <f t="shared" si="25"/>
        <v>46.808510638297875</v>
      </c>
      <c r="P127" s="39" t="s">
        <v>7</v>
      </c>
      <c r="Q127" s="13"/>
    </row>
    <row r="128" spans="1:17" s="7" customFormat="1" x14ac:dyDescent="0.25">
      <c r="A128" s="24">
        <v>20</v>
      </c>
      <c r="B128" s="25" t="s">
        <v>136</v>
      </c>
      <c r="C128" s="26">
        <v>65</v>
      </c>
      <c r="D128" s="131">
        <v>53</v>
      </c>
      <c r="E128" s="131">
        <v>53</v>
      </c>
      <c r="F128" s="136">
        <f t="shared" si="26"/>
        <v>0</v>
      </c>
      <c r="G128" s="136">
        <f t="shared" si="22"/>
        <v>81.538461538461533</v>
      </c>
      <c r="H128" s="26">
        <v>106515</v>
      </c>
      <c r="I128" s="26">
        <v>27027</v>
      </c>
      <c r="J128" s="131">
        <v>28121</v>
      </c>
      <c r="K128" s="136">
        <f t="shared" si="23"/>
        <v>4.047804047804048</v>
      </c>
      <c r="L128" s="136">
        <f t="shared" si="24"/>
        <v>26.400976388302116</v>
      </c>
      <c r="M128" s="26">
        <v>1792</v>
      </c>
      <c r="N128" s="131">
        <v>1848</v>
      </c>
      <c r="O128" s="136">
        <f t="shared" si="25"/>
        <v>3.1249999999999996</v>
      </c>
      <c r="P128" s="39" t="s">
        <v>7</v>
      </c>
      <c r="Q128" s="13"/>
    </row>
    <row r="129" spans="1:17" s="7" customFormat="1" x14ac:dyDescent="0.25">
      <c r="A129" s="24">
        <v>21</v>
      </c>
      <c r="B129" s="25" t="s">
        <v>137</v>
      </c>
      <c r="C129" s="26">
        <v>53</v>
      </c>
      <c r="D129" s="26">
        <v>42</v>
      </c>
      <c r="E129" s="26">
        <v>42</v>
      </c>
      <c r="F129" s="136">
        <f t="shared" si="26"/>
        <v>0</v>
      </c>
      <c r="G129" s="136">
        <f t="shared" si="22"/>
        <v>79.245283018867923</v>
      </c>
      <c r="H129" s="37">
        <v>120486</v>
      </c>
      <c r="I129" s="26">
        <v>57973</v>
      </c>
      <c r="J129" s="26">
        <v>59058</v>
      </c>
      <c r="K129" s="136">
        <f t="shared" si="23"/>
        <v>1.8715608990392079</v>
      </c>
      <c r="L129" s="136">
        <f t="shared" si="24"/>
        <v>49.016483242866393</v>
      </c>
      <c r="M129" s="26">
        <v>3302</v>
      </c>
      <c r="N129" s="26">
        <v>3367</v>
      </c>
      <c r="O129" s="136">
        <f t="shared" si="25"/>
        <v>1.9685039370078738</v>
      </c>
      <c r="P129" s="39" t="s">
        <v>6</v>
      </c>
      <c r="Q129" s="13"/>
    </row>
    <row r="130" spans="1:17" s="7" customFormat="1" x14ac:dyDescent="0.25">
      <c r="A130" s="24">
        <v>22</v>
      </c>
      <c r="B130" s="25" t="s">
        <v>138</v>
      </c>
      <c r="C130" s="26">
        <v>69</v>
      </c>
      <c r="D130" s="131">
        <v>22</v>
      </c>
      <c r="E130" s="131">
        <v>22</v>
      </c>
      <c r="F130" s="136">
        <f t="shared" si="26"/>
        <v>0</v>
      </c>
      <c r="G130" s="136">
        <f t="shared" si="22"/>
        <v>31.884057971014496</v>
      </c>
      <c r="H130" s="26">
        <v>261678</v>
      </c>
      <c r="I130" s="26">
        <v>35212</v>
      </c>
      <c r="J130" s="131">
        <v>35212</v>
      </c>
      <c r="K130" s="136">
        <f t="shared" si="23"/>
        <v>0</v>
      </c>
      <c r="L130" s="136">
        <f t="shared" si="24"/>
        <v>13.456232468912173</v>
      </c>
      <c r="M130" s="26">
        <v>2382</v>
      </c>
      <c r="N130" s="131">
        <v>2382</v>
      </c>
      <c r="O130" s="136">
        <f t="shared" si="25"/>
        <v>0</v>
      </c>
      <c r="P130" s="39" t="s">
        <v>7</v>
      </c>
      <c r="Q130" s="13"/>
    </row>
    <row r="131" spans="1:17" x14ac:dyDescent="0.25">
      <c r="A131" s="24">
        <v>22</v>
      </c>
      <c r="B131" s="25" t="s">
        <v>139</v>
      </c>
      <c r="C131" s="26">
        <v>69</v>
      </c>
      <c r="D131" s="26">
        <v>58</v>
      </c>
      <c r="E131" s="26">
        <v>58</v>
      </c>
      <c r="F131" s="136">
        <f t="shared" si="26"/>
        <v>0</v>
      </c>
      <c r="G131" s="136">
        <f t="shared" si="22"/>
        <v>84.057971014492765</v>
      </c>
      <c r="H131" s="26">
        <v>261678</v>
      </c>
      <c r="I131" s="26">
        <v>17654</v>
      </c>
      <c r="J131" s="26">
        <v>17654</v>
      </c>
      <c r="K131" s="136">
        <f t="shared" si="23"/>
        <v>0</v>
      </c>
      <c r="L131" s="136">
        <f t="shared" si="24"/>
        <v>6.7464593890200932</v>
      </c>
      <c r="M131" s="26">
        <v>1958</v>
      </c>
      <c r="N131" s="26">
        <v>1958</v>
      </c>
      <c r="O131" s="136">
        <f t="shared" si="25"/>
        <v>0</v>
      </c>
      <c r="P131" s="28" t="s">
        <v>6</v>
      </c>
      <c r="Q131" s="13"/>
    </row>
    <row r="132" spans="1:17" s="7" customFormat="1" x14ac:dyDescent="0.25">
      <c r="A132" s="24">
        <v>23</v>
      </c>
      <c r="B132" s="25" t="s">
        <v>140</v>
      </c>
      <c r="C132" s="26">
        <v>93</v>
      </c>
      <c r="D132" s="131">
        <v>80</v>
      </c>
      <c r="E132" s="131">
        <v>16</v>
      </c>
      <c r="F132" s="136">
        <f t="shared" si="26"/>
        <v>-80</v>
      </c>
      <c r="G132" s="136">
        <f t="shared" si="22"/>
        <v>17.204301075268816</v>
      </c>
      <c r="H132" s="26">
        <v>317647</v>
      </c>
      <c r="I132" s="26">
        <v>144477</v>
      </c>
      <c r="J132" s="131">
        <v>145357</v>
      </c>
      <c r="K132" s="136">
        <f t="shared" si="23"/>
        <v>0.6090934889290337</v>
      </c>
      <c r="L132" s="136">
        <f t="shared" si="24"/>
        <v>45.760545511212136</v>
      </c>
      <c r="M132" s="26">
        <v>8729</v>
      </c>
      <c r="N132" s="131">
        <v>8823</v>
      </c>
      <c r="O132" s="136">
        <f t="shared" si="25"/>
        <v>1.076870202772368</v>
      </c>
      <c r="P132" s="39" t="s">
        <v>7</v>
      </c>
      <c r="Q132" s="13"/>
    </row>
    <row r="133" spans="1:17" x14ac:dyDescent="0.25">
      <c r="A133" s="24">
        <v>23</v>
      </c>
      <c r="B133" s="25" t="s">
        <v>141</v>
      </c>
      <c r="C133" s="26">
        <v>93</v>
      </c>
      <c r="D133" s="26">
        <v>24</v>
      </c>
      <c r="E133" s="26">
        <v>24</v>
      </c>
      <c r="F133" s="136">
        <f t="shared" si="26"/>
        <v>0</v>
      </c>
      <c r="G133" s="136">
        <f t="shared" si="22"/>
        <v>25.806451612903224</v>
      </c>
      <c r="H133" s="26">
        <v>317647</v>
      </c>
      <c r="I133" s="26">
        <v>0</v>
      </c>
      <c r="J133" s="26">
        <v>0</v>
      </c>
      <c r="K133" s="136">
        <v>0</v>
      </c>
      <c r="L133" s="136">
        <f t="shared" si="24"/>
        <v>0</v>
      </c>
      <c r="M133" s="26">
        <v>0</v>
      </c>
      <c r="N133" s="26">
        <v>0</v>
      </c>
      <c r="O133" s="136">
        <v>0</v>
      </c>
      <c r="P133" s="28" t="s">
        <v>6</v>
      </c>
      <c r="Q133" s="13"/>
    </row>
    <row r="134" spans="1:17" x14ac:dyDescent="0.25">
      <c r="A134" s="24">
        <v>24</v>
      </c>
      <c r="B134" s="25" t="s">
        <v>279</v>
      </c>
      <c r="C134" s="26">
        <v>65</v>
      </c>
      <c r="D134" s="131">
        <v>4</v>
      </c>
      <c r="E134" s="131">
        <v>0</v>
      </c>
      <c r="F134" s="136">
        <f t="shared" si="26"/>
        <v>-100</v>
      </c>
      <c r="G134" s="136">
        <f t="shared" si="22"/>
        <v>0</v>
      </c>
      <c r="H134" s="26">
        <v>187137</v>
      </c>
      <c r="I134" s="26">
        <v>695</v>
      </c>
      <c r="J134" s="131">
        <v>695</v>
      </c>
      <c r="K134" s="136">
        <f t="shared" si="23"/>
        <v>0</v>
      </c>
      <c r="L134" s="136">
        <f t="shared" si="24"/>
        <v>0.37138566932247502</v>
      </c>
      <c r="M134" s="26">
        <v>45</v>
      </c>
      <c r="N134" s="131">
        <v>45</v>
      </c>
      <c r="O134" s="136">
        <f t="shared" si="25"/>
        <v>0</v>
      </c>
      <c r="P134" s="106" t="s">
        <v>7</v>
      </c>
      <c r="Q134" s="13"/>
    </row>
    <row r="135" spans="1:17" s="7" customFormat="1" x14ac:dyDescent="0.25">
      <c r="A135" s="24">
        <v>25</v>
      </c>
      <c r="B135" s="25" t="s">
        <v>142</v>
      </c>
      <c r="C135" s="26">
        <v>74</v>
      </c>
      <c r="D135" s="131">
        <v>61</v>
      </c>
      <c r="E135" s="131">
        <v>61</v>
      </c>
      <c r="F135" s="136">
        <f t="shared" si="26"/>
        <v>0</v>
      </c>
      <c r="G135" s="136">
        <f t="shared" si="22"/>
        <v>82.432432432432435</v>
      </c>
      <c r="H135" s="26">
        <v>150406</v>
      </c>
      <c r="I135" s="26">
        <v>85624</v>
      </c>
      <c r="J135" s="131">
        <v>89214</v>
      </c>
      <c r="K135" s="136">
        <f t="shared" si="23"/>
        <v>4.1927496963468185</v>
      </c>
      <c r="L135" s="136">
        <f t="shared" si="24"/>
        <v>59.315452840977088</v>
      </c>
      <c r="M135" s="26">
        <v>4337</v>
      </c>
      <c r="N135" s="131">
        <v>4480</v>
      </c>
      <c r="O135" s="136">
        <f t="shared" si="25"/>
        <v>3.2972100530320501</v>
      </c>
      <c r="P135" s="39" t="s">
        <v>7</v>
      </c>
      <c r="Q135" s="13"/>
    </row>
    <row r="136" spans="1:17" s="7" customFormat="1" x14ac:dyDescent="0.25">
      <c r="A136" s="24">
        <v>26</v>
      </c>
      <c r="B136" s="25" t="s">
        <v>143</v>
      </c>
      <c r="C136" s="26">
        <v>111</v>
      </c>
      <c r="D136" s="131">
        <v>27</v>
      </c>
      <c r="E136" s="131">
        <v>27</v>
      </c>
      <c r="F136" s="136">
        <f t="shared" si="26"/>
        <v>0</v>
      </c>
      <c r="G136" s="136">
        <f t="shared" si="22"/>
        <v>24.324324324324323</v>
      </c>
      <c r="H136" s="26">
        <v>270191</v>
      </c>
      <c r="I136" s="26">
        <v>26263</v>
      </c>
      <c r="J136" s="131">
        <v>27126</v>
      </c>
      <c r="K136" s="136">
        <f t="shared" si="23"/>
        <v>3.285991699348894</v>
      </c>
      <c r="L136" s="136">
        <f t="shared" si="24"/>
        <v>10.039564604298441</v>
      </c>
      <c r="M136" s="26">
        <v>1695</v>
      </c>
      <c r="N136" s="131">
        <v>1753</v>
      </c>
      <c r="O136" s="136">
        <f t="shared" si="25"/>
        <v>3.4218289085545726</v>
      </c>
      <c r="P136" s="39" t="s">
        <v>7</v>
      </c>
      <c r="Q136" s="13"/>
    </row>
    <row r="137" spans="1:17" s="7" customFormat="1" x14ac:dyDescent="0.25">
      <c r="A137" s="24">
        <v>27</v>
      </c>
      <c r="B137" s="25" t="s">
        <v>144</v>
      </c>
      <c r="C137" s="26">
        <v>63</v>
      </c>
      <c r="D137" s="131">
        <v>20</v>
      </c>
      <c r="E137" s="131">
        <v>20</v>
      </c>
      <c r="F137" s="136">
        <f t="shared" si="26"/>
        <v>0</v>
      </c>
      <c r="G137" s="136">
        <f t="shared" si="22"/>
        <v>31.746031746031747</v>
      </c>
      <c r="H137" s="26">
        <v>174888</v>
      </c>
      <c r="I137" s="26">
        <v>18446</v>
      </c>
      <c r="J137" s="131">
        <v>19019</v>
      </c>
      <c r="K137" s="136">
        <f t="shared" si="23"/>
        <v>3.1063645234739239</v>
      </c>
      <c r="L137" s="136">
        <f t="shared" si="24"/>
        <v>10.874959974383605</v>
      </c>
      <c r="M137" s="26">
        <v>1187</v>
      </c>
      <c r="N137" s="131">
        <v>1225</v>
      </c>
      <c r="O137" s="136">
        <f t="shared" si="25"/>
        <v>3.2013479359730415</v>
      </c>
      <c r="P137" s="39" t="s">
        <v>7</v>
      </c>
      <c r="Q137" s="13"/>
    </row>
    <row r="138" spans="1:17" x14ac:dyDescent="0.25">
      <c r="A138" s="24">
        <v>27</v>
      </c>
      <c r="B138" s="25" t="s">
        <v>145</v>
      </c>
      <c r="C138" s="26">
        <v>63</v>
      </c>
      <c r="D138" s="26">
        <v>54</v>
      </c>
      <c r="E138" s="26">
        <v>54</v>
      </c>
      <c r="F138" s="136">
        <f t="shared" si="26"/>
        <v>0</v>
      </c>
      <c r="G138" s="136">
        <f t="shared" si="22"/>
        <v>85.714285714285708</v>
      </c>
      <c r="H138" s="26">
        <v>174888</v>
      </c>
      <c r="I138" s="26">
        <v>12295</v>
      </c>
      <c r="J138" s="26">
        <v>12295</v>
      </c>
      <c r="K138" s="136">
        <f t="shared" si="23"/>
        <v>0</v>
      </c>
      <c r="L138" s="136">
        <f t="shared" si="24"/>
        <v>7.0302136224326421</v>
      </c>
      <c r="M138" s="26">
        <v>1486</v>
      </c>
      <c r="N138" s="26">
        <v>1486</v>
      </c>
      <c r="O138" s="136">
        <f t="shared" si="25"/>
        <v>0</v>
      </c>
      <c r="P138" s="28" t="s">
        <v>6</v>
      </c>
      <c r="Q138" s="13"/>
    </row>
    <row r="139" spans="1:17" s="7" customFormat="1" x14ac:dyDescent="0.25">
      <c r="A139" s="24">
        <v>28</v>
      </c>
      <c r="B139" s="25" t="s">
        <v>146</v>
      </c>
      <c r="C139" s="26">
        <v>103</v>
      </c>
      <c r="D139" s="26">
        <v>103</v>
      </c>
      <c r="E139" s="26">
        <v>103</v>
      </c>
      <c r="F139" s="136">
        <f t="shared" si="26"/>
        <v>0</v>
      </c>
      <c r="G139" s="136">
        <f t="shared" si="22"/>
        <v>100</v>
      </c>
      <c r="H139" s="37">
        <v>338677</v>
      </c>
      <c r="I139" s="26">
        <v>66148</v>
      </c>
      <c r="J139" s="26">
        <v>66394</v>
      </c>
      <c r="K139" s="136">
        <f t="shared" si="23"/>
        <v>0.3718933301082421</v>
      </c>
      <c r="L139" s="136">
        <f t="shared" si="24"/>
        <v>19.60392940766571</v>
      </c>
      <c r="M139" s="26">
        <v>6260</v>
      </c>
      <c r="N139" s="26">
        <v>6376</v>
      </c>
      <c r="O139" s="136">
        <f t="shared" si="25"/>
        <v>1.8530351437699679</v>
      </c>
      <c r="P139" s="39" t="s">
        <v>6</v>
      </c>
      <c r="Q139" s="13"/>
    </row>
    <row r="140" spans="1:17" s="7" customFormat="1" x14ac:dyDescent="0.25">
      <c r="A140" s="24">
        <v>29</v>
      </c>
      <c r="B140" s="25" t="s">
        <v>147</v>
      </c>
      <c r="C140" s="26">
        <v>44</v>
      </c>
      <c r="D140" s="26">
        <v>43</v>
      </c>
      <c r="E140" s="26">
        <v>43</v>
      </c>
      <c r="F140" s="136">
        <f t="shared" si="26"/>
        <v>0</v>
      </c>
      <c r="G140" s="136">
        <f t="shared" si="22"/>
        <v>97.727272727272734</v>
      </c>
      <c r="H140" s="37">
        <v>133182</v>
      </c>
      <c r="I140" s="26">
        <v>84780</v>
      </c>
      <c r="J140" s="26">
        <v>84780</v>
      </c>
      <c r="K140" s="136">
        <f t="shared" si="23"/>
        <v>0</v>
      </c>
      <c r="L140" s="136">
        <f t="shared" si="24"/>
        <v>63.657250979862148</v>
      </c>
      <c r="M140" s="26">
        <v>5899</v>
      </c>
      <c r="N140" s="26">
        <v>5899</v>
      </c>
      <c r="O140" s="136">
        <f t="shared" si="25"/>
        <v>0</v>
      </c>
      <c r="P140" s="39" t="s">
        <v>6</v>
      </c>
      <c r="Q140" s="13"/>
    </row>
    <row r="141" spans="1:17" s="7" customFormat="1" x14ac:dyDescent="0.25">
      <c r="A141" s="24">
        <v>29</v>
      </c>
      <c r="B141" s="25" t="s">
        <v>280</v>
      </c>
      <c r="C141" s="26">
        <v>44</v>
      </c>
      <c r="D141" s="131">
        <v>33</v>
      </c>
      <c r="E141" s="131">
        <v>0</v>
      </c>
      <c r="F141" s="136">
        <f t="shared" si="26"/>
        <v>-100</v>
      </c>
      <c r="G141" s="136">
        <f t="shared" si="22"/>
        <v>0</v>
      </c>
      <c r="H141" s="26">
        <v>133182</v>
      </c>
      <c r="I141" s="26">
        <v>18650</v>
      </c>
      <c r="J141" s="131">
        <v>18650</v>
      </c>
      <c r="K141" s="136">
        <f t="shared" si="23"/>
        <v>0</v>
      </c>
      <c r="L141" s="136">
        <f t="shared" si="24"/>
        <v>14.003393852022045</v>
      </c>
      <c r="M141" s="26">
        <v>1218</v>
      </c>
      <c r="N141" s="131">
        <v>1218</v>
      </c>
      <c r="O141" s="136">
        <f t="shared" si="25"/>
        <v>0</v>
      </c>
      <c r="P141" s="39" t="s">
        <v>7</v>
      </c>
      <c r="Q141" s="13"/>
    </row>
    <row r="142" spans="1:17" s="7" customFormat="1" x14ac:dyDescent="0.25">
      <c r="A142" s="24">
        <v>30</v>
      </c>
      <c r="B142" s="25" t="s">
        <v>148</v>
      </c>
      <c r="C142" s="26">
        <v>58</v>
      </c>
      <c r="D142" s="26">
        <v>58</v>
      </c>
      <c r="E142" s="26">
        <v>58</v>
      </c>
      <c r="F142" s="136">
        <f t="shared" si="26"/>
        <v>0</v>
      </c>
      <c r="G142" s="136">
        <f t="shared" si="22"/>
        <v>100</v>
      </c>
      <c r="H142" s="37">
        <v>256911</v>
      </c>
      <c r="I142" s="26">
        <v>65825</v>
      </c>
      <c r="J142" s="26">
        <v>66096</v>
      </c>
      <c r="K142" s="136">
        <f t="shared" si="23"/>
        <v>0.41169768325104444</v>
      </c>
      <c r="L142" s="136">
        <f t="shared" si="24"/>
        <v>25.727197356282915</v>
      </c>
      <c r="M142" s="26">
        <v>4202</v>
      </c>
      <c r="N142" s="26">
        <v>4213</v>
      </c>
      <c r="O142" s="136">
        <f t="shared" si="25"/>
        <v>0.26178010471204188</v>
      </c>
      <c r="P142" s="39" t="s">
        <v>6</v>
      </c>
      <c r="Q142" s="13"/>
    </row>
    <row r="143" spans="1:17" s="7" customFormat="1" x14ac:dyDescent="0.25">
      <c r="A143" s="24">
        <v>31</v>
      </c>
      <c r="B143" s="25" t="s">
        <v>149</v>
      </c>
      <c r="C143" s="26">
        <v>83</v>
      </c>
      <c r="D143" s="131">
        <v>39</v>
      </c>
      <c r="E143" s="131">
        <v>39</v>
      </c>
      <c r="F143" s="136">
        <f t="shared" si="26"/>
        <v>0</v>
      </c>
      <c r="G143" s="136">
        <f t="shared" si="22"/>
        <v>46.987951807228917</v>
      </c>
      <c r="H143" s="26">
        <v>227413</v>
      </c>
      <c r="I143" s="26">
        <v>35460</v>
      </c>
      <c r="J143" s="131">
        <v>36797</v>
      </c>
      <c r="K143" s="136">
        <f t="shared" si="23"/>
        <v>3.7704455724760293</v>
      </c>
      <c r="L143" s="136">
        <f t="shared" si="24"/>
        <v>16.180693276109984</v>
      </c>
      <c r="M143" s="26">
        <v>2201</v>
      </c>
      <c r="N143" s="131">
        <v>2290</v>
      </c>
      <c r="O143" s="136">
        <f t="shared" si="25"/>
        <v>4.043616537937301</v>
      </c>
      <c r="P143" s="39" t="s">
        <v>7</v>
      </c>
      <c r="Q143" s="13"/>
    </row>
    <row r="144" spans="1:17" x14ac:dyDescent="0.25">
      <c r="A144" s="24">
        <v>31</v>
      </c>
      <c r="B144" s="25" t="s">
        <v>150</v>
      </c>
      <c r="C144" s="26">
        <v>83</v>
      </c>
      <c r="D144" s="26">
        <v>52</v>
      </c>
      <c r="E144" s="26">
        <v>52</v>
      </c>
      <c r="F144" s="136">
        <f t="shared" si="26"/>
        <v>0</v>
      </c>
      <c r="G144" s="136">
        <f t="shared" si="22"/>
        <v>62.650602409638559</v>
      </c>
      <c r="H144" s="26">
        <v>227413</v>
      </c>
      <c r="I144" s="26">
        <v>12414</v>
      </c>
      <c r="J144" s="26">
        <v>12414</v>
      </c>
      <c r="K144" s="136">
        <f t="shared" si="23"/>
        <v>0</v>
      </c>
      <c r="L144" s="136">
        <f t="shared" si="24"/>
        <v>5.4587908342970719</v>
      </c>
      <c r="M144" s="26">
        <v>1201</v>
      </c>
      <c r="N144" s="26">
        <v>1201</v>
      </c>
      <c r="O144" s="136">
        <f t="shared" si="25"/>
        <v>0</v>
      </c>
      <c r="P144" s="28" t="s">
        <v>6</v>
      </c>
      <c r="Q144" s="13"/>
    </row>
    <row r="145" spans="1:17" s="7" customFormat="1" x14ac:dyDescent="0.25">
      <c r="A145" s="24">
        <v>32</v>
      </c>
      <c r="B145" s="25" t="s">
        <v>151</v>
      </c>
      <c r="C145" s="26">
        <v>132</v>
      </c>
      <c r="D145" s="131">
        <v>57</v>
      </c>
      <c r="E145" s="131">
        <v>57</v>
      </c>
      <c r="F145" s="136">
        <f t="shared" si="26"/>
        <v>0</v>
      </c>
      <c r="G145" s="136">
        <f t="shared" si="22"/>
        <v>43.18181818181818</v>
      </c>
      <c r="H145" s="26">
        <v>303958</v>
      </c>
      <c r="I145" s="26">
        <v>39158</v>
      </c>
      <c r="J145" s="131">
        <v>40296</v>
      </c>
      <c r="K145" s="136">
        <f t="shared" si="23"/>
        <v>2.9061749834005823</v>
      </c>
      <c r="L145" s="136">
        <f t="shared" si="24"/>
        <v>13.257094730192987</v>
      </c>
      <c r="M145" s="26">
        <v>2488</v>
      </c>
      <c r="N145" s="131">
        <v>2559</v>
      </c>
      <c r="O145" s="136">
        <f t="shared" si="25"/>
        <v>2.8536977491961415</v>
      </c>
      <c r="P145" s="39" t="s">
        <v>7</v>
      </c>
      <c r="Q145" s="13"/>
    </row>
    <row r="146" spans="1:17" s="7" customFormat="1" x14ac:dyDescent="0.25">
      <c r="A146" s="24">
        <v>33</v>
      </c>
      <c r="B146" s="25" t="s">
        <v>152</v>
      </c>
      <c r="C146" s="26">
        <v>91</v>
      </c>
      <c r="D146" s="131">
        <v>10</v>
      </c>
      <c r="E146" s="131">
        <v>10</v>
      </c>
      <c r="F146" s="136">
        <f t="shared" si="26"/>
        <v>0</v>
      </c>
      <c r="G146" s="136">
        <f t="shared" si="22"/>
        <v>10.989010989010989</v>
      </c>
      <c r="H146" s="26">
        <v>207804.73300000001</v>
      </c>
      <c r="I146" s="26">
        <v>19533</v>
      </c>
      <c r="J146" s="131">
        <v>20014</v>
      </c>
      <c r="K146" s="136">
        <f t="shared" si="23"/>
        <v>2.4624993600573388</v>
      </c>
      <c r="L146" s="136">
        <f t="shared" si="24"/>
        <v>9.6311569573345572</v>
      </c>
      <c r="M146" s="26">
        <v>1305</v>
      </c>
      <c r="N146" s="131">
        <v>1337</v>
      </c>
      <c r="O146" s="136">
        <f t="shared" si="25"/>
        <v>2.4521072796934864</v>
      </c>
      <c r="P146" s="39" t="s">
        <v>7</v>
      </c>
      <c r="Q146" s="13"/>
    </row>
    <row r="147" spans="1:17" s="7" customFormat="1" x14ac:dyDescent="0.25">
      <c r="A147" s="24">
        <v>34</v>
      </c>
      <c r="B147" s="25" t="s">
        <v>153</v>
      </c>
      <c r="C147" s="26">
        <v>94</v>
      </c>
      <c r="D147" s="131">
        <v>89</v>
      </c>
      <c r="E147" s="131">
        <v>89</v>
      </c>
      <c r="F147" s="136">
        <f t="shared" si="26"/>
        <v>0</v>
      </c>
      <c r="G147" s="136">
        <f t="shared" si="22"/>
        <v>94.680851063829792</v>
      </c>
      <c r="H147" s="26">
        <v>275204</v>
      </c>
      <c r="I147" s="26">
        <v>121338</v>
      </c>
      <c r="J147" s="131">
        <v>126458</v>
      </c>
      <c r="K147" s="136">
        <f t="shared" si="23"/>
        <v>4.2196179267830356</v>
      </c>
      <c r="L147" s="136">
        <f t="shared" si="24"/>
        <v>45.950640252321918</v>
      </c>
      <c r="M147" s="26">
        <v>5710</v>
      </c>
      <c r="N147" s="131">
        <v>5916</v>
      </c>
      <c r="O147" s="136">
        <f t="shared" si="25"/>
        <v>3.6077057793345007</v>
      </c>
      <c r="P147" s="39" t="s">
        <v>7</v>
      </c>
      <c r="Q147" s="13"/>
    </row>
    <row r="148" spans="1:17" s="7" customFormat="1" x14ac:dyDescent="0.25">
      <c r="A148" s="24">
        <v>35</v>
      </c>
      <c r="B148" s="25" t="s">
        <v>154</v>
      </c>
      <c r="C148" s="26">
        <v>79</v>
      </c>
      <c r="D148" s="131">
        <v>22</v>
      </c>
      <c r="E148" s="131">
        <v>22</v>
      </c>
      <c r="F148" s="136">
        <f t="shared" si="26"/>
        <v>0</v>
      </c>
      <c r="G148" s="136">
        <f t="shared" si="22"/>
        <v>27.848101265822784</v>
      </c>
      <c r="H148" s="26">
        <v>187555</v>
      </c>
      <c r="I148" s="26">
        <v>29820</v>
      </c>
      <c r="J148" s="131">
        <v>30904</v>
      </c>
      <c r="K148" s="136">
        <f t="shared" si="23"/>
        <v>3.6351441985244803</v>
      </c>
      <c r="L148" s="136">
        <f t="shared" si="24"/>
        <v>16.477299992002347</v>
      </c>
      <c r="M148" s="26">
        <v>2021</v>
      </c>
      <c r="N148" s="131">
        <v>2093</v>
      </c>
      <c r="O148" s="136">
        <f t="shared" si="25"/>
        <v>3.5625927758535378</v>
      </c>
      <c r="P148" s="39" t="s">
        <v>7</v>
      </c>
      <c r="Q148" s="13"/>
    </row>
    <row r="149" spans="1:17" x14ac:dyDescent="0.25">
      <c r="A149" s="24">
        <v>35</v>
      </c>
      <c r="B149" s="25" t="s">
        <v>155</v>
      </c>
      <c r="C149" s="26">
        <v>79</v>
      </c>
      <c r="D149" s="26">
        <v>61</v>
      </c>
      <c r="E149" s="26">
        <v>61</v>
      </c>
      <c r="F149" s="136">
        <f t="shared" si="26"/>
        <v>0</v>
      </c>
      <c r="G149" s="136">
        <f t="shared" si="22"/>
        <v>77.215189873417714</v>
      </c>
      <c r="H149" s="26">
        <v>187555</v>
      </c>
      <c r="I149" s="26">
        <v>13594</v>
      </c>
      <c r="J149" s="26">
        <v>13594</v>
      </c>
      <c r="K149" s="136">
        <f t="shared" si="23"/>
        <v>0</v>
      </c>
      <c r="L149" s="136">
        <f t="shared" si="24"/>
        <v>7.248007251206313</v>
      </c>
      <c r="M149" s="26">
        <v>1545</v>
      </c>
      <c r="N149" s="26">
        <v>1545</v>
      </c>
      <c r="O149" s="136">
        <f t="shared" si="25"/>
        <v>0</v>
      </c>
      <c r="P149" s="28" t="s">
        <v>6</v>
      </c>
      <c r="Q149" s="13"/>
    </row>
    <row r="150" spans="1:17" s="7" customFormat="1" x14ac:dyDescent="0.25">
      <c r="A150" s="24">
        <v>36</v>
      </c>
      <c r="B150" s="25" t="s">
        <v>156</v>
      </c>
      <c r="C150" s="26">
        <v>87</v>
      </c>
      <c r="D150" s="26">
        <v>80</v>
      </c>
      <c r="E150" s="26">
        <v>80</v>
      </c>
      <c r="F150" s="136">
        <f t="shared" si="26"/>
        <v>0</v>
      </c>
      <c r="G150" s="136">
        <f t="shared" si="22"/>
        <v>91.954022988505741</v>
      </c>
      <c r="H150" s="37">
        <v>257583</v>
      </c>
      <c r="I150" s="26">
        <v>39089</v>
      </c>
      <c r="J150" s="26">
        <v>39089</v>
      </c>
      <c r="K150" s="136">
        <f t="shared" si="23"/>
        <v>0</v>
      </c>
      <c r="L150" s="136">
        <f t="shared" si="24"/>
        <v>15.175302717958871</v>
      </c>
      <c r="M150" s="26">
        <v>3149</v>
      </c>
      <c r="N150" s="26">
        <v>3149</v>
      </c>
      <c r="O150" s="136">
        <f t="shared" si="25"/>
        <v>0</v>
      </c>
      <c r="P150" s="39" t="s">
        <v>6</v>
      </c>
      <c r="Q150" s="13"/>
    </row>
    <row r="151" spans="1:17" s="5" customFormat="1" ht="14.4" thickBot="1" x14ac:dyDescent="0.3">
      <c r="A151" s="29">
        <f>COUNTIF(P105:P150,"*")-10-2</f>
        <v>34</v>
      </c>
      <c r="B151" s="30" t="s">
        <v>91</v>
      </c>
      <c r="C151" s="31">
        <f>SUM(C105:C150)-(C105+C113+C127+C121+C130+C133+C137+C141+C143+C148)</f>
        <v>2635</v>
      </c>
      <c r="D151" s="31">
        <f>SUM(D105:D150)-(D105+D113+D127+D121+D130+D133+D137+D141+D143+D148)</f>
        <v>1844</v>
      </c>
      <c r="E151" s="31">
        <f>SUM(E105:E150)-(E105+E113+E127+E121+E130+E133+E137+E141+E143+E148)</f>
        <v>1761</v>
      </c>
      <c r="F151" s="136">
        <f t="shared" si="26"/>
        <v>-4.5010845986984815</v>
      </c>
      <c r="G151" s="136">
        <f t="shared" si="22"/>
        <v>66.831119544592028</v>
      </c>
      <c r="H151" s="31">
        <f>SUM(H105:H150)-(H105+H113+H127+H121+H130+H133+H137+H141+H143+H148)</f>
        <v>5982197.8585411254</v>
      </c>
      <c r="I151" s="31">
        <f>SUM(I105:I150)</f>
        <v>2318816</v>
      </c>
      <c r="J151" s="31">
        <f>SUM(J105:J150)</f>
        <v>2347228</v>
      </c>
      <c r="K151" s="136">
        <f>(J151-I151)/I151%</f>
        <v>1.2252804879731725</v>
      </c>
      <c r="L151" s="136">
        <f t="shared" si="24"/>
        <v>39.236883424855776</v>
      </c>
      <c r="M151" s="31">
        <f>SUM(M105:M150)</f>
        <v>155695</v>
      </c>
      <c r="N151" s="31">
        <f>SUM(N105:N150)</f>
        <v>157408</v>
      </c>
      <c r="O151" s="136">
        <f t="shared" si="25"/>
        <v>1.1002280098911332</v>
      </c>
      <c r="P151" s="32"/>
      <c r="Q151" s="13"/>
    </row>
    <row r="152" spans="1:17" ht="8.25" customHeight="1" thickBot="1" x14ac:dyDescent="0.35">
      <c r="A152" s="42"/>
      <c r="B152" s="43"/>
      <c r="C152" s="34"/>
      <c r="D152" s="33"/>
      <c r="E152" s="34"/>
      <c r="F152" s="137"/>
      <c r="G152" s="137"/>
      <c r="H152" s="34"/>
      <c r="I152" s="34"/>
      <c r="J152" s="34"/>
      <c r="K152" s="34"/>
      <c r="L152" s="34"/>
      <c r="M152" s="34"/>
      <c r="N152" s="34"/>
      <c r="O152" s="34"/>
      <c r="P152" s="16"/>
      <c r="Q152" s="13"/>
    </row>
    <row r="153" spans="1:17" s="6" customFormat="1" x14ac:dyDescent="0.25">
      <c r="A153" s="19" t="s">
        <v>157</v>
      </c>
      <c r="B153" s="20"/>
      <c r="C153" s="21"/>
      <c r="D153" s="35"/>
      <c r="E153" s="36"/>
      <c r="F153" s="138"/>
      <c r="G153" s="138"/>
      <c r="H153" s="21"/>
      <c r="I153" s="36"/>
      <c r="J153" s="36"/>
      <c r="K153" s="36"/>
      <c r="L153" s="36"/>
      <c r="M153" s="36"/>
      <c r="N153" s="36"/>
      <c r="O153" s="36"/>
      <c r="P153" s="23"/>
      <c r="Q153" s="13"/>
    </row>
    <row r="154" spans="1:17" s="7" customFormat="1" x14ac:dyDescent="0.25">
      <c r="A154" s="24">
        <v>1</v>
      </c>
      <c r="B154" s="25" t="s">
        <v>158</v>
      </c>
      <c r="C154" s="26">
        <v>19</v>
      </c>
      <c r="D154" s="26">
        <v>19</v>
      </c>
      <c r="E154" s="26">
        <v>19</v>
      </c>
      <c r="F154" s="136">
        <f t="shared" ref="F154:F169" si="27">(E154-D154)/D154%</f>
        <v>0</v>
      </c>
      <c r="G154" s="136">
        <f t="shared" ref="G154:G169" si="28">E154/C154%</f>
        <v>100</v>
      </c>
      <c r="H154" s="37">
        <v>46469.594594594593</v>
      </c>
      <c r="I154" s="26">
        <v>20565</v>
      </c>
      <c r="J154" s="26">
        <v>20692</v>
      </c>
      <c r="K154" s="136">
        <f t="shared" ref="K154:K169" si="29">(J154-I154)/I154%</f>
        <v>0.61755409676635054</v>
      </c>
      <c r="L154" s="136">
        <f t="shared" ref="L154:L169" si="30">J154/H154%</f>
        <v>44.528040712468197</v>
      </c>
      <c r="M154" s="26">
        <v>1088</v>
      </c>
      <c r="N154" s="26">
        <v>1102</v>
      </c>
      <c r="O154" s="136">
        <f t="shared" ref="O154:O169" si="31">(N154-M154)/M154%</f>
        <v>1.2867647058823528</v>
      </c>
      <c r="P154" s="39" t="s">
        <v>6</v>
      </c>
      <c r="Q154" s="13"/>
    </row>
    <row r="155" spans="1:17" s="7" customFormat="1" x14ac:dyDescent="0.25">
      <c r="A155" s="24">
        <v>1</v>
      </c>
      <c r="B155" s="25" t="s">
        <v>186</v>
      </c>
      <c r="C155" s="26">
        <v>19</v>
      </c>
      <c r="D155" s="26">
        <v>1</v>
      </c>
      <c r="E155" s="26">
        <v>1</v>
      </c>
      <c r="F155" s="136">
        <f t="shared" si="27"/>
        <v>0</v>
      </c>
      <c r="G155" s="136">
        <f t="shared" si="28"/>
        <v>5.2631578947368425</v>
      </c>
      <c r="H155" s="26">
        <v>46469.594594594593</v>
      </c>
      <c r="I155" s="26">
        <v>672</v>
      </c>
      <c r="J155" s="26">
        <v>672</v>
      </c>
      <c r="K155" s="136">
        <f t="shared" si="29"/>
        <v>0</v>
      </c>
      <c r="L155" s="136">
        <f t="shared" si="30"/>
        <v>1.4461068702290076</v>
      </c>
      <c r="M155" s="26">
        <v>32</v>
      </c>
      <c r="N155" s="26">
        <v>32</v>
      </c>
      <c r="O155" s="136">
        <f t="shared" si="31"/>
        <v>0</v>
      </c>
      <c r="P155" s="39" t="s">
        <v>2</v>
      </c>
      <c r="Q155" s="13"/>
    </row>
    <row r="156" spans="1:17" s="7" customFormat="1" x14ac:dyDescent="0.25">
      <c r="A156" s="24">
        <v>2</v>
      </c>
      <c r="B156" s="25" t="s">
        <v>185</v>
      </c>
      <c r="C156" s="26">
        <v>13</v>
      </c>
      <c r="D156" s="26">
        <v>5</v>
      </c>
      <c r="E156" s="26">
        <v>5</v>
      </c>
      <c r="F156" s="136">
        <f t="shared" si="27"/>
        <v>0</v>
      </c>
      <c r="G156" s="136">
        <f t="shared" si="28"/>
        <v>38.46153846153846</v>
      </c>
      <c r="H156" s="37">
        <v>21296</v>
      </c>
      <c r="I156" s="26">
        <v>12914</v>
      </c>
      <c r="J156" s="26">
        <v>12914</v>
      </c>
      <c r="K156" s="136">
        <f t="shared" si="29"/>
        <v>0</v>
      </c>
      <c r="L156" s="136">
        <f t="shared" si="30"/>
        <v>60.640495867768593</v>
      </c>
      <c r="M156" s="26">
        <v>593</v>
      </c>
      <c r="N156" s="26">
        <v>593</v>
      </c>
      <c r="O156" s="136">
        <f t="shared" si="31"/>
        <v>0</v>
      </c>
      <c r="P156" s="39" t="s">
        <v>6</v>
      </c>
      <c r="Q156" s="13"/>
    </row>
    <row r="157" spans="1:17" s="7" customFormat="1" x14ac:dyDescent="0.25">
      <c r="A157" s="24">
        <v>2</v>
      </c>
      <c r="B157" s="25" t="s">
        <v>187</v>
      </c>
      <c r="C157" s="26">
        <v>13</v>
      </c>
      <c r="D157" s="26">
        <v>10</v>
      </c>
      <c r="E157" s="26">
        <v>10</v>
      </c>
      <c r="F157" s="136">
        <f t="shared" si="27"/>
        <v>0</v>
      </c>
      <c r="G157" s="136">
        <f t="shared" si="28"/>
        <v>76.92307692307692</v>
      </c>
      <c r="H157" s="26">
        <v>21296</v>
      </c>
      <c r="I157" s="26">
        <v>15972</v>
      </c>
      <c r="J157" s="26">
        <v>15972</v>
      </c>
      <c r="K157" s="136">
        <f t="shared" si="29"/>
        <v>0</v>
      </c>
      <c r="L157" s="136">
        <f t="shared" si="30"/>
        <v>75</v>
      </c>
      <c r="M157" s="26">
        <v>766</v>
      </c>
      <c r="N157" s="26">
        <v>783</v>
      </c>
      <c r="O157" s="136">
        <f t="shared" si="31"/>
        <v>2.219321148825065</v>
      </c>
      <c r="P157" s="39" t="s">
        <v>2</v>
      </c>
      <c r="Q157" s="13"/>
    </row>
    <row r="158" spans="1:17" s="7" customFormat="1" x14ac:dyDescent="0.25">
      <c r="A158" s="24">
        <v>3</v>
      </c>
      <c r="B158" s="25" t="s">
        <v>159</v>
      </c>
      <c r="C158" s="26">
        <v>38</v>
      </c>
      <c r="D158" s="26">
        <v>33</v>
      </c>
      <c r="E158" s="26">
        <v>33</v>
      </c>
      <c r="F158" s="136">
        <f t="shared" si="27"/>
        <v>0</v>
      </c>
      <c r="G158" s="136">
        <f t="shared" si="28"/>
        <v>86.84210526315789</v>
      </c>
      <c r="H158" s="37">
        <v>67482.876712328754</v>
      </c>
      <c r="I158" s="26">
        <v>36782</v>
      </c>
      <c r="J158" s="26">
        <v>36995</v>
      </c>
      <c r="K158" s="136">
        <f t="shared" si="29"/>
        <v>0.57908759719427982</v>
      </c>
      <c r="L158" s="136">
        <f t="shared" si="30"/>
        <v>54.82131438721138</v>
      </c>
      <c r="M158" s="26">
        <v>2131</v>
      </c>
      <c r="N158" s="26">
        <v>2144</v>
      </c>
      <c r="O158" s="136">
        <f t="shared" si="31"/>
        <v>0.61004223369310184</v>
      </c>
      <c r="P158" s="39" t="s">
        <v>6</v>
      </c>
      <c r="Q158" s="13"/>
    </row>
    <row r="159" spans="1:17" s="7" customFormat="1" x14ac:dyDescent="0.25">
      <c r="A159" s="24">
        <v>3</v>
      </c>
      <c r="B159" s="25" t="s">
        <v>160</v>
      </c>
      <c r="C159" s="26">
        <v>38</v>
      </c>
      <c r="D159" s="26">
        <v>36</v>
      </c>
      <c r="E159" s="26">
        <v>36</v>
      </c>
      <c r="F159" s="136">
        <f t="shared" si="27"/>
        <v>0</v>
      </c>
      <c r="G159" s="136">
        <f t="shared" si="28"/>
        <v>94.73684210526315</v>
      </c>
      <c r="H159" s="26">
        <v>67482.876712328754</v>
      </c>
      <c r="I159" s="26">
        <v>6066</v>
      </c>
      <c r="J159" s="26">
        <v>12785</v>
      </c>
      <c r="K159" s="136">
        <f t="shared" si="29"/>
        <v>110.76491922189253</v>
      </c>
      <c r="L159" s="136">
        <f t="shared" si="30"/>
        <v>18.945546815529056</v>
      </c>
      <c r="M159" s="26">
        <v>289</v>
      </c>
      <c r="N159" s="26">
        <v>593</v>
      </c>
      <c r="O159" s="136">
        <f t="shared" si="31"/>
        <v>105.19031141868511</v>
      </c>
      <c r="P159" s="39" t="s">
        <v>2</v>
      </c>
      <c r="Q159" s="13"/>
    </row>
    <row r="160" spans="1:17" s="7" customFormat="1" x14ac:dyDescent="0.25">
      <c r="A160" s="24">
        <v>4</v>
      </c>
      <c r="B160" s="25" t="s">
        <v>161</v>
      </c>
      <c r="C160" s="26">
        <v>32</v>
      </c>
      <c r="D160" s="26">
        <v>18</v>
      </c>
      <c r="E160" s="26">
        <v>18</v>
      </c>
      <c r="F160" s="136">
        <f t="shared" si="27"/>
        <v>0</v>
      </c>
      <c r="G160" s="136">
        <f t="shared" si="28"/>
        <v>56.25</v>
      </c>
      <c r="H160" s="26">
        <v>60712</v>
      </c>
      <c r="I160" s="26">
        <v>21408</v>
      </c>
      <c r="J160" s="26">
        <v>21422</v>
      </c>
      <c r="K160" s="136">
        <f t="shared" si="29"/>
        <v>6.5396113602391628E-2</v>
      </c>
      <c r="L160" s="136">
        <f t="shared" si="30"/>
        <v>35.284622479905124</v>
      </c>
      <c r="M160" s="26">
        <v>992</v>
      </c>
      <c r="N160" s="26">
        <v>992</v>
      </c>
      <c r="O160" s="136">
        <f t="shared" si="31"/>
        <v>0</v>
      </c>
      <c r="P160" s="39" t="s">
        <v>6</v>
      </c>
      <c r="Q160" s="13"/>
    </row>
    <row r="161" spans="1:17" s="7" customFormat="1" x14ac:dyDescent="0.25">
      <c r="A161" s="24">
        <v>4</v>
      </c>
      <c r="B161" s="25" t="s">
        <v>162</v>
      </c>
      <c r="C161" s="26">
        <v>32</v>
      </c>
      <c r="D161" s="26">
        <v>26</v>
      </c>
      <c r="E161" s="26">
        <v>26</v>
      </c>
      <c r="F161" s="136">
        <f t="shared" si="27"/>
        <v>0</v>
      </c>
      <c r="G161" s="136">
        <f t="shared" si="28"/>
        <v>81.25</v>
      </c>
      <c r="H161" s="26">
        <v>60712</v>
      </c>
      <c r="I161" s="26">
        <v>40025</v>
      </c>
      <c r="J161" s="26">
        <v>40798</v>
      </c>
      <c r="K161" s="136">
        <f t="shared" si="29"/>
        <v>1.9312929419113054</v>
      </c>
      <c r="L161" s="136">
        <f t="shared" si="30"/>
        <v>67.199235735933584</v>
      </c>
      <c r="M161" s="26">
        <v>2049</v>
      </c>
      <c r="N161" s="26">
        <v>2051</v>
      </c>
      <c r="O161" s="136">
        <f t="shared" si="31"/>
        <v>9.760858955588092E-2</v>
      </c>
      <c r="P161" s="39" t="s">
        <v>2</v>
      </c>
      <c r="Q161" s="13"/>
    </row>
    <row r="162" spans="1:17" s="7" customFormat="1" x14ac:dyDescent="0.25">
      <c r="A162" s="24">
        <v>5</v>
      </c>
      <c r="B162" s="25" t="s">
        <v>163</v>
      </c>
      <c r="C162" s="26">
        <v>9</v>
      </c>
      <c r="D162" s="26">
        <v>9</v>
      </c>
      <c r="E162" s="26">
        <v>9</v>
      </c>
      <c r="F162" s="136">
        <f t="shared" si="27"/>
        <v>0</v>
      </c>
      <c r="G162" s="136">
        <f t="shared" si="28"/>
        <v>100</v>
      </c>
      <c r="H162" s="26">
        <v>15648.786335031467</v>
      </c>
      <c r="I162" s="26">
        <v>7213</v>
      </c>
      <c r="J162" s="26">
        <v>7213</v>
      </c>
      <c r="K162" s="136">
        <f t="shared" si="29"/>
        <v>0</v>
      </c>
      <c r="L162" s="136">
        <f t="shared" si="30"/>
        <v>46.093031405591717</v>
      </c>
      <c r="M162" s="26">
        <v>331</v>
      </c>
      <c r="N162" s="26">
        <v>331</v>
      </c>
      <c r="O162" s="136">
        <f t="shared" si="31"/>
        <v>0</v>
      </c>
      <c r="P162" s="39" t="s">
        <v>6</v>
      </c>
      <c r="Q162" s="13"/>
    </row>
    <row r="163" spans="1:17" s="7" customFormat="1" x14ac:dyDescent="0.25">
      <c r="A163" s="24">
        <v>5</v>
      </c>
      <c r="B163" s="25" t="s">
        <v>164</v>
      </c>
      <c r="C163" s="26">
        <v>9</v>
      </c>
      <c r="D163" s="26">
        <v>9</v>
      </c>
      <c r="E163" s="26">
        <v>9</v>
      </c>
      <c r="F163" s="136">
        <f t="shared" si="27"/>
        <v>0</v>
      </c>
      <c r="G163" s="136">
        <f t="shared" si="28"/>
        <v>100</v>
      </c>
      <c r="H163" s="26">
        <v>15648.786335031467</v>
      </c>
      <c r="I163" s="26">
        <v>5102</v>
      </c>
      <c r="J163" s="26">
        <v>5102</v>
      </c>
      <c r="K163" s="136">
        <f t="shared" si="29"/>
        <v>0</v>
      </c>
      <c r="L163" s="136">
        <f t="shared" si="30"/>
        <v>32.603167368824202</v>
      </c>
      <c r="M163" s="26">
        <v>213</v>
      </c>
      <c r="N163" s="26">
        <v>213</v>
      </c>
      <c r="O163" s="136">
        <f t="shared" si="31"/>
        <v>0</v>
      </c>
      <c r="P163" s="39" t="s">
        <v>2</v>
      </c>
      <c r="Q163" s="13"/>
    </row>
    <row r="164" spans="1:17" s="7" customFormat="1" x14ac:dyDescent="0.25">
      <c r="A164" s="24">
        <v>6</v>
      </c>
      <c r="B164" s="25" t="s">
        <v>165</v>
      </c>
      <c r="C164" s="26">
        <v>25</v>
      </c>
      <c r="D164" s="26">
        <v>25</v>
      </c>
      <c r="E164" s="26">
        <v>25</v>
      </c>
      <c r="F164" s="136">
        <f t="shared" si="27"/>
        <v>0</v>
      </c>
      <c r="G164" s="136">
        <f t="shared" si="28"/>
        <v>100</v>
      </c>
      <c r="H164" s="37">
        <v>47319.07894736842</v>
      </c>
      <c r="I164" s="26">
        <v>37080</v>
      </c>
      <c r="J164" s="26">
        <v>37330</v>
      </c>
      <c r="K164" s="136">
        <f t="shared" si="29"/>
        <v>0.67421790722761599</v>
      </c>
      <c r="L164" s="136">
        <f t="shared" si="30"/>
        <v>78.889954814042397</v>
      </c>
      <c r="M164" s="26">
        <v>1910</v>
      </c>
      <c r="N164" s="26">
        <v>1922</v>
      </c>
      <c r="O164" s="136">
        <f t="shared" si="31"/>
        <v>0.62827225130890052</v>
      </c>
      <c r="P164" s="39" t="s">
        <v>6</v>
      </c>
      <c r="Q164" s="13"/>
    </row>
    <row r="165" spans="1:17" s="7" customFormat="1" x14ac:dyDescent="0.25">
      <c r="A165" s="24">
        <v>7</v>
      </c>
      <c r="B165" s="25" t="s">
        <v>166</v>
      </c>
      <c r="C165" s="26">
        <v>18</v>
      </c>
      <c r="D165" s="26">
        <v>18</v>
      </c>
      <c r="E165" s="26">
        <v>18</v>
      </c>
      <c r="F165" s="136">
        <f t="shared" si="27"/>
        <v>0</v>
      </c>
      <c r="G165" s="136">
        <f t="shared" si="28"/>
        <v>100</v>
      </c>
      <c r="H165" s="26">
        <v>54333</v>
      </c>
      <c r="I165" s="26">
        <v>5104</v>
      </c>
      <c r="J165" s="26">
        <v>5295</v>
      </c>
      <c r="K165" s="136">
        <f t="shared" si="29"/>
        <v>3.742163009404389</v>
      </c>
      <c r="L165" s="136">
        <f t="shared" si="30"/>
        <v>9.7454585610954663</v>
      </c>
      <c r="M165" s="26">
        <v>220</v>
      </c>
      <c r="N165" s="26">
        <v>229</v>
      </c>
      <c r="O165" s="136">
        <f t="shared" si="31"/>
        <v>4.0909090909090908</v>
      </c>
      <c r="P165" s="39" t="s">
        <v>2</v>
      </c>
      <c r="Q165" s="13"/>
    </row>
    <row r="166" spans="1:17" s="7" customFormat="1" x14ac:dyDescent="0.25">
      <c r="A166" s="24">
        <v>8</v>
      </c>
      <c r="B166" s="25" t="s">
        <v>167</v>
      </c>
      <c r="C166" s="26">
        <v>12</v>
      </c>
      <c r="D166" s="26">
        <v>13</v>
      </c>
      <c r="E166" s="26">
        <v>13</v>
      </c>
      <c r="F166" s="136">
        <f t="shared" si="27"/>
        <v>0</v>
      </c>
      <c r="G166" s="136">
        <f t="shared" si="28"/>
        <v>108.33333333333334</v>
      </c>
      <c r="H166" s="37">
        <v>26849.31506849315</v>
      </c>
      <c r="I166" s="26">
        <v>10634</v>
      </c>
      <c r="J166" s="26">
        <v>10693</v>
      </c>
      <c r="K166" s="136">
        <f t="shared" si="29"/>
        <v>0.55482414895617826</v>
      </c>
      <c r="L166" s="136">
        <f t="shared" si="30"/>
        <v>39.825969387755102</v>
      </c>
      <c r="M166" s="26">
        <v>615</v>
      </c>
      <c r="N166" s="26">
        <v>618</v>
      </c>
      <c r="O166" s="136">
        <f t="shared" si="31"/>
        <v>0.48780487804878048</v>
      </c>
      <c r="P166" s="39" t="s">
        <v>6</v>
      </c>
      <c r="Q166" s="13"/>
    </row>
    <row r="167" spans="1:17" s="7" customFormat="1" x14ac:dyDescent="0.25">
      <c r="A167" s="24">
        <v>9</v>
      </c>
      <c r="B167" s="25" t="s">
        <v>168</v>
      </c>
      <c r="C167" s="26">
        <v>22</v>
      </c>
      <c r="D167" s="26">
        <v>15</v>
      </c>
      <c r="E167" s="26">
        <v>15</v>
      </c>
      <c r="F167" s="136">
        <f t="shared" si="27"/>
        <v>0</v>
      </c>
      <c r="G167" s="136">
        <f t="shared" si="28"/>
        <v>68.181818181818187</v>
      </c>
      <c r="H167" s="26">
        <v>40208</v>
      </c>
      <c r="I167" s="26">
        <v>8251</v>
      </c>
      <c r="J167" s="26">
        <v>8550</v>
      </c>
      <c r="K167" s="136">
        <f t="shared" si="29"/>
        <v>3.6238031753726818</v>
      </c>
      <c r="L167" s="136">
        <f t="shared" si="30"/>
        <v>21.264424990051733</v>
      </c>
      <c r="M167" s="26">
        <v>370</v>
      </c>
      <c r="N167" s="26">
        <v>388</v>
      </c>
      <c r="O167" s="136">
        <f t="shared" si="31"/>
        <v>4.8648648648648649</v>
      </c>
      <c r="P167" s="39" t="s">
        <v>2</v>
      </c>
      <c r="Q167" s="13"/>
    </row>
    <row r="168" spans="1:17" s="7" customFormat="1" x14ac:dyDescent="0.25">
      <c r="A168" s="44">
        <v>10</v>
      </c>
      <c r="B168" s="45" t="s">
        <v>184</v>
      </c>
      <c r="C168" s="46">
        <v>8</v>
      </c>
      <c r="D168" s="26">
        <v>8</v>
      </c>
      <c r="E168" s="26">
        <v>8</v>
      </c>
      <c r="F168" s="136">
        <f t="shared" si="27"/>
        <v>0</v>
      </c>
      <c r="G168" s="136">
        <f t="shared" si="28"/>
        <v>100</v>
      </c>
      <c r="H168" s="47">
        <v>18651</v>
      </c>
      <c r="I168" s="26">
        <v>10130</v>
      </c>
      <c r="J168" s="26">
        <v>10130</v>
      </c>
      <c r="K168" s="136">
        <f t="shared" si="29"/>
        <v>0</v>
      </c>
      <c r="L168" s="136">
        <f t="shared" si="30"/>
        <v>54.313441638518043</v>
      </c>
      <c r="M168" s="26">
        <v>545</v>
      </c>
      <c r="N168" s="26">
        <v>545</v>
      </c>
      <c r="O168" s="136">
        <f t="shared" si="31"/>
        <v>0</v>
      </c>
      <c r="P168" s="49" t="s">
        <v>6</v>
      </c>
      <c r="Q168" s="13"/>
    </row>
    <row r="169" spans="1:17" s="5" customFormat="1" ht="14.4" thickBot="1" x14ac:dyDescent="0.3">
      <c r="A169" s="29">
        <f>COUNTIF(P154:P168,"*")-5</f>
        <v>10</v>
      </c>
      <c r="B169" s="30" t="s">
        <v>46</v>
      </c>
      <c r="C169" s="31">
        <f>(C154+C156+C158+C160+C162+C164+C165+C166+C167+C168)</f>
        <v>196</v>
      </c>
      <c r="D169" s="31">
        <f>(D154+D157+D159+D161+D163+D164+D165+D166+D167+D168)</f>
        <v>179</v>
      </c>
      <c r="E169" s="31">
        <f>(E154+E157+E159+E161+E163+E164+E165+E166+E167+E168)</f>
        <v>179</v>
      </c>
      <c r="F169" s="136">
        <f t="shared" si="27"/>
        <v>0</v>
      </c>
      <c r="G169" s="136">
        <f t="shared" si="28"/>
        <v>91.326530612244895</v>
      </c>
      <c r="H169" s="31">
        <f>(H154+H156+H158+H160+H162+H164+H165+H166+H167+H168)</f>
        <v>398969.65165781637</v>
      </c>
      <c r="I169" s="31">
        <f>SUM(I154:I168)</f>
        <v>237918</v>
      </c>
      <c r="J169" s="31">
        <f>SUM(J154:J168)</f>
        <v>246563</v>
      </c>
      <c r="K169" s="136">
        <f t="shared" si="29"/>
        <v>3.6336048554544007</v>
      </c>
      <c r="L169" s="136">
        <f t="shared" si="30"/>
        <v>61.799938660865678</v>
      </c>
      <c r="M169" s="31">
        <f>SUM(M154:M168)</f>
        <v>12144</v>
      </c>
      <c r="N169" s="31">
        <f>SUM(N154:N168)</f>
        <v>12536</v>
      </c>
      <c r="O169" s="136">
        <f t="shared" si="31"/>
        <v>3.2279314888010542</v>
      </c>
      <c r="P169" s="32"/>
      <c r="Q169" s="13"/>
    </row>
    <row r="170" spans="1:17" ht="13.5" customHeight="1" thickBot="1" x14ac:dyDescent="0.35">
      <c r="A170" s="42"/>
      <c r="B170" s="43"/>
      <c r="C170" s="34"/>
      <c r="D170" s="33"/>
      <c r="E170" s="34"/>
      <c r="F170" s="137"/>
      <c r="G170" s="137"/>
      <c r="H170" s="34"/>
      <c r="I170" s="34"/>
      <c r="J170" s="34"/>
      <c r="K170" s="34"/>
      <c r="L170" s="34"/>
      <c r="M170" s="34"/>
      <c r="N170" s="34"/>
      <c r="O170" s="34"/>
      <c r="P170" s="16"/>
      <c r="Q170" s="13"/>
    </row>
    <row r="171" spans="1:17" s="6" customFormat="1" x14ac:dyDescent="0.25">
      <c r="A171" s="19" t="s">
        <v>169</v>
      </c>
      <c r="B171" s="20"/>
      <c r="C171" s="21"/>
      <c r="D171" s="35"/>
      <c r="E171" s="36"/>
      <c r="F171" s="138"/>
      <c r="G171" s="138"/>
      <c r="H171" s="21"/>
      <c r="I171" s="36"/>
      <c r="J171" s="36"/>
      <c r="K171" s="36"/>
      <c r="L171" s="36"/>
      <c r="M171" s="36"/>
      <c r="N171" s="36"/>
      <c r="O171" s="36"/>
      <c r="P171" s="23"/>
    </row>
    <row r="172" spans="1:17" s="7" customFormat="1" x14ac:dyDescent="0.25">
      <c r="A172" s="24">
        <v>1</v>
      </c>
      <c r="B172" s="25" t="s">
        <v>170</v>
      </c>
      <c r="C172" s="26">
        <v>8</v>
      </c>
      <c r="D172" s="26">
        <v>8</v>
      </c>
      <c r="E172" s="26">
        <v>8</v>
      </c>
      <c r="F172" s="136">
        <f t="shared" ref="F172:F197" si="32">(E172-D172)/D172%</f>
        <v>0</v>
      </c>
      <c r="G172" s="136">
        <f t="shared" ref="G172:G179" si="33">E172/C172%</f>
        <v>100</v>
      </c>
      <c r="H172" s="37">
        <v>10999.903096902348</v>
      </c>
      <c r="I172" s="26">
        <v>6444</v>
      </c>
      <c r="J172" s="26">
        <v>6444</v>
      </c>
      <c r="K172" s="136">
        <f t="shared" ref="K172:K179" si="34">(J172-I172)/I172%</f>
        <v>0</v>
      </c>
      <c r="L172" s="136">
        <f t="shared" ref="L172:L179" si="35">J172/H172%</f>
        <v>58.582334255423369</v>
      </c>
      <c r="M172" s="26">
        <v>304</v>
      </c>
      <c r="N172" s="26">
        <v>304</v>
      </c>
      <c r="O172" s="136">
        <f t="shared" ref="O172:O179" si="36">(N172-M172)/M172%</f>
        <v>0</v>
      </c>
      <c r="P172" s="39" t="s">
        <v>3</v>
      </c>
    </row>
    <row r="173" spans="1:17" s="7" customFormat="1" x14ac:dyDescent="0.25">
      <c r="A173" s="24">
        <v>2</v>
      </c>
      <c r="B173" s="25" t="s">
        <v>213</v>
      </c>
      <c r="C173" s="26">
        <v>9</v>
      </c>
      <c r="D173" s="26">
        <v>0</v>
      </c>
      <c r="E173" s="26">
        <v>0</v>
      </c>
      <c r="F173" s="136">
        <v>0</v>
      </c>
      <c r="G173" s="136">
        <f t="shared" si="33"/>
        <v>0</v>
      </c>
      <c r="H173" s="37">
        <v>0</v>
      </c>
      <c r="I173" s="26">
        <v>0</v>
      </c>
      <c r="J173" s="26">
        <v>0</v>
      </c>
      <c r="K173" s="136">
        <v>0</v>
      </c>
      <c r="L173" s="136">
        <v>0</v>
      </c>
      <c r="M173" s="26">
        <v>0</v>
      </c>
      <c r="N173" s="26">
        <v>0</v>
      </c>
      <c r="O173" s="136">
        <v>0</v>
      </c>
      <c r="P173" s="106">
        <v>0</v>
      </c>
    </row>
    <row r="174" spans="1:17" s="7" customFormat="1" x14ac:dyDescent="0.25">
      <c r="A174" s="24">
        <v>3</v>
      </c>
      <c r="B174" s="25" t="s">
        <v>171</v>
      </c>
      <c r="C174" s="26">
        <v>14</v>
      </c>
      <c r="D174" s="26">
        <v>14</v>
      </c>
      <c r="E174" s="26">
        <v>14</v>
      </c>
      <c r="F174" s="136">
        <f t="shared" si="32"/>
        <v>0</v>
      </c>
      <c r="G174" s="136">
        <f t="shared" si="33"/>
        <v>99.999999999999986</v>
      </c>
      <c r="H174" s="37">
        <v>18452.493081471035</v>
      </c>
      <c r="I174" s="26">
        <v>10401</v>
      </c>
      <c r="J174" s="26">
        <v>10401</v>
      </c>
      <c r="K174" s="136">
        <f t="shared" si="34"/>
        <v>0</v>
      </c>
      <c r="L174" s="136">
        <f t="shared" si="35"/>
        <v>56.366367157422779</v>
      </c>
      <c r="M174" s="26">
        <v>477</v>
      </c>
      <c r="N174" s="26">
        <v>477</v>
      </c>
      <c r="O174" s="136">
        <f t="shared" si="36"/>
        <v>0</v>
      </c>
      <c r="P174" s="39" t="s">
        <v>3</v>
      </c>
    </row>
    <row r="175" spans="1:17" s="7" customFormat="1" x14ac:dyDescent="0.25">
      <c r="A175" s="24">
        <v>4</v>
      </c>
      <c r="B175" s="25" t="s">
        <v>172</v>
      </c>
      <c r="C175" s="26">
        <v>16</v>
      </c>
      <c r="D175" s="26">
        <v>16</v>
      </c>
      <c r="E175" s="26">
        <v>16</v>
      </c>
      <c r="F175" s="136">
        <f t="shared" si="32"/>
        <v>0</v>
      </c>
      <c r="G175" s="136">
        <f t="shared" si="33"/>
        <v>100</v>
      </c>
      <c r="H175" s="37">
        <v>13563.115170309828</v>
      </c>
      <c r="I175" s="26">
        <v>12420</v>
      </c>
      <c r="J175" s="26">
        <v>12420</v>
      </c>
      <c r="K175" s="136">
        <f t="shared" si="34"/>
        <v>0</v>
      </c>
      <c r="L175" s="136">
        <f t="shared" si="35"/>
        <v>91.571883332435675</v>
      </c>
      <c r="M175" s="26">
        <v>552</v>
      </c>
      <c r="N175" s="26">
        <v>552</v>
      </c>
      <c r="O175" s="136">
        <f t="shared" si="36"/>
        <v>0</v>
      </c>
      <c r="P175" s="39" t="s">
        <v>3</v>
      </c>
    </row>
    <row r="176" spans="1:17" s="7" customFormat="1" x14ac:dyDescent="0.25">
      <c r="A176" s="24">
        <v>5</v>
      </c>
      <c r="B176" s="25" t="s">
        <v>173</v>
      </c>
      <c r="C176" s="26">
        <v>10</v>
      </c>
      <c r="D176" s="26">
        <v>10</v>
      </c>
      <c r="E176" s="26">
        <v>10</v>
      </c>
      <c r="F176" s="136">
        <f t="shared" si="32"/>
        <v>0</v>
      </c>
      <c r="G176" s="136">
        <f t="shared" si="33"/>
        <v>100</v>
      </c>
      <c r="H176" s="37">
        <v>17721</v>
      </c>
      <c r="I176" s="26">
        <v>10924</v>
      </c>
      <c r="J176" s="26">
        <v>10924</v>
      </c>
      <c r="K176" s="136">
        <f t="shared" si="34"/>
        <v>0</v>
      </c>
      <c r="L176" s="136">
        <f t="shared" si="35"/>
        <v>61.644376728175608</v>
      </c>
      <c r="M176" s="26">
        <v>456</v>
      </c>
      <c r="N176" s="26">
        <v>456</v>
      </c>
      <c r="O176" s="136">
        <f t="shared" si="36"/>
        <v>0</v>
      </c>
      <c r="P176" s="39" t="s">
        <v>3</v>
      </c>
    </row>
    <row r="177" spans="1:16" s="7" customFormat="1" x14ac:dyDescent="0.25">
      <c r="A177" s="24">
        <v>6</v>
      </c>
      <c r="B177" s="25" t="s">
        <v>174</v>
      </c>
      <c r="C177" s="26">
        <v>15</v>
      </c>
      <c r="D177" s="26">
        <v>15</v>
      </c>
      <c r="E177" s="26">
        <v>15</v>
      </c>
      <c r="F177" s="136">
        <f t="shared" si="32"/>
        <v>0</v>
      </c>
      <c r="G177" s="136">
        <f t="shared" si="33"/>
        <v>100</v>
      </c>
      <c r="H177" s="37">
        <v>12779</v>
      </c>
      <c r="I177" s="26">
        <v>11965</v>
      </c>
      <c r="J177" s="26">
        <v>11965</v>
      </c>
      <c r="K177" s="136">
        <f t="shared" si="34"/>
        <v>0</v>
      </c>
      <c r="L177" s="136">
        <f t="shared" si="35"/>
        <v>93.630174505047336</v>
      </c>
      <c r="M177" s="26">
        <v>483</v>
      </c>
      <c r="N177" s="26">
        <v>483</v>
      </c>
      <c r="O177" s="136">
        <f t="shared" si="36"/>
        <v>0</v>
      </c>
      <c r="P177" s="39" t="s">
        <v>3</v>
      </c>
    </row>
    <row r="178" spans="1:16" s="7" customFormat="1" x14ac:dyDescent="0.25">
      <c r="A178" s="24">
        <v>7</v>
      </c>
      <c r="B178" s="25" t="s">
        <v>175</v>
      </c>
      <c r="C178" s="26">
        <v>31</v>
      </c>
      <c r="D178" s="26">
        <v>31</v>
      </c>
      <c r="E178" s="26">
        <v>31</v>
      </c>
      <c r="F178" s="136">
        <f t="shared" si="32"/>
        <v>0</v>
      </c>
      <c r="G178" s="136">
        <f t="shared" si="33"/>
        <v>100</v>
      </c>
      <c r="H178" s="37">
        <v>35134.322614801174</v>
      </c>
      <c r="I178" s="26">
        <v>23627</v>
      </c>
      <c r="J178" s="26">
        <v>23627</v>
      </c>
      <c r="K178" s="136">
        <f t="shared" si="34"/>
        <v>0</v>
      </c>
      <c r="L178" s="136">
        <f t="shared" si="35"/>
        <v>67.247632063487004</v>
      </c>
      <c r="M178" s="26">
        <v>1010</v>
      </c>
      <c r="N178" s="26">
        <v>1010</v>
      </c>
      <c r="O178" s="136">
        <f t="shared" si="36"/>
        <v>0</v>
      </c>
      <c r="P178" s="39" t="s">
        <v>3</v>
      </c>
    </row>
    <row r="179" spans="1:16" s="5" customFormat="1" ht="14.4" thickBot="1" x14ac:dyDescent="0.3">
      <c r="A179" s="29">
        <f>COUNTIF(P172:P178,"*")</f>
        <v>6</v>
      </c>
      <c r="B179" s="30" t="s">
        <v>46</v>
      </c>
      <c r="C179" s="31">
        <f t="shared" ref="C179" si="37">SUM(C172:C178)</f>
        <v>103</v>
      </c>
      <c r="D179" s="143">
        <f>SUM(D172:D178)</f>
        <v>94</v>
      </c>
      <c r="E179" s="143">
        <f>SUM(E172:E178)</f>
        <v>94</v>
      </c>
      <c r="F179" s="136">
        <f t="shared" si="32"/>
        <v>0</v>
      </c>
      <c r="G179" s="136">
        <f t="shared" si="33"/>
        <v>91.262135922330089</v>
      </c>
      <c r="H179" s="31">
        <f t="shared" ref="H179" si="38">SUM(H172:H178)</f>
        <v>108649.83396348439</v>
      </c>
      <c r="I179" s="31">
        <f>SUM(I172:I178)</f>
        <v>75781</v>
      </c>
      <c r="J179" s="31">
        <f>SUM(J172:J178)</f>
        <v>75781</v>
      </c>
      <c r="K179" s="136">
        <f t="shared" si="34"/>
        <v>0</v>
      </c>
      <c r="L179" s="136">
        <f t="shared" si="35"/>
        <v>69.747920669136846</v>
      </c>
      <c r="M179" s="31">
        <f>SUM(M172:M178)</f>
        <v>3282</v>
      </c>
      <c r="N179" s="31">
        <f>SUM(N172:N178)</f>
        <v>3282</v>
      </c>
      <c r="O179" s="136">
        <f t="shared" si="36"/>
        <v>0</v>
      </c>
      <c r="P179" s="32"/>
    </row>
    <row r="180" spans="1:16" s="5" customFormat="1" ht="3.75" customHeight="1" thickBot="1" x14ac:dyDescent="0.3">
      <c r="A180" s="50"/>
      <c r="B180" s="51"/>
      <c r="C180" s="52"/>
      <c r="D180" s="53"/>
      <c r="E180" s="54"/>
      <c r="F180" s="136" t="e">
        <f t="shared" si="32"/>
        <v>#DIV/0!</v>
      </c>
      <c r="G180" s="139"/>
      <c r="H180" s="52"/>
      <c r="I180" s="54"/>
      <c r="J180" s="54"/>
      <c r="K180" s="54"/>
      <c r="L180" s="54"/>
      <c r="M180" s="54"/>
      <c r="N180" s="54"/>
      <c r="O180" s="54"/>
      <c r="P180" s="55"/>
    </row>
    <row r="181" spans="1:16" s="6" customFormat="1" x14ac:dyDescent="0.25">
      <c r="A181" s="19" t="s">
        <v>247</v>
      </c>
      <c r="B181" s="20"/>
      <c r="C181" s="21"/>
      <c r="D181" s="35"/>
      <c r="E181" s="36"/>
      <c r="F181" s="138"/>
      <c r="G181" s="138"/>
      <c r="H181" s="21"/>
      <c r="I181" s="36"/>
      <c r="J181" s="36"/>
      <c r="K181" s="36"/>
      <c r="L181" s="36"/>
      <c r="M181" s="36"/>
      <c r="N181" s="36"/>
      <c r="O181" s="36"/>
      <c r="P181" s="23"/>
    </row>
    <row r="182" spans="1:16" s="7" customFormat="1" x14ac:dyDescent="0.25">
      <c r="A182" s="119">
        <v>1</v>
      </c>
      <c r="B182" s="25" t="s">
        <v>212</v>
      </c>
      <c r="C182" s="69">
        <v>37</v>
      </c>
      <c r="D182" s="69">
        <v>0</v>
      </c>
      <c r="E182" s="69">
        <v>0</v>
      </c>
      <c r="F182" s="136">
        <v>0</v>
      </c>
      <c r="G182" s="136">
        <f t="shared" ref="G182:G195" si="39">E182/C182%</f>
        <v>0</v>
      </c>
      <c r="H182" s="69">
        <v>0</v>
      </c>
      <c r="I182" s="69">
        <v>0</v>
      </c>
      <c r="J182" s="69">
        <v>0</v>
      </c>
      <c r="K182" s="136">
        <v>0</v>
      </c>
      <c r="L182" s="136">
        <v>0</v>
      </c>
      <c r="M182" s="130">
        <v>0</v>
      </c>
      <c r="N182" s="130">
        <v>0</v>
      </c>
      <c r="O182" s="136">
        <v>0</v>
      </c>
      <c r="P182" s="120">
        <v>0</v>
      </c>
    </row>
    <row r="183" spans="1:16" s="7" customFormat="1" x14ac:dyDescent="0.25">
      <c r="A183" s="119">
        <v>2</v>
      </c>
      <c r="B183" s="25" t="s">
        <v>202</v>
      </c>
      <c r="C183" s="69">
        <v>28</v>
      </c>
      <c r="D183" s="69">
        <v>0</v>
      </c>
      <c r="E183" s="69">
        <v>0</v>
      </c>
      <c r="F183" s="136">
        <v>0</v>
      </c>
      <c r="G183" s="136">
        <f t="shared" si="39"/>
        <v>0</v>
      </c>
      <c r="H183" s="69">
        <v>0</v>
      </c>
      <c r="I183" s="69">
        <v>0</v>
      </c>
      <c r="J183" s="69">
        <v>0</v>
      </c>
      <c r="K183" s="136">
        <v>0</v>
      </c>
      <c r="L183" s="136">
        <v>0</v>
      </c>
      <c r="M183" s="130">
        <v>0</v>
      </c>
      <c r="N183" s="130">
        <v>0</v>
      </c>
      <c r="O183" s="136">
        <v>0</v>
      </c>
      <c r="P183" s="120">
        <v>0</v>
      </c>
    </row>
    <row r="184" spans="1:16" s="7" customFormat="1" x14ac:dyDescent="0.25">
      <c r="A184" s="119">
        <v>3</v>
      </c>
      <c r="B184" s="25" t="s">
        <v>176</v>
      </c>
      <c r="C184" s="26">
        <v>23</v>
      </c>
      <c r="D184" s="26">
        <v>3</v>
      </c>
      <c r="E184" s="26">
        <v>3</v>
      </c>
      <c r="F184" s="136">
        <f t="shared" si="32"/>
        <v>0</v>
      </c>
      <c r="G184" s="136">
        <f t="shared" si="39"/>
        <v>13.043478260869565</v>
      </c>
      <c r="H184" s="26">
        <v>42293</v>
      </c>
      <c r="I184" s="26">
        <v>4399</v>
      </c>
      <c r="J184" s="26">
        <v>4439</v>
      </c>
      <c r="K184" s="136">
        <f t="shared" ref="K184:K195" si="40">(J184-I184)/I184%</f>
        <v>0.9092975676290066</v>
      </c>
      <c r="L184" s="136">
        <f t="shared" ref="L184:L195" si="41">J184/H184%</f>
        <v>10.495826732556214</v>
      </c>
      <c r="M184" s="26">
        <v>135</v>
      </c>
      <c r="N184" s="26">
        <v>136</v>
      </c>
      <c r="O184" s="136">
        <f t="shared" ref="O184:O195" si="42">(N184-M184)/M184%</f>
        <v>0.7407407407407407</v>
      </c>
      <c r="P184" s="39" t="s">
        <v>10</v>
      </c>
    </row>
    <row r="185" spans="1:16" s="7" customFormat="1" x14ac:dyDescent="0.25">
      <c r="A185" s="119">
        <v>4</v>
      </c>
      <c r="B185" s="25" t="s">
        <v>203</v>
      </c>
      <c r="C185" s="26">
        <v>21</v>
      </c>
      <c r="D185" s="69">
        <v>0</v>
      </c>
      <c r="E185" s="69">
        <v>0</v>
      </c>
      <c r="F185" s="136">
        <v>0</v>
      </c>
      <c r="G185" s="136">
        <f t="shared" si="39"/>
        <v>0</v>
      </c>
      <c r="H185" s="69">
        <v>0</v>
      </c>
      <c r="I185" s="69">
        <v>0</v>
      </c>
      <c r="J185" s="69">
        <v>0</v>
      </c>
      <c r="K185" s="136">
        <v>0</v>
      </c>
      <c r="L185" s="136">
        <v>0</v>
      </c>
      <c r="M185" s="130">
        <v>0</v>
      </c>
      <c r="N185" s="130">
        <v>0</v>
      </c>
      <c r="O185" s="136">
        <v>0</v>
      </c>
      <c r="P185" s="120">
        <v>0</v>
      </c>
    </row>
    <row r="186" spans="1:16" s="7" customFormat="1" x14ac:dyDescent="0.25">
      <c r="A186" s="119">
        <v>5</v>
      </c>
      <c r="B186" s="25" t="s">
        <v>204</v>
      </c>
      <c r="C186" s="26">
        <v>22</v>
      </c>
      <c r="D186" s="69">
        <v>0</v>
      </c>
      <c r="E186" s="69">
        <v>0</v>
      </c>
      <c r="F186" s="136">
        <v>0</v>
      </c>
      <c r="G186" s="136">
        <f t="shared" si="39"/>
        <v>0</v>
      </c>
      <c r="H186" s="69">
        <v>0</v>
      </c>
      <c r="I186" s="69">
        <v>0</v>
      </c>
      <c r="J186" s="69">
        <v>0</v>
      </c>
      <c r="K186" s="136">
        <v>0</v>
      </c>
      <c r="L186" s="136">
        <v>0</v>
      </c>
      <c r="M186" s="130">
        <v>0</v>
      </c>
      <c r="N186" s="130">
        <v>0</v>
      </c>
      <c r="O186" s="136">
        <v>0</v>
      </c>
      <c r="P186" s="120">
        <v>0</v>
      </c>
    </row>
    <row r="187" spans="1:16" s="7" customFormat="1" x14ac:dyDescent="0.25">
      <c r="A187" s="119">
        <v>6</v>
      </c>
      <c r="B187" s="25" t="s">
        <v>205</v>
      </c>
      <c r="C187" s="26">
        <v>15</v>
      </c>
      <c r="D187" s="69">
        <v>0</v>
      </c>
      <c r="E187" s="69">
        <v>0</v>
      </c>
      <c r="F187" s="136">
        <v>0</v>
      </c>
      <c r="G187" s="136">
        <f t="shared" si="39"/>
        <v>0</v>
      </c>
      <c r="H187" s="69">
        <v>0</v>
      </c>
      <c r="I187" s="69">
        <v>0</v>
      </c>
      <c r="J187" s="69">
        <v>0</v>
      </c>
      <c r="K187" s="136">
        <v>0</v>
      </c>
      <c r="L187" s="136">
        <v>0</v>
      </c>
      <c r="M187" s="130">
        <v>0</v>
      </c>
      <c r="N187" s="130">
        <v>0</v>
      </c>
      <c r="O187" s="136">
        <v>0</v>
      </c>
      <c r="P187" s="120">
        <v>0</v>
      </c>
    </row>
    <row r="188" spans="1:16" s="7" customFormat="1" x14ac:dyDescent="0.25">
      <c r="A188" s="119">
        <v>7</v>
      </c>
      <c r="B188" s="25" t="s">
        <v>206</v>
      </c>
      <c r="C188" s="26">
        <v>29</v>
      </c>
      <c r="D188" s="69">
        <v>0</v>
      </c>
      <c r="E188" s="69">
        <v>0</v>
      </c>
      <c r="F188" s="136">
        <v>0</v>
      </c>
      <c r="G188" s="136">
        <f t="shared" si="39"/>
        <v>0</v>
      </c>
      <c r="H188" s="69">
        <v>0</v>
      </c>
      <c r="I188" s="69">
        <v>0</v>
      </c>
      <c r="J188" s="69">
        <v>0</v>
      </c>
      <c r="K188" s="136">
        <v>0</v>
      </c>
      <c r="L188" s="136">
        <v>0</v>
      </c>
      <c r="M188" s="130">
        <v>0</v>
      </c>
      <c r="N188" s="130">
        <v>0</v>
      </c>
      <c r="O188" s="136">
        <v>0</v>
      </c>
      <c r="P188" s="120">
        <v>0</v>
      </c>
    </row>
    <row r="189" spans="1:16" s="7" customFormat="1" x14ac:dyDescent="0.25">
      <c r="A189" s="119">
        <v>8</v>
      </c>
      <c r="B189" s="25" t="s">
        <v>207</v>
      </c>
      <c r="C189" s="26">
        <v>1</v>
      </c>
      <c r="D189" s="69">
        <v>0</v>
      </c>
      <c r="E189" s="69">
        <v>0</v>
      </c>
      <c r="F189" s="136">
        <v>0</v>
      </c>
      <c r="G189" s="136">
        <f t="shared" si="39"/>
        <v>0</v>
      </c>
      <c r="H189" s="69">
        <v>0</v>
      </c>
      <c r="I189" s="69">
        <v>0</v>
      </c>
      <c r="J189" s="69">
        <v>0</v>
      </c>
      <c r="K189" s="136">
        <v>0</v>
      </c>
      <c r="L189" s="136">
        <v>0</v>
      </c>
      <c r="M189" s="130">
        <v>0</v>
      </c>
      <c r="N189" s="130">
        <v>0</v>
      </c>
      <c r="O189" s="136">
        <v>0</v>
      </c>
      <c r="P189" s="120">
        <v>0</v>
      </c>
    </row>
    <row r="190" spans="1:16" s="7" customFormat="1" x14ac:dyDescent="0.25">
      <c r="A190" s="119">
        <v>9</v>
      </c>
      <c r="B190" s="25" t="s">
        <v>208</v>
      </c>
      <c r="C190" s="26">
        <v>1</v>
      </c>
      <c r="D190" s="69">
        <v>0</v>
      </c>
      <c r="E190" s="69">
        <v>0</v>
      </c>
      <c r="F190" s="136">
        <v>0</v>
      </c>
      <c r="G190" s="136">
        <f t="shared" si="39"/>
        <v>0</v>
      </c>
      <c r="H190" s="69">
        <v>0</v>
      </c>
      <c r="I190" s="69">
        <v>0</v>
      </c>
      <c r="J190" s="69">
        <v>0</v>
      </c>
      <c r="K190" s="136">
        <v>0</v>
      </c>
      <c r="L190" s="136">
        <v>0</v>
      </c>
      <c r="M190" s="130">
        <v>0</v>
      </c>
      <c r="N190" s="130">
        <v>0</v>
      </c>
      <c r="O190" s="136">
        <v>0</v>
      </c>
      <c r="P190" s="120">
        <v>0</v>
      </c>
    </row>
    <row r="191" spans="1:16" s="7" customFormat="1" x14ac:dyDescent="0.25">
      <c r="A191" s="119">
        <v>10</v>
      </c>
      <c r="B191" s="25" t="s">
        <v>209</v>
      </c>
      <c r="C191" s="26">
        <v>3</v>
      </c>
      <c r="D191" s="69">
        <v>0</v>
      </c>
      <c r="E191" s="69">
        <v>0</v>
      </c>
      <c r="F191" s="136">
        <v>0</v>
      </c>
      <c r="G191" s="136">
        <f t="shared" si="39"/>
        <v>0</v>
      </c>
      <c r="H191" s="69">
        <v>0</v>
      </c>
      <c r="I191" s="69">
        <v>0</v>
      </c>
      <c r="J191" s="69">
        <v>0</v>
      </c>
      <c r="K191" s="136">
        <v>0</v>
      </c>
      <c r="L191" s="136">
        <v>0</v>
      </c>
      <c r="M191" s="130">
        <v>0</v>
      </c>
      <c r="N191" s="130">
        <v>0</v>
      </c>
      <c r="O191" s="136">
        <v>0</v>
      </c>
      <c r="P191" s="120">
        <v>0</v>
      </c>
    </row>
    <row r="192" spans="1:16" s="7" customFormat="1" x14ac:dyDescent="0.25">
      <c r="A192" s="119">
        <v>11</v>
      </c>
      <c r="B192" s="25" t="s">
        <v>210</v>
      </c>
      <c r="C192" s="26">
        <v>5</v>
      </c>
      <c r="D192" s="69">
        <v>0</v>
      </c>
      <c r="E192" s="69">
        <v>0</v>
      </c>
      <c r="F192" s="136">
        <v>0</v>
      </c>
      <c r="G192" s="136">
        <f t="shared" si="39"/>
        <v>0</v>
      </c>
      <c r="H192" s="69">
        <v>0</v>
      </c>
      <c r="I192" s="69">
        <v>0</v>
      </c>
      <c r="J192" s="69">
        <v>0</v>
      </c>
      <c r="K192" s="136">
        <v>0</v>
      </c>
      <c r="L192" s="136">
        <v>0</v>
      </c>
      <c r="M192" s="130">
        <v>0</v>
      </c>
      <c r="N192" s="130">
        <v>0</v>
      </c>
      <c r="O192" s="136">
        <v>0</v>
      </c>
      <c r="P192" s="120">
        <v>0</v>
      </c>
    </row>
    <row r="193" spans="1:18" s="7" customFormat="1" x14ac:dyDescent="0.3">
      <c r="A193" s="119">
        <v>12</v>
      </c>
      <c r="B193" s="56" t="s">
        <v>177</v>
      </c>
      <c r="C193" s="26">
        <v>3</v>
      </c>
      <c r="D193" s="26">
        <v>3</v>
      </c>
      <c r="E193" s="26">
        <v>3</v>
      </c>
      <c r="F193" s="136">
        <f t="shared" si="32"/>
        <v>0</v>
      </c>
      <c r="G193" s="136">
        <f t="shared" si="39"/>
        <v>100</v>
      </c>
      <c r="H193" s="26">
        <v>6118</v>
      </c>
      <c r="I193" s="26">
        <v>1738</v>
      </c>
      <c r="J193" s="26">
        <v>1738</v>
      </c>
      <c r="K193" s="136">
        <f t="shared" si="40"/>
        <v>0</v>
      </c>
      <c r="L193" s="136">
        <f t="shared" si="41"/>
        <v>28.407976462896372</v>
      </c>
      <c r="M193" s="26">
        <v>116</v>
      </c>
      <c r="N193" s="26">
        <v>116</v>
      </c>
      <c r="O193" s="136">
        <f t="shared" si="42"/>
        <v>0</v>
      </c>
      <c r="P193" s="39" t="s">
        <v>10</v>
      </c>
    </row>
    <row r="194" spans="1:18" s="7" customFormat="1" x14ac:dyDescent="0.25">
      <c r="A194" s="119">
        <v>13</v>
      </c>
      <c r="B194" s="25" t="s">
        <v>211</v>
      </c>
      <c r="C194" s="26">
        <v>2</v>
      </c>
      <c r="D194" s="69">
        <v>0</v>
      </c>
      <c r="E194" s="69">
        <v>0</v>
      </c>
      <c r="F194" s="136">
        <v>0</v>
      </c>
      <c r="G194" s="136">
        <f t="shared" si="39"/>
        <v>0</v>
      </c>
      <c r="H194" s="69">
        <v>0</v>
      </c>
      <c r="I194" s="69">
        <v>0</v>
      </c>
      <c r="J194" s="69">
        <v>0</v>
      </c>
      <c r="K194" s="136">
        <v>0</v>
      </c>
      <c r="L194" s="136">
        <v>0</v>
      </c>
      <c r="M194" s="130">
        <v>0</v>
      </c>
      <c r="N194" s="130">
        <v>0</v>
      </c>
      <c r="O194" s="136">
        <v>0</v>
      </c>
      <c r="P194" s="120">
        <v>0</v>
      </c>
    </row>
    <row r="195" spans="1:18" s="5" customFormat="1" ht="14.4" thickBot="1" x14ac:dyDescent="0.3">
      <c r="A195" s="29">
        <f>COUNTIF(P182:P194,"*")</f>
        <v>2</v>
      </c>
      <c r="B195" s="30" t="s">
        <v>46</v>
      </c>
      <c r="C195" s="31">
        <f t="shared" ref="C195:N195" si="43">SUM(C182:C194)</f>
        <v>190</v>
      </c>
      <c r="D195" s="31">
        <f>SUM(D182:D194)</f>
        <v>6</v>
      </c>
      <c r="E195" s="31">
        <f>SUM(E182:E194)</f>
        <v>6</v>
      </c>
      <c r="F195" s="136">
        <f t="shared" si="32"/>
        <v>0</v>
      </c>
      <c r="G195" s="136">
        <f t="shared" si="39"/>
        <v>3.1578947368421053</v>
      </c>
      <c r="H195" s="31">
        <f t="shared" si="43"/>
        <v>48411</v>
      </c>
      <c r="I195" s="31">
        <f t="shared" si="43"/>
        <v>6137</v>
      </c>
      <c r="J195" s="31">
        <f t="shared" si="43"/>
        <v>6177</v>
      </c>
      <c r="K195" s="136">
        <f t="shared" si="40"/>
        <v>0.65178425941013529</v>
      </c>
      <c r="L195" s="136">
        <f t="shared" si="41"/>
        <v>12.759496808576563</v>
      </c>
      <c r="M195" s="31">
        <f t="shared" si="43"/>
        <v>251</v>
      </c>
      <c r="N195" s="31">
        <f t="shared" si="43"/>
        <v>252</v>
      </c>
      <c r="O195" s="136">
        <f t="shared" si="42"/>
        <v>0.39840637450199207</v>
      </c>
      <c r="P195" s="32"/>
    </row>
    <row r="196" spans="1:18" s="5" customFormat="1" ht="6.75" customHeight="1" thickBot="1" x14ac:dyDescent="0.3">
      <c r="A196" s="42"/>
      <c r="B196" s="57"/>
      <c r="C196" s="42"/>
      <c r="D196" s="33"/>
      <c r="E196" s="34"/>
      <c r="F196" s="137"/>
      <c r="G196" s="137"/>
      <c r="H196" s="42"/>
      <c r="I196" s="33"/>
      <c r="J196" s="34"/>
      <c r="K196" s="34"/>
      <c r="L196" s="34"/>
      <c r="M196" s="34"/>
      <c r="N196" s="34"/>
      <c r="O196" s="34"/>
      <c r="P196" s="58"/>
    </row>
    <row r="197" spans="1:18" s="5" customFormat="1" ht="13.5" customHeight="1" thickBot="1" x14ac:dyDescent="0.35">
      <c r="A197" s="59">
        <f>A40+A76+A102+A151+A169+A179+A7+A195</f>
        <v>112</v>
      </c>
      <c r="B197" s="60" t="s">
        <v>178</v>
      </c>
      <c r="C197" s="67">
        <f>C40+C76+C102+C151+C169+C179+C7+C195</f>
        <v>5565</v>
      </c>
      <c r="D197" s="67">
        <f>D40+D76+D102+D151+D169+D179+D7+D195</f>
        <v>3556</v>
      </c>
      <c r="E197" s="67">
        <f>E40+E76+E102+E151+E169+E179+E7+E195</f>
        <v>3534</v>
      </c>
      <c r="F197" s="136">
        <f t="shared" si="32"/>
        <v>-0.6186726659167604</v>
      </c>
      <c r="G197" s="136">
        <f>E197/C197%</f>
        <v>63.504043126684635</v>
      </c>
      <c r="H197" s="67">
        <f>H195+H179+H169+H151+H102+H76+H40+H7</f>
        <v>11503597.594703551</v>
      </c>
      <c r="I197" s="67">
        <f>I195+I179+I169+I151+I102+I76+I40+I7</f>
        <v>4503036</v>
      </c>
      <c r="J197" s="67">
        <f>J40+J76+J102+J151+J169+J179+J7+J195</f>
        <v>4605847</v>
      </c>
      <c r="K197" s="136">
        <f>(J197-I197)/I197%</f>
        <v>2.2831485246842353</v>
      </c>
      <c r="L197" s="136">
        <f>J197/H197%</f>
        <v>40.038318118156432</v>
      </c>
      <c r="M197" s="67">
        <f>M195+M179+M169+M151+M102+M76+M40+M7</f>
        <v>274561</v>
      </c>
      <c r="N197" s="67">
        <f>N195+N179+N169+N151+N102+N76+N40+N7</f>
        <v>280005</v>
      </c>
      <c r="O197" s="136">
        <f>(N197-M197)/M197%</f>
        <v>1.9828016360663021</v>
      </c>
      <c r="P197" s="67"/>
    </row>
    <row r="198" spans="1:18" ht="6" customHeight="1" x14ac:dyDescent="0.3">
      <c r="A198" s="17"/>
      <c r="B198" s="15"/>
      <c r="C198" s="70"/>
      <c r="D198" s="33"/>
      <c r="E198" s="34"/>
      <c r="F198" s="137"/>
      <c r="G198" s="137"/>
      <c r="H198" s="70"/>
      <c r="I198" s="70"/>
      <c r="J198" s="70"/>
      <c r="K198" s="70"/>
      <c r="L198" s="70"/>
      <c r="M198" s="70"/>
      <c r="N198" s="70"/>
      <c r="O198" s="70"/>
      <c r="P198" s="16"/>
    </row>
    <row r="199" spans="1:18" ht="16.5" customHeight="1" thickBot="1" x14ac:dyDescent="0.35">
      <c r="A199" s="109" t="s">
        <v>179</v>
      </c>
      <c r="B199" s="15"/>
      <c r="C199" s="70"/>
      <c r="D199" s="33"/>
      <c r="E199" s="34"/>
      <c r="F199" s="137"/>
      <c r="G199" s="137"/>
      <c r="H199" s="70"/>
      <c r="I199" s="70"/>
      <c r="J199" s="70"/>
      <c r="K199" s="70"/>
      <c r="L199" s="70"/>
      <c r="M199" s="70"/>
      <c r="N199" s="70"/>
      <c r="O199" s="70"/>
      <c r="P199" s="16"/>
    </row>
    <row r="200" spans="1:18" x14ac:dyDescent="0.25">
      <c r="A200" s="121" t="s">
        <v>221</v>
      </c>
      <c r="B200" s="122" t="s">
        <v>223</v>
      </c>
      <c r="C200" s="61"/>
      <c r="D200" s="132"/>
      <c r="E200" s="132"/>
      <c r="F200" s="141"/>
      <c r="G200" s="141"/>
      <c r="H200" s="62"/>
      <c r="I200" s="63"/>
      <c r="J200" s="63"/>
      <c r="K200" s="63"/>
      <c r="L200" s="63"/>
      <c r="M200" s="63"/>
      <c r="N200" s="63"/>
      <c r="O200" s="63"/>
      <c r="P200" s="64"/>
      <c r="Q200" s="1" t="s">
        <v>180</v>
      </c>
    </row>
    <row r="201" spans="1:18" x14ac:dyDescent="0.25">
      <c r="A201" s="24">
        <f>COUNTIF($P$6:$P$195,"AJKRSP")</f>
        <v>7</v>
      </c>
      <c r="B201" s="25" t="s">
        <v>253</v>
      </c>
      <c r="C201" s="37">
        <f>SUMIF($P$6:$P$194,"AJKRSP",$C$6:$C$194)</f>
        <v>151</v>
      </c>
      <c r="D201" s="37">
        <f>SUMIF($P$6:$P$194,"AJKRSP",$D$6:$D$194)</f>
        <v>115</v>
      </c>
      <c r="E201" s="37">
        <f>SUMIF($P$6:$P$194,"AJKRSP",$E$6:$E$194)</f>
        <v>115</v>
      </c>
      <c r="F201" s="136">
        <f t="shared" ref="F201:F211" si="44">(E201-D201)/D201%</f>
        <v>0</v>
      </c>
      <c r="G201" s="136">
        <f t="shared" ref="G201:G211" si="45">E201/C201%</f>
        <v>76.158940397350989</v>
      </c>
      <c r="H201" s="37">
        <f>SUMIF($P$6:$P$194,"AJKRSP",$H$6:$H$194)</f>
        <v>306150.25764195481</v>
      </c>
      <c r="I201" s="37">
        <f>SUMIF($P$6:$P$194,"AJKRSP",$I$6:$I$194)</f>
        <v>81192</v>
      </c>
      <c r="J201" s="37">
        <f>SUMIF($P$6:$P$194,"AJKRSP",$J$6:$J$194)</f>
        <v>89174</v>
      </c>
      <c r="K201" s="136">
        <f t="shared" ref="K201:K211" si="46">(J201-I201)/I201%</f>
        <v>9.831017834269387</v>
      </c>
      <c r="L201" s="136">
        <f t="shared" ref="L201:L211" si="47">J201/H201%</f>
        <v>29.127527341260549</v>
      </c>
      <c r="M201" s="37">
        <f>SUMIF($P$6:$P$194,"AJKRSP",$M$6:$M$194)</f>
        <v>3939</v>
      </c>
      <c r="N201" s="37">
        <f>SUMIF($P$6:$P$194,"AJKRSP",$N$6:$N$194)</f>
        <v>4289</v>
      </c>
      <c r="O201" s="136">
        <f t="shared" ref="O201:O211" si="48">(N201-M201)/M201%</f>
        <v>8.8855039350088862</v>
      </c>
      <c r="P201" s="39" t="s">
        <v>2</v>
      </c>
      <c r="Q201" s="13"/>
    </row>
    <row r="202" spans="1:18" s="7" customFormat="1" x14ac:dyDescent="0.25">
      <c r="A202" s="24">
        <f>COUNTIF($P$6:$P$195,"AKRSP")</f>
        <v>7</v>
      </c>
      <c r="B202" s="40" t="s">
        <v>254</v>
      </c>
      <c r="C202" s="37">
        <f>SUMIF($P$6:$P$194,"AKRSP",$C$6:$C$194)</f>
        <v>118</v>
      </c>
      <c r="D202" s="37">
        <f>SUMIF($P$6:$P$194,"AKRSP",$D$6:$D$194)</f>
        <v>118</v>
      </c>
      <c r="E202" s="37">
        <f>SUMIF($P$6:$P$194,"AKRSP",$E$6:$E$194)</f>
        <v>118</v>
      </c>
      <c r="F202" s="136">
        <f t="shared" si="44"/>
        <v>0</v>
      </c>
      <c r="G202" s="136">
        <f t="shared" si="45"/>
        <v>100</v>
      </c>
      <c r="H202" s="37">
        <f>SUMIF($P$6:$P$194,"AKRSP",$H$6:$H$194)</f>
        <v>145528.83396348439</v>
      </c>
      <c r="I202" s="37">
        <f>SUMIF($P$6:$P$194,"AKRSP",$I$6:$I$194)</f>
        <v>108969</v>
      </c>
      <c r="J202" s="37">
        <f>SUMIF($P$6:$P$194,"AKRSP",$J$6:$J$194)</f>
        <v>108969</v>
      </c>
      <c r="K202" s="136">
        <f t="shared" si="46"/>
        <v>0</v>
      </c>
      <c r="L202" s="136">
        <f t="shared" si="47"/>
        <v>74.877944825244839</v>
      </c>
      <c r="M202" s="37">
        <f>SUMIF($P$6:$P$194,"AKRSP",$M$6:$M$194)</f>
        <v>4721</v>
      </c>
      <c r="N202" s="37">
        <f>SUMIF($P$6:$P$194,"AKRSP",$N$6:$N$194)</f>
        <v>4721</v>
      </c>
      <c r="O202" s="136">
        <f t="shared" si="48"/>
        <v>0</v>
      </c>
      <c r="P202" s="39" t="s">
        <v>3</v>
      </c>
      <c r="Q202" s="13"/>
    </row>
    <row r="203" spans="1:18" s="7" customFormat="1" x14ac:dyDescent="0.25">
      <c r="A203" s="24">
        <f>COUNTIF($P$6:$P$195,"BRSP")</f>
        <v>13</v>
      </c>
      <c r="B203" s="40" t="s">
        <v>255</v>
      </c>
      <c r="C203" s="37">
        <f>SUMIF($P$6:$P$194,"BRSP",$C$6:$C$194)</f>
        <v>303</v>
      </c>
      <c r="D203" s="37">
        <f>SUMIF($P$6:$P$194,"BRSP",$D$6:$D$194)</f>
        <v>191</v>
      </c>
      <c r="E203" s="37">
        <f>SUMIF($P$6:$P$194,"BRSP",$E$6:$E$194)</f>
        <v>202</v>
      </c>
      <c r="F203" s="136">
        <f t="shared" si="44"/>
        <v>5.7591623036649215</v>
      </c>
      <c r="G203" s="136">
        <f t="shared" si="45"/>
        <v>66.666666666666671</v>
      </c>
      <c r="H203" s="37">
        <f>SUMIF($P$6:$P$194,"BRSP",$H$6:$H$194)</f>
        <v>344614.125</v>
      </c>
      <c r="I203" s="37">
        <f>SUMIF($P$6:$P$194,"BRSP",$I$6:$I$194)</f>
        <v>157893</v>
      </c>
      <c r="J203" s="37">
        <f>SUMIF($P$6:$P$194,"BRSP",$J$6:$J$194)</f>
        <v>167350</v>
      </c>
      <c r="K203" s="136">
        <f t="shared" si="46"/>
        <v>5.9894992178247293</v>
      </c>
      <c r="L203" s="136">
        <f t="shared" si="47"/>
        <v>48.561561427582227</v>
      </c>
      <c r="M203" s="37">
        <f>SUMIF($P$6:$P$194,"BRSP",$M$6:$M$194)</f>
        <v>9729</v>
      </c>
      <c r="N203" s="37">
        <f>SUMIF($P$6:$P$194,"BRSP",$N$6:$N$194)</f>
        <v>9989</v>
      </c>
      <c r="O203" s="136">
        <f t="shared" si="48"/>
        <v>2.6724226539212661</v>
      </c>
      <c r="P203" s="39" t="s">
        <v>4</v>
      </c>
      <c r="Q203" s="13"/>
      <c r="R203" s="113"/>
    </row>
    <row r="204" spans="1:18" s="7" customFormat="1" x14ac:dyDescent="0.25">
      <c r="A204" s="24">
        <f>COUNTIF($P$6:$P$195,"GBTI")</f>
        <v>3</v>
      </c>
      <c r="B204" s="40" t="s">
        <v>256</v>
      </c>
      <c r="C204" s="37">
        <f>SUMIF($P$6:$P$194,"GBTI",$C$6:$C$194)</f>
        <v>165</v>
      </c>
      <c r="D204" s="37">
        <f>SUMIF($P$6:$P$194,"GBTI",$D$6:$D$194)</f>
        <v>20</v>
      </c>
      <c r="E204" s="37">
        <f>SUMIF($P$6:$P$194,"GBTI",$E$6:$E$194)</f>
        <v>20</v>
      </c>
      <c r="F204" s="136">
        <f t="shared" si="44"/>
        <v>0</v>
      </c>
      <c r="G204" s="136">
        <f t="shared" si="45"/>
        <v>12.121212121212121</v>
      </c>
      <c r="H204" s="37">
        <f>SUMIF($P$6:$P$194,"GBTI",$H$6:$H$194)</f>
        <v>371315</v>
      </c>
      <c r="I204" s="37">
        <f>SUMIF($P$6:$P$194,"GBTI",$I$6:$I$194)</f>
        <v>30713</v>
      </c>
      <c r="J204" s="37">
        <f>SUMIF($P$6:$P$194,"GBTI",$J$6:$J$194)</f>
        <v>31142</v>
      </c>
      <c r="K204" s="136">
        <f t="shared" si="46"/>
        <v>1.3968026568554033</v>
      </c>
      <c r="L204" s="136">
        <f t="shared" si="47"/>
        <v>8.3869490863552514</v>
      </c>
      <c r="M204" s="37">
        <f>SUMIF($P$6:$P$194,"GBTI",$M$6:$M$194)</f>
        <v>2563</v>
      </c>
      <c r="N204" s="37">
        <f>SUMIF($P$6:$P$194,"GBTI",$N$6:$N$194)</f>
        <v>2607</v>
      </c>
      <c r="O204" s="136">
        <f t="shared" si="48"/>
        <v>1.7167381974248928</v>
      </c>
      <c r="P204" s="39" t="s">
        <v>5</v>
      </c>
      <c r="Q204" s="13"/>
    </row>
    <row r="205" spans="1:18" s="7" customFormat="1" x14ac:dyDescent="0.25">
      <c r="A205" s="24">
        <f>COUNTIF($P$6:$P$195,"NRSP")</f>
        <v>49</v>
      </c>
      <c r="B205" s="40" t="s">
        <v>257</v>
      </c>
      <c r="C205" s="37">
        <f>SUMIF($P$6:$P$194,"NRSP",$C$6:$C$194)</f>
        <v>2320</v>
      </c>
      <c r="D205" s="37">
        <f>SUMIF($P$6:$P$194,"NRSP",$D$6:$D$194)</f>
        <v>1806</v>
      </c>
      <c r="E205" s="37">
        <f>SUMIF($P$6:$P$194,"NRSP",$E$6:$E$194)</f>
        <v>1841</v>
      </c>
      <c r="F205" s="136">
        <f t="shared" si="44"/>
        <v>1.9379844961240311</v>
      </c>
      <c r="G205" s="136">
        <f t="shared" si="45"/>
        <v>79.353448275862078</v>
      </c>
      <c r="H205" s="37">
        <f>SUMIF($P$6:$P$194,"NRSP",$H$6:$H$194)</f>
        <v>5672591.7295798948</v>
      </c>
      <c r="I205" s="37">
        <f>SUMIF($P$6:$P$194,"NRSP",$I$6:$I$194)</f>
        <v>1873906</v>
      </c>
      <c r="J205" s="37">
        <f>SUMIF($P$6:$P$194,"NRSP",$J$6:$J$194)</f>
        <v>1890292</v>
      </c>
      <c r="K205" s="136">
        <f t="shared" si="46"/>
        <v>0.87443020087453682</v>
      </c>
      <c r="L205" s="136">
        <f t="shared" si="47"/>
        <v>33.323251348109849</v>
      </c>
      <c r="M205" s="37">
        <f>SUMIF($P$6:$P$194,"NRSP",$M$6:$M$194)</f>
        <v>127079</v>
      </c>
      <c r="N205" s="37">
        <f>SUMIF($P$6:$P$194,"NRSP",$N$6:$N$194)</f>
        <v>128077</v>
      </c>
      <c r="O205" s="136">
        <f t="shared" si="48"/>
        <v>0.78533825415686309</v>
      </c>
      <c r="P205" s="39" t="s">
        <v>6</v>
      </c>
      <c r="Q205" s="13"/>
    </row>
    <row r="206" spans="1:18" s="7" customFormat="1" x14ac:dyDescent="0.25">
      <c r="A206" s="24">
        <f>COUNTIF($P$6:$P$195,"PRSP")-4</f>
        <v>21</v>
      </c>
      <c r="B206" s="40" t="s">
        <v>281</v>
      </c>
      <c r="C206" s="37">
        <f>SUMIF($P$6:$P$194,"pRSP",$C$6:$C$194)</f>
        <v>1865</v>
      </c>
      <c r="D206" s="37">
        <f>SUMIF($P$6:$P$194,"pRSP",$D$6:$D$194)</f>
        <v>853</v>
      </c>
      <c r="E206" s="37">
        <f>SUMIF($P$6:$P$194,"pRSP",$E$6:$E$194)</f>
        <v>703</v>
      </c>
      <c r="F206" s="136">
        <f t="shared" si="44"/>
        <v>-17.58499413833529</v>
      </c>
      <c r="G206" s="136">
        <f t="shared" si="45"/>
        <v>37.694369973190348</v>
      </c>
      <c r="H206" s="37">
        <f>SUMIF($P$6:$P$194,"pRSP",$H$6:$H$194)</f>
        <v>4245240.7806190476</v>
      </c>
      <c r="I206" s="37">
        <f>SUMIF($P$6:$P$194,"pRSP",$I$6:$I$194)</f>
        <v>979590</v>
      </c>
      <c r="J206" s="37">
        <f>SUMIF($P$6:$P$194,"pRSP",$J$6:$J$194)</f>
        <v>1003808</v>
      </c>
      <c r="K206" s="136">
        <f t="shared" si="46"/>
        <v>2.472258802151921</v>
      </c>
      <c r="L206" s="136">
        <f t="shared" si="47"/>
        <v>23.645490370834118</v>
      </c>
      <c r="M206" s="37">
        <f>SUMIF($P$6:$P$194,"pRSP",$M$6:$M$194)</f>
        <v>59701</v>
      </c>
      <c r="N206" s="37">
        <f>SUMIF($P$6:$P$194,"pRSP",$N$6:$N$194)</f>
        <v>61065</v>
      </c>
      <c r="O206" s="136">
        <f t="shared" si="48"/>
        <v>2.2847188489305039</v>
      </c>
      <c r="P206" s="39" t="s">
        <v>7</v>
      </c>
      <c r="Q206" s="13"/>
    </row>
    <row r="207" spans="1:18" s="7" customFormat="1" x14ac:dyDescent="0.25">
      <c r="A207" s="24">
        <f>COUNTIF($P$6:$P$195,"SGA")</f>
        <v>1</v>
      </c>
      <c r="B207" s="40" t="s">
        <v>258</v>
      </c>
      <c r="C207" s="37">
        <f>SUMIF($P$6:$P$194,"SGA",$C$6:$C$194)</f>
        <v>55</v>
      </c>
      <c r="D207" s="37">
        <f>SUMIF($P$6:$P$194,"SGA",$D$6:$D$194)</f>
        <v>11</v>
      </c>
      <c r="E207" s="37">
        <f>SUMIF($P$6:$P$194,"SGA",$E$6:$E$194)</f>
        <v>11</v>
      </c>
      <c r="F207" s="136">
        <f t="shared" si="44"/>
        <v>0</v>
      </c>
      <c r="G207" s="136">
        <f t="shared" si="45"/>
        <v>20</v>
      </c>
      <c r="H207" s="37">
        <f>SUMIF($P$6:$P$194,"SGA",$H$6:$H$194)</f>
        <v>209191</v>
      </c>
      <c r="I207" s="37">
        <f>SUMIF($P$6:$P$194,"SGA",$I$6:$I$194)</f>
        <v>11000</v>
      </c>
      <c r="J207" s="37">
        <f>SUMIF($P$6:$P$194,"SGA",$J$6:$J$194)</f>
        <v>11200</v>
      </c>
      <c r="K207" s="136">
        <f t="shared" si="46"/>
        <v>1.8181818181818181</v>
      </c>
      <c r="L207" s="136">
        <f t="shared" si="47"/>
        <v>5.3539588223202719</v>
      </c>
      <c r="M207" s="37">
        <f>SUMIF($P$6:$P$194,"SGA",$M$6:$M$194)</f>
        <v>718</v>
      </c>
      <c r="N207" s="37">
        <f>SUMIF($P$6:$P$194,"SGA",$N$6:$N$194)</f>
        <v>718</v>
      </c>
      <c r="O207" s="136">
        <f t="shared" si="48"/>
        <v>0</v>
      </c>
      <c r="P207" s="39" t="s">
        <v>8</v>
      </c>
      <c r="Q207" s="13"/>
    </row>
    <row r="208" spans="1:18" s="7" customFormat="1" x14ac:dyDescent="0.25">
      <c r="A208" s="24">
        <f>COUNTIF($P$6:$P$195,"SRSO")</f>
        <v>9</v>
      </c>
      <c r="B208" s="40" t="s">
        <v>259</v>
      </c>
      <c r="C208" s="37">
        <f>SUMIF($P$6:$P$194,"SRSO",$C$6:$C$194)</f>
        <v>431</v>
      </c>
      <c r="D208" s="37">
        <f>SUMIF($P$6:$P$194,"SRSO",$D$6:$D$194)</f>
        <v>305</v>
      </c>
      <c r="E208" s="37">
        <f>SUMIF($P$6:$P$194,"SRSO",$E$6:$E$194)</f>
        <v>318</v>
      </c>
      <c r="F208" s="136">
        <f t="shared" si="44"/>
        <v>4.2622950819672134</v>
      </c>
      <c r="G208" s="136">
        <f t="shared" si="45"/>
        <v>73.781902552204187</v>
      </c>
      <c r="H208" s="37">
        <f>SUMIF($P$6:$P$194,"SRSO",$H$6:$H$194)</f>
        <v>1183970.1255411254</v>
      </c>
      <c r="I208" s="37">
        <f>SUMIF($P$6:$P$194,"SRSO",$I$6:$I$194)</f>
        <v>467399</v>
      </c>
      <c r="J208" s="37">
        <f>SUMIF($P$6:$P$194,"SRSO",$J$6:$J$194)</f>
        <v>495655</v>
      </c>
      <c r="K208" s="136">
        <f t="shared" si="46"/>
        <v>6.0453702297180785</v>
      </c>
      <c r="L208" s="136">
        <f t="shared" si="47"/>
        <v>41.863809677922767</v>
      </c>
      <c r="M208" s="37">
        <f>SUMIF($P$6:$P$194,"SRSO",$M$6:$M$194)</f>
        <v>29177</v>
      </c>
      <c r="N208" s="37">
        <f>SUMIF($P$6:$P$194,"SRSO",$N$6:$N$194)</f>
        <v>31056</v>
      </c>
      <c r="O208" s="136">
        <f t="shared" si="48"/>
        <v>6.4400041128285981</v>
      </c>
      <c r="P208" s="39" t="s">
        <v>9</v>
      </c>
      <c r="Q208" s="13"/>
    </row>
    <row r="209" spans="1:18" s="7" customFormat="1" x14ac:dyDescent="0.25">
      <c r="A209" s="24">
        <f>COUNTIF($P$6:$P$195,"SRSP")</f>
        <v>20</v>
      </c>
      <c r="B209" s="40" t="s">
        <v>260</v>
      </c>
      <c r="C209" s="37">
        <f>SUMIF($P$6:$P$194,"SRSP",$C$6:$C$194)</f>
        <v>750</v>
      </c>
      <c r="D209" s="37">
        <f>SUMIF($P$6:$P$194,"SRSP",$D$6:$D$194)</f>
        <v>475</v>
      </c>
      <c r="E209" s="37">
        <f>SUMIF($P$6:$P$194,"SRSP",$D$6:$D$194)</f>
        <v>475</v>
      </c>
      <c r="F209" s="136">
        <f t="shared" si="44"/>
        <v>0</v>
      </c>
      <c r="G209" s="136">
        <f t="shared" si="45"/>
        <v>63.333333333333336</v>
      </c>
      <c r="H209" s="37">
        <f>SUMIF($P$6:$P$194,"SRSP",$H$6:$H$194)</f>
        <v>1516957</v>
      </c>
      <c r="I209" s="37">
        <f>SUMIF($P$6:$P$194,"SRSP",$I$6:$I$194)</f>
        <v>534236</v>
      </c>
      <c r="J209" s="37">
        <f>SUMIF($P$6:$P$194,"SRSP",$J$6:$J$194)</f>
        <v>546609</v>
      </c>
      <c r="K209" s="136">
        <f t="shared" si="46"/>
        <v>2.3160176401440564</v>
      </c>
      <c r="L209" s="136">
        <f t="shared" si="47"/>
        <v>36.033256051424004</v>
      </c>
      <c r="M209" s="37">
        <f>SUMIF($P$6:$P$194,"SRSP",$M$6:$M$194)</f>
        <v>21144</v>
      </c>
      <c r="N209" s="37">
        <f>SUMIF($P$6:$P$194,"SRSP",$N$6:$N$194)</f>
        <v>21521</v>
      </c>
      <c r="O209" s="136">
        <f t="shared" si="48"/>
        <v>1.7830117290957246</v>
      </c>
      <c r="P209" s="39" t="s">
        <v>10</v>
      </c>
      <c r="Q209" s="13"/>
      <c r="R209" s="113"/>
    </row>
    <row r="210" spans="1:18" s="7" customFormat="1" x14ac:dyDescent="0.25">
      <c r="A210" s="24">
        <f>COUNTIF($P$6:$P$195,"TRDP")</f>
        <v>4</v>
      </c>
      <c r="B210" s="40" t="s">
        <v>261</v>
      </c>
      <c r="C210" s="37">
        <f>SUMIF($P$6:$P$194,"TRDP",$C$6:$C$194)</f>
        <v>151</v>
      </c>
      <c r="D210" s="37">
        <f>SUMIF($P$6:$P$194,"TRDP",$D$6:$D$194)</f>
        <v>112</v>
      </c>
      <c r="E210" s="37">
        <f>SUMIF($P$6:$P$194,"TRDP",$E$6:$E$194)</f>
        <v>112</v>
      </c>
      <c r="F210" s="136">
        <f t="shared" si="44"/>
        <v>0</v>
      </c>
      <c r="G210" s="136">
        <f t="shared" si="45"/>
        <v>74.172185430463571</v>
      </c>
      <c r="H210" s="37">
        <f>SUMIF($P$6:$P$194,"TRDP",$H$6:$H$194)</f>
        <v>519666</v>
      </c>
      <c r="I210" s="37">
        <f>SUMIF($P$6:$P$194,"TRDP",$I$6:$I$194)</f>
        <v>258138</v>
      </c>
      <c r="J210" s="37">
        <f>SUMIF($P$6:$P$194,"TRDP",$J$6:$J$194)</f>
        <v>261648</v>
      </c>
      <c r="K210" s="136">
        <f t="shared" si="46"/>
        <v>1.3597378146572763</v>
      </c>
      <c r="L210" s="136">
        <f t="shared" si="47"/>
        <v>50.349262795718793</v>
      </c>
      <c r="M210" s="37">
        <f>SUMIF($P$6:$P$194,"TRDP",$M$6:$M$194)</f>
        <v>15790</v>
      </c>
      <c r="N210" s="37">
        <f>SUMIF($P$6:$P$194,"TRDP",$N$6:$N$194)</f>
        <v>15962</v>
      </c>
      <c r="O210" s="136">
        <f t="shared" si="48"/>
        <v>1.0892970234325523</v>
      </c>
      <c r="P210" s="39" t="s">
        <v>11</v>
      </c>
      <c r="Q210" s="13"/>
    </row>
    <row r="211" spans="1:18" s="8" customFormat="1" ht="14.4" thickBot="1" x14ac:dyDescent="0.3">
      <c r="A211" s="29">
        <f>SUM(A201:A210)-22</f>
        <v>112</v>
      </c>
      <c r="B211" s="30" t="s">
        <v>178</v>
      </c>
      <c r="C211" s="65">
        <f>C223</f>
        <v>5565</v>
      </c>
      <c r="D211" s="65">
        <f>D223</f>
        <v>3556</v>
      </c>
      <c r="E211" s="65">
        <f>E223</f>
        <v>3534</v>
      </c>
      <c r="F211" s="167">
        <f t="shared" si="44"/>
        <v>-0.6186726659167604</v>
      </c>
      <c r="G211" s="167">
        <f t="shared" si="45"/>
        <v>63.504043126684635</v>
      </c>
      <c r="H211" s="65">
        <f>H223</f>
        <v>11503597.594703551</v>
      </c>
      <c r="I211" s="31">
        <f>SUM(I201:I210)</f>
        <v>4503036</v>
      </c>
      <c r="J211" s="31">
        <f>SUM(J201:J210)</f>
        <v>4605847</v>
      </c>
      <c r="K211" s="167">
        <f t="shared" si="46"/>
        <v>2.2831485246842353</v>
      </c>
      <c r="L211" s="167">
        <f t="shared" si="47"/>
        <v>40.038318118156432</v>
      </c>
      <c r="M211" s="31">
        <f>SUM(M201:M210)</f>
        <v>274561</v>
      </c>
      <c r="N211" s="31">
        <f>SUM(N201:N210)</f>
        <v>280005</v>
      </c>
      <c r="O211" s="167">
        <f t="shared" si="48"/>
        <v>1.9828016360663021</v>
      </c>
      <c r="P211" s="66"/>
      <c r="Q211" s="13"/>
    </row>
    <row r="212" spans="1:18" s="8" customFormat="1" ht="9" customHeight="1" x14ac:dyDescent="0.25">
      <c r="A212" s="166" t="s">
        <v>282</v>
      </c>
      <c r="B212" s="57"/>
      <c r="C212" s="42"/>
      <c r="D212" s="133"/>
      <c r="E212" s="42"/>
      <c r="F212" s="140"/>
      <c r="G212" s="140"/>
      <c r="H212" s="42"/>
      <c r="I212" s="42"/>
      <c r="J212" s="42"/>
      <c r="K212" s="42"/>
      <c r="L212" s="42"/>
      <c r="M212" s="42"/>
      <c r="N212" s="42"/>
      <c r="O212" s="42"/>
      <c r="P212" s="107"/>
    </row>
    <row r="213" spans="1:18" ht="18" customHeight="1" thickBot="1" x14ac:dyDescent="0.35">
      <c r="A213" s="108" t="s">
        <v>222</v>
      </c>
      <c r="B213" s="15"/>
      <c r="C213" s="70"/>
      <c r="D213" s="33"/>
      <c r="E213" s="34"/>
      <c r="F213" s="137"/>
      <c r="G213" s="137"/>
      <c r="H213" s="70"/>
      <c r="I213" s="70"/>
      <c r="J213" s="70"/>
      <c r="K213" s="70"/>
      <c r="L213" s="70"/>
      <c r="M213" s="70"/>
      <c r="N213" s="70"/>
      <c r="O213" s="70"/>
      <c r="P213" s="16"/>
    </row>
    <row r="214" spans="1:18" ht="69" x14ac:dyDescent="0.25">
      <c r="A214" s="110" t="s">
        <v>269</v>
      </c>
      <c r="B214" s="123" t="s">
        <v>224</v>
      </c>
      <c r="C214" s="61"/>
      <c r="D214" s="132"/>
      <c r="E214" s="132"/>
      <c r="F214" s="141"/>
      <c r="G214" s="141"/>
      <c r="H214" s="61"/>
      <c r="I214" s="61"/>
      <c r="J214" s="61"/>
      <c r="K214" s="61"/>
      <c r="L214" s="61"/>
      <c r="M214" s="63"/>
      <c r="N214" s="63"/>
      <c r="O214" s="63"/>
      <c r="P214" s="124" t="s">
        <v>270</v>
      </c>
      <c r="Q214" s="1" t="s">
        <v>180</v>
      </c>
    </row>
    <row r="215" spans="1:18" x14ac:dyDescent="0.25">
      <c r="A215" s="24">
        <f>A7</f>
        <v>1</v>
      </c>
      <c r="B215" s="40" t="s">
        <v>248</v>
      </c>
      <c r="C215" s="26">
        <f t="shared" ref="C215:M215" si="49">C7</f>
        <v>12</v>
      </c>
      <c r="D215" s="26">
        <f>D7</f>
        <v>12</v>
      </c>
      <c r="E215" s="26">
        <f>E7</f>
        <v>12</v>
      </c>
      <c r="F215" s="136">
        <f t="shared" ref="F215:F223" si="50">(E215-D215)/D215%</f>
        <v>0</v>
      </c>
      <c r="G215" s="136">
        <f t="shared" ref="G215:G223" si="51">E215/C215%</f>
        <v>100</v>
      </c>
      <c r="H215" s="26">
        <f t="shared" si="49"/>
        <v>43884</v>
      </c>
      <c r="I215" s="26">
        <f t="shared" si="49"/>
        <v>14128</v>
      </c>
      <c r="J215" s="26">
        <f t="shared" ref="J215" si="52">J7</f>
        <v>14300</v>
      </c>
      <c r="K215" s="136">
        <f t="shared" ref="K215:K223" si="53">(J215-I215)/I215%</f>
        <v>1.2174405436013589</v>
      </c>
      <c r="L215" s="136">
        <f t="shared" ref="L215:L223" si="54">J215/H215%</f>
        <v>32.585908303709779</v>
      </c>
      <c r="M215" s="26">
        <f t="shared" si="49"/>
        <v>915</v>
      </c>
      <c r="N215" s="26">
        <f t="shared" ref="N215" si="55">N7</f>
        <v>925</v>
      </c>
      <c r="O215" s="136">
        <f t="shared" ref="O215:O223" si="56">(N215-M215)/M215%</f>
        <v>1.0928961748633879</v>
      </c>
      <c r="P215" s="106">
        <f>A7</f>
        <v>1</v>
      </c>
    </row>
    <row r="216" spans="1:18" x14ac:dyDescent="0.25">
      <c r="A216" s="24">
        <f>A40</f>
        <v>18</v>
      </c>
      <c r="B216" s="40" t="s">
        <v>181</v>
      </c>
      <c r="C216" s="26">
        <f t="shared" ref="C216" si="57">C40</f>
        <v>547</v>
      </c>
      <c r="D216" s="26">
        <f>D40</f>
        <v>266</v>
      </c>
      <c r="E216" s="26">
        <f>E40</f>
        <v>277</v>
      </c>
      <c r="F216" s="136">
        <f t="shared" si="50"/>
        <v>4.1353383458646613</v>
      </c>
      <c r="G216" s="136">
        <f t="shared" si="51"/>
        <v>50.63985374771481</v>
      </c>
      <c r="H216" s="26">
        <f t="shared" ref="H216" si="58">H40</f>
        <v>523953.125</v>
      </c>
      <c r="I216" s="26">
        <f t="shared" ref="I216:J216" si="59">I40</f>
        <v>236910</v>
      </c>
      <c r="J216" s="26">
        <f t="shared" si="59"/>
        <v>247367</v>
      </c>
      <c r="K216" s="136">
        <f t="shared" si="53"/>
        <v>4.4139124562069982</v>
      </c>
      <c r="L216" s="136">
        <f t="shared" si="54"/>
        <v>47.211666119941547</v>
      </c>
      <c r="M216" s="26">
        <f t="shared" ref="M216:N216" si="60">M40</f>
        <v>13659</v>
      </c>
      <c r="N216" s="26">
        <f t="shared" si="60"/>
        <v>13992</v>
      </c>
      <c r="O216" s="136">
        <f t="shared" si="56"/>
        <v>2.4379529980232815</v>
      </c>
      <c r="P216" s="105">
        <f>A39</f>
        <v>30</v>
      </c>
    </row>
    <row r="217" spans="1:18" x14ac:dyDescent="0.25">
      <c r="A217" s="24">
        <f>A76</f>
        <v>19</v>
      </c>
      <c r="B217" s="40" t="s">
        <v>249</v>
      </c>
      <c r="C217" s="26">
        <f t="shared" ref="C217" si="61">C76</f>
        <v>961</v>
      </c>
      <c r="D217" s="26">
        <f>D76</f>
        <v>523</v>
      </c>
      <c r="E217" s="26">
        <f>E76</f>
        <v>538</v>
      </c>
      <c r="F217" s="136">
        <f t="shared" si="50"/>
        <v>2.8680688336520075</v>
      </c>
      <c r="G217" s="136">
        <f t="shared" si="51"/>
        <v>55.983350676378777</v>
      </c>
      <c r="H217" s="26">
        <f t="shared" ref="H217" si="62">H76</f>
        <v>1580629</v>
      </c>
      <c r="I217" s="26">
        <f t="shared" ref="I217:J217" si="63">I76</f>
        <v>672562</v>
      </c>
      <c r="J217" s="26">
        <f t="shared" si="63"/>
        <v>691031</v>
      </c>
      <c r="K217" s="136">
        <f t="shared" si="53"/>
        <v>2.746066533642995</v>
      </c>
      <c r="L217" s="136">
        <f t="shared" si="54"/>
        <v>43.718734756859448</v>
      </c>
      <c r="M217" s="26">
        <f t="shared" ref="M217:N217" si="64">M76</f>
        <v>29910</v>
      </c>
      <c r="N217" s="26">
        <f t="shared" si="64"/>
        <v>30639</v>
      </c>
      <c r="O217" s="136">
        <f t="shared" si="56"/>
        <v>2.437311935807422</v>
      </c>
      <c r="P217" s="106">
        <f>A75</f>
        <v>24</v>
      </c>
    </row>
    <row r="218" spans="1:18" x14ac:dyDescent="0.25">
      <c r="A218" s="24">
        <f>A102</f>
        <v>22</v>
      </c>
      <c r="B218" s="40" t="s">
        <v>182</v>
      </c>
      <c r="C218" s="26">
        <f t="shared" ref="C218" si="65">C102</f>
        <v>921</v>
      </c>
      <c r="D218" s="26">
        <f>D102</f>
        <v>632</v>
      </c>
      <c r="E218" s="26">
        <f>E102</f>
        <v>667</v>
      </c>
      <c r="F218" s="136">
        <f t="shared" si="50"/>
        <v>5.5379746835443031</v>
      </c>
      <c r="G218" s="136">
        <f t="shared" si="51"/>
        <v>72.421281216069488</v>
      </c>
      <c r="H218" s="26">
        <f t="shared" ref="H218" si="66">H102</f>
        <v>2816903.1255411254</v>
      </c>
      <c r="I218" s="26">
        <f t="shared" ref="I218:J218" si="67">I102</f>
        <v>940784</v>
      </c>
      <c r="J218" s="26">
        <f t="shared" si="67"/>
        <v>977400</v>
      </c>
      <c r="K218" s="136">
        <f t="shared" si="53"/>
        <v>3.8920729944386809</v>
      </c>
      <c r="L218" s="136">
        <f t="shared" si="54"/>
        <v>34.697678849436542</v>
      </c>
      <c r="M218" s="26">
        <f t="shared" ref="M218:N218" si="68">M102</f>
        <v>58705</v>
      </c>
      <c r="N218" s="26">
        <f t="shared" si="68"/>
        <v>60971</v>
      </c>
      <c r="O218" s="136">
        <f t="shared" si="56"/>
        <v>3.8599778553785882</v>
      </c>
      <c r="P218" s="106">
        <f>A101</f>
        <v>23</v>
      </c>
    </row>
    <row r="219" spans="1:18" x14ac:dyDescent="0.25">
      <c r="A219" s="24">
        <f>A151</f>
        <v>34</v>
      </c>
      <c r="B219" s="40" t="s">
        <v>183</v>
      </c>
      <c r="C219" s="26">
        <f t="shared" ref="C219" si="69">C151</f>
        <v>2635</v>
      </c>
      <c r="D219" s="26">
        <f>D151</f>
        <v>1844</v>
      </c>
      <c r="E219" s="26">
        <f>E151</f>
        <v>1761</v>
      </c>
      <c r="F219" s="136">
        <f t="shared" si="50"/>
        <v>-4.5010845986984815</v>
      </c>
      <c r="G219" s="136">
        <f t="shared" si="51"/>
        <v>66.831119544592028</v>
      </c>
      <c r="H219" s="26">
        <f t="shared" ref="H219" si="70">H151</f>
        <v>5982197.8585411254</v>
      </c>
      <c r="I219" s="26">
        <f t="shared" ref="I219:J219" si="71">I151</f>
        <v>2318816</v>
      </c>
      <c r="J219" s="26">
        <f t="shared" si="71"/>
        <v>2347228</v>
      </c>
      <c r="K219" s="136">
        <f t="shared" si="53"/>
        <v>1.2252804879731725</v>
      </c>
      <c r="L219" s="136">
        <f t="shared" si="54"/>
        <v>39.236883424855776</v>
      </c>
      <c r="M219" s="26">
        <f t="shared" ref="M219:N219" si="72">M151</f>
        <v>155695</v>
      </c>
      <c r="N219" s="26">
        <f t="shared" si="72"/>
        <v>157408</v>
      </c>
      <c r="O219" s="136">
        <f t="shared" si="56"/>
        <v>1.1002280098911332</v>
      </c>
      <c r="P219" s="106">
        <f>A150</f>
        <v>36</v>
      </c>
    </row>
    <row r="220" spans="1:18" x14ac:dyDescent="0.25">
      <c r="A220" s="24">
        <f>A169</f>
        <v>10</v>
      </c>
      <c r="B220" s="40" t="s">
        <v>250</v>
      </c>
      <c r="C220" s="26">
        <f t="shared" ref="C220" si="73">C169</f>
        <v>196</v>
      </c>
      <c r="D220" s="26">
        <f>D169</f>
        <v>179</v>
      </c>
      <c r="E220" s="26">
        <f>E169</f>
        <v>179</v>
      </c>
      <c r="F220" s="136">
        <f t="shared" si="50"/>
        <v>0</v>
      </c>
      <c r="G220" s="136">
        <f t="shared" si="51"/>
        <v>91.326530612244895</v>
      </c>
      <c r="H220" s="26">
        <f t="shared" ref="H220" si="74">H169</f>
        <v>398969.65165781637</v>
      </c>
      <c r="I220" s="26">
        <f t="shared" ref="I220:J220" si="75">I169</f>
        <v>237918</v>
      </c>
      <c r="J220" s="26">
        <f t="shared" si="75"/>
        <v>246563</v>
      </c>
      <c r="K220" s="136">
        <f t="shared" si="53"/>
        <v>3.6336048554544007</v>
      </c>
      <c r="L220" s="136">
        <f t="shared" si="54"/>
        <v>61.799938660865678</v>
      </c>
      <c r="M220" s="26">
        <f t="shared" ref="M220:N220" si="76">M169</f>
        <v>12144</v>
      </c>
      <c r="N220" s="26">
        <f t="shared" si="76"/>
        <v>12536</v>
      </c>
      <c r="O220" s="136">
        <f t="shared" si="56"/>
        <v>3.2279314888010542</v>
      </c>
      <c r="P220" s="106">
        <f>A168</f>
        <v>10</v>
      </c>
    </row>
    <row r="221" spans="1:18" x14ac:dyDescent="0.25">
      <c r="A221" s="24">
        <f>A179</f>
        <v>6</v>
      </c>
      <c r="B221" s="40" t="s">
        <v>251</v>
      </c>
      <c r="C221" s="26">
        <f t="shared" ref="C221" si="77">C179</f>
        <v>103</v>
      </c>
      <c r="D221" s="26">
        <f>D179</f>
        <v>94</v>
      </c>
      <c r="E221" s="26">
        <f>E179</f>
        <v>94</v>
      </c>
      <c r="F221" s="136">
        <f t="shared" si="50"/>
        <v>0</v>
      </c>
      <c r="G221" s="136">
        <f t="shared" si="51"/>
        <v>91.262135922330089</v>
      </c>
      <c r="H221" s="26">
        <f t="shared" ref="H221" si="78">H179</f>
        <v>108649.83396348439</v>
      </c>
      <c r="I221" s="26">
        <f t="shared" ref="I221:J221" si="79">I179</f>
        <v>75781</v>
      </c>
      <c r="J221" s="26">
        <f t="shared" si="79"/>
        <v>75781</v>
      </c>
      <c r="K221" s="136">
        <f t="shared" si="53"/>
        <v>0</v>
      </c>
      <c r="L221" s="136">
        <f t="shared" si="54"/>
        <v>69.747920669136846</v>
      </c>
      <c r="M221" s="26">
        <f t="shared" ref="M221:N221" si="80">M179</f>
        <v>3282</v>
      </c>
      <c r="N221" s="26">
        <f t="shared" si="80"/>
        <v>3282</v>
      </c>
      <c r="O221" s="136">
        <f t="shared" si="56"/>
        <v>0</v>
      </c>
      <c r="P221" s="106">
        <f>A178</f>
        <v>7</v>
      </c>
    </row>
    <row r="222" spans="1:18" x14ac:dyDescent="0.25">
      <c r="A222" s="24">
        <f>A195</f>
        <v>2</v>
      </c>
      <c r="B222" s="40" t="s">
        <v>252</v>
      </c>
      <c r="C222" s="26">
        <f t="shared" ref="C222" si="81">C195</f>
        <v>190</v>
      </c>
      <c r="D222" s="26">
        <f>D195</f>
        <v>6</v>
      </c>
      <c r="E222" s="26">
        <f>E195</f>
        <v>6</v>
      </c>
      <c r="F222" s="136">
        <f t="shared" si="50"/>
        <v>0</v>
      </c>
      <c r="G222" s="136">
        <f t="shared" si="51"/>
        <v>3.1578947368421053</v>
      </c>
      <c r="H222" s="26">
        <f t="shared" ref="H222" si="82">H195</f>
        <v>48411</v>
      </c>
      <c r="I222" s="26">
        <f t="shared" ref="I222:J222" si="83">I195</f>
        <v>6137</v>
      </c>
      <c r="J222" s="26">
        <f t="shared" si="83"/>
        <v>6177</v>
      </c>
      <c r="K222" s="136">
        <f t="shared" si="53"/>
        <v>0.65178425941013529</v>
      </c>
      <c r="L222" s="136">
        <f t="shared" si="54"/>
        <v>12.759496808576563</v>
      </c>
      <c r="M222" s="26">
        <f t="shared" ref="M222:N222" si="84">M195</f>
        <v>251</v>
      </c>
      <c r="N222" s="26">
        <f t="shared" si="84"/>
        <v>252</v>
      </c>
      <c r="O222" s="136">
        <f t="shared" si="56"/>
        <v>0.39840637450199207</v>
      </c>
      <c r="P222" s="106">
        <f>A194</f>
        <v>13</v>
      </c>
    </row>
    <row r="223" spans="1:18" s="5" customFormat="1" ht="14.4" thickBot="1" x14ac:dyDescent="0.3">
      <c r="A223" s="29">
        <f>SUM(A215:A222)</f>
        <v>112</v>
      </c>
      <c r="B223" s="68" t="s">
        <v>234</v>
      </c>
      <c r="C223" s="31">
        <f t="shared" ref="C223:P223" si="85">SUM(C215:C222)</f>
        <v>5565</v>
      </c>
      <c r="D223" s="31">
        <f>SUM(D215:D222)</f>
        <v>3556</v>
      </c>
      <c r="E223" s="31">
        <f>SUM(E215:E222)</f>
        <v>3534</v>
      </c>
      <c r="F223" s="136">
        <f t="shared" si="50"/>
        <v>-0.6186726659167604</v>
      </c>
      <c r="G223" s="136">
        <f t="shared" si="51"/>
        <v>63.504043126684635</v>
      </c>
      <c r="H223" s="31">
        <f t="shared" si="85"/>
        <v>11503597.594703551</v>
      </c>
      <c r="I223" s="31">
        <f t="shared" si="85"/>
        <v>4503036</v>
      </c>
      <c r="J223" s="31">
        <f t="shared" ref="J223" si="86">SUM(J215:J222)</f>
        <v>4605847</v>
      </c>
      <c r="K223" s="136">
        <f t="shared" si="53"/>
        <v>2.2831485246842353</v>
      </c>
      <c r="L223" s="136">
        <f t="shared" si="54"/>
        <v>40.038318118156432</v>
      </c>
      <c r="M223" s="31">
        <f t="shared" si="85"/>
        <v>274561</v>
      </c>
      <c r="N223" s="31">
        <f t="shared" ref="N223" si="87">SUM(N215:N222)</f>
        <v>280005</v>
      </c>
      <c r="O223" s="136">
        <f t="shared" si="56"/>
        <v>1.9828016360663021</v>
      </c>
      <c r="P223" s="104">
        <f t="shared" si="85"/>
        <v>144</v>
      </c>
    </row>
    <row r="224" spans="1:18" x14ac:dyDescent="0.25">
      <c r="H224" s="12">
        <f>H211-H223</f>
        <v>0</v>
      </c>
    </row>
    <row r="225" spans="2:8" x14ac:dyDescent="0.25">
      <c r="D225" s="9"/>
      <c r="E225" s="9"/>
      <c r="F225" s="9"/>
      <c r="G225" s="9"/>
      <c r="H225" s="4"/>
    </row>
    <row r="226" spans="2:8" x14ac:dyDescent="0.25">
      <c r="C226" s="9"/>
      <c r="D226" s="9"/>
      <c r="E226" s="9"/>
      <c r="F226" s="9"/>
      <c r="G226" s="9"/>
      <c r="H226" s="4"/>
    </row>
    <row r="227" spans="2:8" x14ac:dyDescent="0.25">
      <c r="B227" s="11"/>
    </row>
  </sheetData>
  <autoFilter ref="O1:O227"/>
  <mergeCells count="9">
    <mergeCell ref="A1:P1"/>
    <mergeCell ref="A2:A3"/>
    <mergeCell ref="B2:B3"/>
    <mergeCell ref="P2:P3"/>
    <mergeCell ref="C2:C3"/>
    <mergeCell ref="H2:H3"/>
    <mergeCell ref="M2:O2"/>
    <mergeCell ref="I2:L2"/>
    <mergeCell ref="D2:G2"/>
  </mergeCells>
  <pageMargins left="1.1599999999999999" right="0.16" top="0.2" bottom="0.18" header="0.17" footer="0.16"/>
  <pageSetup paperSize="9" scale="52" orientation="landscape" r:id="rId1"/>
  <headerFooter alignWithMargins="0"/>
  <rowBreaks count="6" manualBreakCount="6">
    <brk id="40" max="10" man="1"/>
    <brk id="77" max="10" man="1"/>
    <brk id="102" max="10" man="1"/>
    <brk id="151" max="10" man="1"/>
    <brk id="179" max="10" man="1"/>
    <brk id="197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61"/>
  <sheetViews>
    <sheetView view="pageBreakPreview" zoomScaleSheetLayoutView="100" workbookViewId="0">
      <pane xSplit="2" ySplit="3" topLeftCell="C50" activePane="bottomRight" state="frozen"/>
      <selection activeCell="E4" sqref="E4"/>
      <selection pane="topRight" activeCell="E4" sqref="E4"/>
      <selection pane="bottomLeft" activeCell="E4" sqref="E4"/>
      <selection pane="bottomRight" activeCell="A61" sqref="A61"/>
    </sheetView>
  </sheetViews>
  <sheetFormatPr defaultColWidth="9.109375" defaultRowHeight="13.8" x14ac:dyDescent="0.3"/>
  <cols>
    <col min="1" max="1" width="30" style="95" customWidth="1"/>
    <col min="2" max="2" width="21.6640625" style="95" customWidth="1"/>
    <col min="3" max="3" width="9.6640625" style="95" bestFit="1" customWidth="1"/>
    <col min="4" max="5" width="10.6640625" style="72" bestFit="1" customWidth="1"/>
    <col min="6" max="6" width="9.6640625" style="72" bestFit="1" customWidth="1"/>
    <col min="7" max="8" width="12.109375" style="72" bestFit="1" customWidth="1"/>
    <col min="9" max="9" width="9.6640625" style="72" bestFit="1" customWidth="1"/>
    <col min="10" max="10" width="10.6640625" style="72" bestFit="1" customWidth="1"/>
    <col min="11" max="11" width="12.109375" style="72" bestFit="1" customWidth="1"/>
    <col min="12" max="12" width="10.6640625" style="72" bestFit="1" customWidth="1"/>
    <col min="13" max="13" width="12.109375" style="72" bestFit="1" customWidth="1"/>
    <col min="14" max="14" width="10" style="72" bestFit="1" customWidth="1"/>
    <col min="15" max="15" width="13.109375" style="72" bestFit="1" customWidth="1"/>
    <col min="16" max="17" width="9.109375" style="72"/>
    <col min="18" max="18" width="12.88671875" style="72" customWidth="1"/>
    <col min="19" max="16384" width="9.109375" style="72"/>
  </cols>
  <sheetData>
    <row r="1" spans="1:18" ht="14.4" thickBot="1" x14ac:dyDescent="0.35">
      <c r="A1" s="169" t="s">
        <v>294</v>
      </c>
      <c r="B1" s="72"/>
      <c r="C1" s="72"/>
      <c r="D1" s="97"/>
      <c r="E1" s="97"/>
      <c r="F1" s="97"/>
      <c r="G1" s="71"/>
      <c r="H1" s="71"/>
      <c r="I1" s="97"/>
      <c r="J1" s="97"/>
      <c r="K1" s="97"/>
      <c r="L1" s="97"/>
    </row>
    <row r="2" spans="1:18" s="98" customFormat="1" x14ac:dyDescent="0.25">
      <c r="A2" s="210" t="s">
        <v>1</v>
      </c>
      <c r="B2" s="211"/>
      <c r="C2" s="145" t="s">
        <v>2</v>
      </c>
      <c r="D2" s="145" t="s">
        <v>3</v>
      </c>
      <c r="E2" s="145" t="s">
        <v>4</v>
      </c>
      <c r="F2" s="145" t="s">
        <v>5</v>
      </c>
      <c r="G2" s="145" t="s">
        <v>6</v>
      </c>
      <c r="H2" s="145" t="s">
        <v>7</v>
      </c>
      <c r="I2" s="145" t="s">
        <v>8</v>
      </c>
      <c r="J2" s="145" t="s">
        <v>9</v>
      </c>
      <c r="K2" s="145" t="s">
        <v>10</v>
      </c>
      <c r="L2" s="145" t="s">
        <v>11</v>
      </c>
      <c r="M2" s="103" t="s">
        <v>19</v>
      </c>
    </row>
    <row r="3" spans="1:18" ht="5.25" customHeight="1" thickBot="1" x14ac:dyDescent="0.35">
      <c r="A3" s="73"/>
      <c r="B3" s="74"/>
      <c r="C3" s="74"/>
      <c r="D3" s="134"/>
      <c r="E3" s="134"/>
      <c r="F3" s="134"/>
      <c r="G3" s="134"/>
      <c r="H3" s="134"/>
      <c r="I3" s="134"/>
      <c r="J3" s="134"/>
      <c r="K3" s="134"/>
      <c r="L3" s="134"/>
      <c r="M3" s="134"/>
    </row>
    <row r="4" spans="1:18" s="75" customFormat="1" x14ac:dyDescent="0.3">
      <c r="A4" s="212" t="s">
        <v>268</v>
      </c>
      <c r="B4" s="213"/>
      <c r="C4" s="100">
        <v>7</v>
      </c>
      <c r="D4" s="100">
        <v>7</v>
      </c>
      <c r="E4" s="100">
        <v>13</v>
      </c>
      <c r="F4" s="100">
        <v>3</v>
      </c>
      <c r="G4" s="100">
        <v>49</v>
      </c>
      <c r="H4" s="168">
        <v>21</v>
      </c>
      <c r="I4" s="100">
        <v>1</v>
      </c>
      <c r="J4" s="100">
        <v>9</v>
      </c>
      <c r="K4" s="100">
        <v>20</v>
      </c>
      <c r="L4" s="100">
        <v>4</v>
      </c>
      <c r="M4" s="100">
        <f>SUM(C4:L4)-22</f>
        <v>112</v>
      </c>
      <c r="N4" s="111"/>
      <c r="O4" s="87"/>
      <c r="R4" s="75">
        <f>G4-'3. Overall com progres Jun(ref)'!G4</f>
        <v>1</v>
      </c>
    </row>
    <row r="5" spans="1:18" s="75" customFormat="1" x14ac:dyDescent="0.3">
      <c r="A5" s="214" t="s">
        <v>13</v>
      </c>
      <c r="B5" s="215"/>
      <c r="C5" s="100">
        <v>115</v>
      </c>
      <c r="D5" s="100">
        <v>118</v>
      </c>
      <c r="E5" s="100">
        <v>202</v>
      </c>
      <c r="F5" s="100">
        <v>20</v>
      </c>
      <c r="G5" s="100">
        <v>1841</v>
      </c>
      <c r="H5" s="168">
        <v>703</v>
      </c>
      <c r="I5" s="100">
        <v>11</v>
      </c>
      <c r="J5" s="100">
        <v>318</v>
      </c>
      <c r="K5" s="100">
        <v>475</v>
      </c>
      <c r="L5" s="100">
        <v>112</v>
      </c>
      <c r="M5" s="100">
        <f>SUM(C5:L5)-387</f>
        <v>3528</v>
      </c>
      <c r="N5" s="111"/>
      <c r="O5" s="87"/>
      <c r="R5" s="75">
        <f>G5-'3. Overall com progres Jun(ref)'!G5</f>
        <v>35</v>
      </c>
    </row>
    <row r="6" spans="1:18" s="75" customFormat="1" x14ac:dyDescent="0.3">
      <c r="A6" s="214" t="s">
        <v>226</v>
      </c>
      <c r="B6" s="215"/>
      <c r="C6" s="100">
        <v>89174</v>
      </c>
      <c r="D6" s="100">
        <v>108969</v>
      </c>
      <c r="E6" s="100">
        <v>167350</v>
      </c>
      <c r="F6" s="100">
        <v>31142</v>
      </c>
      <c r="G6" s="100">
        <v>1890292</v>
      </c>
      <c r="H6" s="168">
        <v>1003808</v>
      </c>
      <c r="I6" s="100">
        <v>11200</v>
      </c>
      <c r="J6" s="100">
        <v>495655</v>
      </c>
      <c r="K6" s="100">
        <v>546609</v>
      </c>
      <c r="L6" s="100">
        <v>261648</v>
      </c>
      <c r="M6" s="100">
        <f>SUM(C6:L6)</f>
        <v>4605847</v>
      </c>
      <c r="N6" s="112">
        <f>M6/1000000</f>
        <v>4.6058469999999998</v>
      </c>
      <c r="O6" s="81">
        <f>N6*6.5</f>
        <v>29.938005499999999</v>
      </c>
      <c r="R6" s="75">
        <f>G6-'3. Overall com progres Jun(ref)'!G6</f>
        <v>29318</v>
      </c>
    </row>
    <row r="7" spans="1:18" s="75" customFormat="1" x14ac:dyDescent="0.3">
      <c r="A7" s="214" t="s">
        <v>14</v>
      </c>
      <c r="B7" s="215"/>
      <c r="C7" s="100">
        <v>32</v>
      </c>
      <c r="D7" s="100">
        <v>58</v>
      </c>
      <c r="E7" s="100">
        <v>21</v>
      </c>
      <c r="F7" s="100">
        <v>8</v>
      </c>
      <c r="G7" s="100">
        <f>409-C7</f>
        <v>377</v>
      </c>
      <c r="H7" s="168">
        <v>29</v>
      </c>
      <c r="I7" s="100">
        <v>0</v>
      </c>
      <c r="J7" s="100">
        <v>35</v>
      </c>
      <c r="K7" s="100">
        <v>49</v>
      </c>
      <c r="L7" s="100">
        <v>15</v>
      </c>
      <c r="M7" s="100">
        <f>SUM(C7:L7)</f>
        <v>624</v>
      </c>
      <c r="N7" s="111"/>
      <c r="O7" s="87"/>
      <c r="R7" s="75">
        <f>G7-'3. Overall com progres Jun(ref)'!G7</f>
        <v>15</v>
      </c>
    </row>
    <row r="8" spans="1:18" s="75" customFormat="1" x14ac:dyDescent="0.3">
      <c r="A8" s="196" t="s">
        <v>15</v>
      </c>
      <c r="B8" s="151" t="s">
        <v>16</v>
      </c>
      <c r="C8" s="100">
        <v>1359</v>
      </c>
      <c r="D8" s="100">
        <v>2018</v>
      </c>
      <c r="E8" s="100">
        <v>3086</v>
      </c>
      <c r="F8" s="100">
        <v>1316</v>
      </c>
      <c r="G8" s="100">
        <v>53363</v>
      </c>
      <c r="H8" s="168">
        <v>24601</v>
      </c>
      <c r="I8" s="100">
        <v>351</v>
      </c>
      <c r="J8" s="100">
        <v>26910</v>
      </c>
      <c r="K8" s="100">
        <v>5595</v>
      </c>
      <c r="L8" s="100">
        <v>8326</v>
      </c>
      <c r="M8" s="100">
        <f>SUM(C8:L8)</f>
        <v>126925</v>
      </c>
      <c r="N8" s="112">
        <f>M8/M11%</f>
        <v>45.329547686648446</v>
      </c>
      <c r="O8" s="87"/>
      <c r="R8" s="75">
        <f>G8-'3. Overall com progres Jun(ref)'!G8</f>
        <v>1246</v>
      </c>
    </row>
    <row r="9" spans="1:18" s="75" customFormat="1" x14ac:dyDescent="0.3">
      <c r="A9" s="196"/>
      <c r="B9" s="152" t="s">
        <v>17</v>
      </c>
      <c r="C9" s="100">
        <v>1942</v>
      </c>
      <c r="D9" s="100">
        <v>2703</v>
      </c>
      <c r="E9" s="100">
        <v>6849</v>
      </c>
      <c r="F9" s="100">
        <v>1291</v>
      </c>
      <c r="G9" s="100">
        <v>67315</v>
      </c>
      <c r="H9" s="168">
        <v>36464</v>
      </c>
      <c r="I9" s="100">
        <v>367</v>
      </c>
      <c r="J9" s="100">
        <v>4106</v>
      </c>
      <c r="K9" s="100">
        <v>15926</v>
      </c>
      <c r="L9" s="100">
        <v>5680</v>
      </c>
      <c r="M9" s="100">
        <f>SUM(C9:L9)</f>
        <v>142643</v>
      </c>
      <c r="N9" s="111"/>
      <c r="O9" s="87"/>
      <c r="R9" s="75">
        <f>G9-'3. Overall com progres Jun(ref)'!G9</f>
        <v>361</v>
      </c>
    </row>
    <row r="10" spans="1:18" s="75" customFormat="1" x14ac:dyDescent="0.3">
      <c r="A10" s="196"/>
      <c r="B10" s="152" t="s">
        <v>18</v>
      </c>
      <c r="C10" s="100">
        <v>988</v>
      </c>
      <c r="D10" s="100">
        <v>0</v>
      </c>
      <c r="E10" s="100">
        <v>54</v>
      </c>
      <c r="F10" s="100">
        <v>0</v>
      </c>
      <c r="G10" s="100">
        <v>7399</v>
      </c>
      <c r="H10" s="168" t="s">
        <v>263</v>
      </c>
      <c r="I10" s="100"/>
      <c r="J10" s="100">
        <v>40</v>
      </c>
      <c r="K10" s="100">
        <v>0</v>
      </c>
      <c r="L10" s="100">
        <v>1956</v>
      </c>
      <c r="M10" s="100">
        <f>SUM(C10:L10)</f>
        <v>10437</v>
      </c>
      <c r="N10" s="111"/>
      <c r="O10" s="87"/>
      <c r="R10" s="75">
        <f>G10-'3. Overall com progres Jun(ref)'!G10</f>
        <v>305</v>
      </c>
    </row>
    <row r="11" spans="1:18" s="75" customFormat="1" x14ac:dyDescent="0.3">
      <c r="A11" s="196"/>
      <c r="B11" s="153" t="s">
        <v>19</v>
      </c>
      <c r="C11" s="135">
        <f>SUM(C8:C10)</f>
        <v>4289</v>
      </c>
      <c r="D11" s="135">
        <f>SUM(D8:D10)</f>
        <v>4721</v>
      </c>
      <c r="E11" s="135">
        <f>SUM(E8:E10)</f>
        <v>9989</v>
      </c>
      <c r="F11" s="135">
        <f>SUM(F8:F10)</f>
        <v>2607</v>
      </c>
      <c r="G11" s="135">
        <f>SUM(G8:G10)</f>
        <v>128077</v>
      </c>
      <c r="H11" s="135">
        <f t="shared" ref="H11:M11" si="0">SUM(H8:H10)</f>
        <v>61065</v>
      </c>
      <c r="I11" s="135">
        <f t="shared" si="0"/>
        <v>718</v>
      </c>
      <c r="J11" s="135">
        <f t="shared" si="0"/>
        <v>31056</v>
      </c>
      <c r="K11" s="135">
        <f t="shared" si="0"/>
        <v>21521</v>
      </c>
      <c r="L11" s="135">
        <f t="shared" si="0"/>
        <v>15962</v>
      </c>
      <c r="M11" s="135">
        <f t="shared" si="0"/>
        <v>280005</v>
      </c>
      <c r="N11" s="111"/>
      <c r="O11" s="87"/>
      <c r="R11" s="75">
        <f>G11-'3. Overall com progres Jun(ref)'!G11</f>
        <v>1912</v>
      </c>
    </row>
    <row r="12" spans="1:18" s="75" customFormat="1" x14ac:dyDescent="0.3">
      <c r="A12" s="201" t="s">
        <v>20</v>
      </c>
      <c r="B12" s="151" t="s">
        <v>21</v>
      </c>
      <c r="C12" s="100">
        <v>38622</v>
      </c>
      <c r="D12" s="100">
        <v>68007</v>
      </c>
      <c r="E12" s="100">
        <v>52462</v>
      </c>
      <c r="F12" s="100">
        <v>22720</v>
      </c>
      <c r="G12" s="100">
        <v>925352</v>
      </c>
      <c r="H12" s="168">
        <v>392492</v>
      </c>
      <c r="I12" s="100">
        <v>9548</v>
      </c>
      <c r="J12" s="100">
        <v>445923</v>
      </c>
      <c r="K12" s="100">
        <v>145535</v>
      </c>
      <c r="L12" s="100">
        <v>171558</v>
      </c>
      <c r="M12" s="100">
        <f>SUM(C12:L12)</f>
        <v>2272219</v>
      </c>
      <c r="N12" s="161">
        <f>M12/M14%</f>
        <v>47.901103031624125</v>
      </c>
      <c r="O12" s="87"/>
      <c r="R12" s="75">
        <f>G12-'3. Overall com progres Jun(ref)'!G12</f>
        <v>22254</v>
      </c>
    </row>
    <row r="13" spans="1:18" s="75" customFormat="1" x14ac:dyDescent="0.3">
      <c r="A13" s="201"/>
      <c r="B13" s="152" t="s">
        <v>22</v>
      </c>
      <c r="C13" s="100">
        <v>50552</v>
      </c>
      <c r="D13" s="100">
        <v>108247</v>
      </c>
      <c r="E13" s="100">
        <v>113900</v>
      </c>
      <c r="F13" s="100">
        <v>24328</v>
      </c>
      <c r="G13" s="100">
        <v>964940</v>
      </c>
      <c r="H13" s="168">
        <v>621258</v>
      </c>
      <c r="I13" s="100">
        <v>9859</v>
      </c>
      <c r="J13" s="100">
        <v>37148</v>
      </c>
      <c r="K13" s="100">
        <v>402683</v>
      </c>
      <c r="L13" s="100">
        <v>138429</v>
      </c>
      <c r="M13" s="100">
        <f>SUM(C13:L13)</f>
        <v>2471344</v>
      </c>
      <c r="N13" s="111"/>
      <c r="O13" s="87"/>
      <c r="R13" s="75">
        <f>G13-'3. Overall com progres Jun(ref)'!G13</f>
        <v>7064</v>
      </c>
    </row>
    <row r="14" spans="1:18" s="75" customFormat="1" x14ac:dyDescent="0.3">
      <c r="A14" s="201"/>
      <c r="B14" s="154" t="s">
        <v>19</v>
      </c>
      <c r="C14" s="135">
        <f t="shared" ref="C14:M14" si="1">SUM(C12:C13)</f>
        <v>89174</v>
      </c>
      <c r="D14" s="135">
        <f t="shared" si="1"/>
        <v>176254</v>
      </c>
      <c r="E14" s="135">
        <f t="shared" si="1"/>
        <v>166362</v>
      </c>
      <c r="F14" s="135">
        <f t="shared" si="1"/>
        <v>47048</v>
      </c>
      <c r="G14" s="135">
        <f t="shared" si="1"/>
        <v>1890292</v>
      </c>
      <c r="H14" s="135">
        <f t="shared" si="1"/>
        <v>1013750</v>
      </c>
      <c r="I14" s="135">
        <f t="shared" si="1"/>
        <v>19407</v>
      </c>
      <c r="J14" s="135">
        <f t="shared" si="1"/>
        <v>483071</v>
      </c>
      <c r="K14" s="135">
        <f t="shared" si="1"/>
        <v>548218</v>
      </c>
      <c r="L14" s="135">
        <f t="shared" si="1"/>
        <v>309987</v>
      </c>
      <c r="M14" s="135">
        <f t="shared" si="1"/>
        <v>4743563</v>
      </c>
      <c r="N14" s="112">
        <f>M14/1000000</f>
        <v>4.743563</v>
      </c>
      <c r="O14" s="87"/>
      <c r="R14" s="75">
        <f>G14-'3. Overall com progres Jun(ref)'!G14</f>
        <v>29318</v>
      </c>
    </row>
    <row r="15" spans="1:18" s="81" customFormat="1" x14ac:dyDescent="0.3">
      <c r="A15" s="202" t="s">
        <v>271</v>
      </c>
      <c r="B15" s="155" t="s">
        <v>21</v>
      </c>
      <c r="C15" s="100">
        <v>26.25</v>
      </c>
      <c r="D15" s="100">
        <v>129.43899999999999</v>
      </c>
      <c r="E15" s="100">
        <v>4.9000000000000004</v>
      </c>
      <c r="F15" s="100">
        <v>4.47</v>
      </c>
      <c r="G15" s="100">
        <v>205.71821378249999</v>
      </c>
      <c r="H15" s="168">
        <v>41.932000000000002</v>
      </c>
      <c r="I15" s="100">
        <v>0</v>
      </c>
      <c r="J15" s="100">
        <v>70.745999999999995</v>
      </c>
      <c r="K15" s="100">
        <v>34.700000000000003</v>
      </c>
      <c r="L15" s="100">
        <v>75.444999999999993</v>
      </c>
      <c r="M15" s="100">
        <f>SUM(C15:L15)</f>
        <v>593.60021378250008</v>
      </c>
      <c r="N15" s="111"/>
      <c r="O15" s="87"/>
      <c r="R15" s="75">
        <f>G15-'3. Overall com progres Jun(ref)'!G15</f>
        <v>16.779144757499978</v>
      </c>
    </row>
    <row r="16" spans="1:18" s="81" customFormat="1" x14ac:dyDescent="0.3">
      <c r="A16" s="202"/>
      <c r="B16" s="144" t="s">
        <v>22</v>
      </c>
      <c r="C16" s="100">
        <v>26.28</v>
      </c>
      <c r="D16" s="100">
        <v>371.08199999999994</v>
      </c>
      <c r="E16" s="100">
        <v>7.6</v>
      </c>
      <c r="F16" s="100">
        <v>3.1280000000000001</v>
      </c>
      <c r="G16" s="100">
        <v>1113.0008239875001</v>
      </c>
      <c r="H16" s="168">
        <v>43.561999999999998</v>
      </c>
      <c r="I16" s="100">
        <v>0</v>
      </c>
      <c r="J16" s="100">
        <v>6.7030000000000003</v>
      </c>
      <c r="K16" s="100">
        <v>99.09</v>
      </c>
      <c r="L16" s="100">
        <v>115.57000000000001</v>
      </c>
      <c r="M16" s="100">
        <f>SUM(C16:L16)</f>
        <v>1786.0158239874997</v>
      </c>
      <c r="N16" s="111"/>
      <c r="O16" s="87"/>
      <c r="R16" s="75">
        <f>G16-'3. Overall com progres Jun(ref)'!G16</f>
        <v>33.333034682500283</v>
      </c>
    </row>
    <row r="17" spans="1:18" s="81" customFormat="1" x14ac:dyDescent="0.3">
      <c r="A17" s="202"/>
      <c r="B17" s="154" t="s">
        <v>19</v>
      </c>
      <c r="C17" s="135">
        <f>SUM(C15:C16)</f>
        <v>52.53</v>
      </c>
      <c r="D17" s="135">
        <f t="shared" ref="D17:M17" si="2">SUM(D15:D16)</f>
        <v>500.52099999999996</v>
      </c>
      <c r="E17" s="135">
        <f t="shared" si="2"/>
        <v>12.5</v>
      </c>
      <c r="F17" s="135">
        <f t="shared" si="2"/>
        <v>7.5979999999999999</v>
      </c>
      <c r="G17" s="135">
        <f t="shared" si="2"/>
        <v>1318.7190377700001</v>
      </c>
      <c r="H17" s="135">
        <f t="shared" si="2"/>
        <v>85.494</v>
      </c>
      <c r="I17" s="135">
        <f t="shared" si="2"/>
        <v>0</v>
      </c>
      <c r="J17" s="135">
        <f t="shared" si="2"/>
        <v>77.448999999999998</v>
      </c>
      <c r="K17" s="135">
        <f t="shared" si="2"/>
        <v>133.79000000000002</v>
      </c>
      <c r="L17" s="135">
        <f t="shared" si="2"/>
        <v>191.01499999999999</v>
      </c>
      <c r="M17" s="135">
        <f t="shared" si="2"/>
        <v>2379.6160377699998</v>
      </c>
      <c r="N17" s="111"/>
      <c r="O17" s="87"/>
      <c r="R17" s="75">
        <f>G17-'3. Overall com progres Jun(ref)'!G17</f>
        <v>50.112179440000318</v>
      </c>
    </row>
    <row r="18" spans="1:18" s="75" customFormat="1" x14ac:dyDescent="0.3">
      <c r="A18" s="196" t="s">
        <v>24</v>
      </c>
      <c r="B18" s="151" t="s">
        <v>21</v>
      </c>
      <c r="C18" s="100">
        <v>10187</v>
      </c>
      <c r="D18" s="100">
        <v>58754</v>
      </c>
      <c r="E18" s="100">
        <v>39496</v>
      </c>
      <c r="F18" s="100">
        <v>10075</v>
      </c>
      <c r="G18" s="100">
        <v>765503</v>
      </c>
      <c r="H18" s="168">
        <v>133780</v>
      </c>
      <c r="I18" s="100">
        <v>4830</v>
      </c>
      <c r="J18" s="100">
        <v>174242</v>
      </c>
      <c r="K18" s="100">
        <v>50473</v>
      </c>
      <c r="L18" s="100">
        <v>64545</v>
      </c>
      <c r="M18" s="100">
        <f>SUM(C18:L18)</f>
        <v>1311885</v>
      </c>
      <c r="N18" s="81">
        <f>M18/1000000</f>
        <v>1.311885</v>
      </c>
      <c r="O18" s="81">
        <f>M18/M20%</f>
        <v>49.3309653397028</v>
      </c>
      <c r="R18" s="75">
        <f>G18-'3. Overall com progres Jun(ref)'!G18</f>
        <v>-24835</v>
      </c>
    </row>
    <row r="19" spans="1:18" s="75" customFormat="1" x14ac:dyDescent="0.3">
      <c r="A19" s="196"/>
      <c r="B19" s="152" t="s">
        <v>22</v>
      </c>
      <c r="C19" s="100">
        <v>5855</v>
      </c>
      <c r="D19" s="100">
        <v>27804</v>
      </c>
      <c r="E19" s="100">
        <v>96735</v>
      </c>
      <c r="F19" s="100">
        <v>3464</v>
      </c>
      <c r="G19" s="100">
        <v>733592</v>
      </c>
      <c r="H19" s="168">
        <v>315959</v>
      </c>
      <c r="I19" s="100">
        <v>4825</v>
      </c>
      <c r="J19" s="100">
        <v>7811</v>
      </c>
      <c r="K19" s="100">
        <v>73699</v>
      </c>
      <c r="L19" s="100">
        <v>77725</v>
      </c>
      <c r="M19" s="100">
        <f>SUM(C19:L19)</f>
        <v>1347469</v>
      </c>
      <c r="N19" s="111"/>
      <c r="O19" s="87"/>
      <c r="R19" s="75">
        <f>G19-'3. Overall com progres Jun(ref)'!G19</f>
        <v>-122656</v>
      </c>
    </row>
    <row r="20" spans="1:18" s="75" customFormat="1" x14ac:dyDescent="0.3">
      <c r="A20" s="196"/>
      <c r="B20" s="153" t="s">
        <v>19</v>
      </c>
      <c r="C20" s="135">
        <f>SUM(C18:C19)</f>
        <v>16042</v>
      </c>
      <c r="D20" s="135">
        <f t="shared" ref="D20:M20" si="3">SUM(D18:D19)</f>
        <v>86558</v>
      </c>
      <c r="E20" s="135">
        <f t="shared" si="3"/>
        <v>136231</v>
      </c>
      <c r="F20" s="135">
        <f t="shared" si="3"/>
        <v>13539</v>
      </c>
      <c r="G20" s="135">
        <f t="shared" si="3"/>
        <v>1499095</v>
      </c>
      <c r="H20" s="135">
        <f t="shared" si="3"/>
        <v>449739</v>
      </c>
      <c r="I20" s="135">
        <f t="shared" si="3"/>
        <v>9655</v>
      </c>
      <c r="J20" s="135">
        <f t="shared" si="3"/>
        <v>182053</v>
      </c>
      <c r="K20" s="135">
        <f t="shared" si="3"/>
        <v>124172</v>
      </c>
      <c r="L20" s="135">
        <f t="shared" si="3"/>
        <v>142270</v>
      </c>
      <c r="M20" s="135">
        <f t="shared" si="3"/>
        <v>2659354</v>
      </c>
      <c r="N20" s="81">
        <f>M20/1000000</f>
        <v>2.659354</v>
      </c>
      <c r="O20" s="87"/>
      <c r="R20" s="75">
        <f>G20-'3. Overall com progres Jun(ref)'!G20</f>
        <v>-147491</v>
      </c>
    </row>
    <row r="21" spans="1:18" s="75" customFormat="1" x14ac:dyDescent="0.3">
      <c r="A21" s="204" t="s">
        <v>243</v>
      </c>
      <c r="B21" s="152" t="s">
        <v>240</v>
      </c>
      <c r="C21" s="100">
        <v>6</v>
      </c>
      <c r="D21" s="100">
        <v>12</v>
      </c>
      <c r="E21" s="100">
        <v>2</v>
      </c>
      <c r="F21" s="100">
        <v>1</v>
      </c>
      <c r="G21" s="100">
        <v>147</v>
      </c>
      <c r="H21" s="168">
        <v>2</v>
      </c>
      <c r="I21" s="100">
        <v>0</v>
      </c>
      <c r="J21" s="100">
        <v>1</v>
      </c>
      <c r="K21" s="100">
        <v>0</v>
      </c>
      <c r="L21" s="100">
        <v>8</v>
      </c>
      <c r="M21" s="100">
        <f t="shared" ref="M21:M26" si="4">SUM(C21:L21)</f>
        <v>179</v>
      </c>
      <c r="N21" s="111"/>
      <c r="O21" s="87"/>
      <c r="R21" s="75">
        <f>G21-'3. Overall com progres Jun(ref)'!G21</f>
        <v>-47</v>
      </c>
    </row>
    <row r="22" spans="1:18" s="75" customFormat="1" x14ac:dyDescent="0.3">
      <c r="A22" s="205"/>
      <c r="B22" s="152" t="s">
        <v>241</v>
      </c>
      <c r="C22" s="100">
        <v>0</v>
      </c>
      <c r="D22" s="100">
        <v>0</v>
      </c>
      <c r="E22" s="100">
        <v>0</v>
      </c>
      <c r="F22" s="100">
        <v>1</v>
      </c>
      <c r="G22" s="100">
        <v>9</v>
      </c>
      <c r="H22" s="168">
        <v>31</v>
      </c>
      <c r="I22" s="100">
        <v>0</v>
      </c>
      <c r="J22" s="100">
        <v>2672</v>
      </c>
      <c r="K22" s="100">
        <v>120</v>
      </c>
      <c r="L22" s="100">
        <v>761</v>
      </c>
      <c r="M22" s="100">
        <f t="shared" si="4"/>
        <v>3594</v>
      </c>
      <c r="N22" s="111"/>
      <c r="O22" s="87"/>
      <c r="R22" s="75">
        <f>G22-'3. Overall com progres Jun(ref)'!G22</f>
        <v>-1527</v>
      </c>
    </row>
    <row r="23" spans="1:18" s="75" customFormat="1" x14ac:dyDescent="0.3">
      <c r="A23" s="205"/>
      <c r="B23" s="152" t="s">
        <v>242</v>
      </c>
      <c r="C23" s="100">
        <v>1094</v>
      </c>
      <c r="D23" s="100">
        <v>2055</v>
      </c>
      <c r="E23" s="100">
        <v>20</v>
      </c>
      <c r="F23" s="100">
        <v>152</v>
      </c>
      <c r="G23" s="100">
        <v>6943</v>
      </c>
      <c r="H23" s="168">
        <v>1502</v>
      </c>
      <c r="I23" s="100">
        <v>0</v>
      </c>
      <c r="J23" s="100">
        <v>75125</v>
      </c>
      <c r="K23" s="100">
        <v>9955</v>
      </c>
      <c r="L23" s="100">
        <v>13223</v>
      </c>
      <c r="M23" s="100">
        <f t="shared" si="4"/>
        <v>110069</v>
      </c>
      <c r="N23" s="111"/>
      <c r="O23" s="87"/>
      <c r="R23" s="75">
        <f>G23-'3. Overall com progres Jun(ref)'!G23</f>
        <v>-154</v>
      </c>
    </row>
    <row r="24" spans="1:18" s="75" customFormat="1" ht="27.6" x14ac:dyDescent="0.3">
      <c r="A24" s="206"/>
      <c r="B24" s="152" t="s">
        <v>244</v>
      </c>
      <c r="C24" s="100">
        <v>16</v>
      </c>
      <c r="D24" s="100">
        <v>16.106083000000002</v>
      </c>
      <c r="E24" s="100">
        <v>0.2</v>
      </c>
      <c r="F24" s="100">
        <v>1.2</v>
      </c>
      <c r="G24" s="100">
        <v>85.81</v>
      </c>
      <c r="H24" s="168">
        <v>12.029</v>
      </c>
      <c r="I24" s="100">
        <v>0</v>
      </c>
      <c r="J24" s="100">
        <v>689.5</v>
      </c>
      <c r="K24" s="100">
        <v>102</v>
      </c>
      <c r="L24" s="100">
        <v>183.53899999999999</v>
      </c>
      <c r="M24" s="100">
        <f t="shared" si="4"/>
        <v>1106.3840829999999</v>
      </c>
      <c r="N24" s="112">
        <f>M24/90</f>
        <v>12.293156477777776</v>
      </c>
      <c r="O24" s="162">
        <f>M24/85</f>
        <v>13.016283329411763</v>
      </c>
      <c r="R24" s="75">
        <f>G24-'3. Overall com progres Jun(ref)'!G24</f>
        <v>-4.5101679999999931</v>
      </c>
    </row>
    <row r="25" spans="1:18" s="81" customFormat="1" x14ac:dyDescent="0.3">
      <c r="A25" s="203" t="s">
        <v>25</v>
      </c>
      <c r="B25" s="155" t="s">
        <v>21</v>
      </c>
      <c r="C25" s="100">
        <v>42.83</v>
      </c>
      <c r="D25" s="100">
        <v>195</v>
      </c>
      <c r="E25" s="100">
        <v>9</v>
      </c>
      <c r="F25" s="100">
        <v>222.04599999999999</v>
      </c>
      <c r="G25" s="100">
        <v>20104.662726999999</v>
      </c>
      <c r="H25" s="168">
        <v>3064.7083579999999</v>
      </c>
      <c r="I25" s="100">
        <v>0</v>
      </c>
      <c r="J25" s="100">
        <v>1425.8230000000001</v>
      </c>
      <c r="K25" s="100">
        <v>258</v>
      </c>
      <c r="L25" s="100">
        <v>1523.905</v>
      </c>
      <c r="M25" s="100">
        <f t="shared" si="4"/>
        <v>26845.975084999998</v>
      </c>
      <c r="N25" s="161">
        <f>M25/1000</f>
        <v>26.845975084999999</v>
      </c>
      <c r="O25" s="162">
        <f>M25/85</f>
        <v>315.83500099999998</v>
      </c>
      <c r="R25" s="75">
        <f>G25-'3. Overall com progres Jun(ref)'!G25</f>
        <v>2309.4460169999984</v>
      </c>
    </row>
    <row r="26" spans="1:18" s="81" customFormat="1" x14ac:dyDescent="0.3">
      <c r="A26" s="203"/>
      <c r="B26" s="144" t="s">
        <v>22</v>
      </c>
      <c r="C26" s="100">
        <v>58</v>
      </c>
      <c r="D26" s="100">
        <v>833</v>
      </c>
      <c r="E26" s="100">
        <v>16</v>
      </c>
      <c r="F26" s="100">
        <v>70.123999999999995</v>
      </c>
      <c r="G26" s="100">
        <v>37842.512201999998</v>
      </c>
      <c r="H26" s="168">
        <v>4708.0720940000001</v>
      </c>
      <c r="I26" s="100">
        <v>0</v>
      </c>
      <c r="J26" s="100">
        <v>562.08600000000001</v>
      </c>
      <c r="K26" s="100">
        <v>293</v>
      </c>
      <c r="L26" s="100">
        <v>1894.027</v>
      </c>
      <c r="M26" s="100">
        <f t="shared" si="4"/>
        <v>46276.821296000009</v>
      </c>
      <c r="N26" s="111"/>
      <c r="O26" s="162"/>
      <c r="R26" s="75">
        <f>G26-'3. Overall com progres Jun(ref)'!G26</f>
        <v>820.68099999999686</v>
      </c>
    </row>
    <row r="27" spans="1:18" s="81" customFormat="1" x14ac:dyDescent="0.3">
      <c r="A27" s="203"/>
      <c r="B27" s="156" t="s">
        <v>19</v>
      </c>
      <c r="C27" s="135">
        <f>SUM(C25:C26)</f>
        <v>100.83</v>
      </c>
      <c r="D27" s="135">
        <f t="shared" ref="D27:M27" si="5">SUM(D25:D26)</f>
        <v>1028</v>
      </c>
      <c r="E27" s="135">
        <f t="shared" si="5"/>
        <v>25</v>
      </c>
      <c r="F27" s="135">
        <f t="shared" si="5"/>
        <v>292.16999999999996</v>
      </c>
      <c r="G27" s="135">
        <f t="shared" si="5"/>
        <v>57947.174929000001</v>
      </c>
      <c r="H27" s="135">
        <f t="shared" si="5"/>
        <v>7772.780452</v>
      </c>
      <c r="I27" s="135">
        <f t="shared" si="5"/>
        <v>0</v>
      </c>
      <c r="J27" s="135">
        <f t="shared" si="5"/>
        <v>1987.9090000000001</v>
      </c>
      <c r="K27" s="135">
        <f t="shared" si="5"/>
        <v>551</v>
      </c>
      <c r="L27" s="135">
        <f t="shared" si="5"/>
        <v>3417.9319999999998</v>
      </c>
      <c r="M27" s="135">
        <f t="shared" si="5"/>
        <v>73122.796381000007</v>
      </c>
      <c r="N27" s="161">
        <f>M27/1000</f>
        <v>73.122796381000001</v>
      </c>
      <c r="O27" s="162">
        <f>M27/85</f>
        <v>860.26819271764714</v>
      </c>
      <c r="R27" s="75">
        <f>G27-'3. Overall com progres Jun(ref)'!G27</f>
        <v>3130.1270169999989</v>
      </c>
    </row>
    <row r="28" spans="1:18" s="75" customFormat="1" x14ac:dyDescent="0.3">
      <c r="A28" s="196" t="s">
        <v>26</v>
      </c>
      <c r="B28" s="151" t="s">
        <v>21</v>
      </c>
      <c r="C28" s="100">
        <v>2080</v>
      </c>
      <c r="D28" s="100">
        <v>74813.440000000002</v>
      </c>
      <c r="E28" s="100">
        <v>1156</v>
      </c>
      <c r="F28" s="100">
        <v>15202</v>
      </c>
      <c r="G28" s="100">
        <v>1484180</v>
      </c>
      <c r="H28" s="168">
        <v>239042</v>
      </c>
      <c r="I28" s="100">
        <v>0</v>
      </c>
      <c r="J28" s="100">
        <v>101610</v>
      </c>
      <c r="K28" s="100">
        <v>24371</v>
      </c>
      <c r="L28" s="100">
        <v>125954</v>
      </c>
      <c r="M28" s="100">
        <f>SUM(C28:L28)</f>
        <v>2068408.44</v>
      </c>
      <c r="N28" s="161">
        <f>M28/1000000</f>
        <v>2.0684084399999998</v>
      </c>
      <c r="O28" s="87"/>
      <c r="R28" s="75">
        <f>G28-'3. Overall com progres Jun(ref)'!G28</f>
        <v>136484</v>
      </c>
    </row>
    <row r="29" spans="1:18" s="75" customFormat="1" x14ac:dyDescent="0.3">
      <c r="A29" s="196"/>
      <c r="B29" s="152" t="s">
        <v>22</v>
      </c>
      <c r="C29" s="100">
        <v>3053</v>
      </c>
      <c r="D29" s="100">
        <v>546310.56000000006</v>
      </c>
      <c r="E29" s="100">
        <v>1600</v>
      </c>
      <c r="F29" s="100">
        <v>5077</v>
      </c>
      <c r="G29" s="100">
        <v>2301230</v>
      </c>
      <c r="H29" s="168">
        <v>356903</v>
      </c>
      <c r="I29" s="100">
        <v>0</v>
      </c>
      <c r="J29" s="100">
        <v>40572</v>
      </c>
      <c r="K29" s="100">
        <v>28059</v>
      </c>
      <c r="L29" s="100">
        <v>120202</v>
      </c>
      <c r="M29" s="100">
        <f>SUM(C29:L29)</f>
        <v>3403006.56</v>
      </c>
      <c r="N29" s="161"/>
      <c r="O29" s="87"/>
      <c r="R29" s="75">
        <f>G29-'3. Overall com progres Jun(ref)'!G29</f>
        <v>40384</v>
      </c>
    </row>
    <row r="30" spans="1:18" s="75" customFormat="1" x14ac:dyDescent="0.3">
      <c r="A30" s="196"/>
      <c r="B30" s="153" t="s">
        <v>19</v>
      </c>
      <c r="C30" s="135">
        <f>SUM(C28:C29)</f>
        <v>5133</v>
      </c>
      <c r="D30" s="135">
        <f t="shared" ref="D30:M30" si="6">SUM(D28:D29)</f>
        <v>621124</v>
      </c>
      <c r="E30" s="135">
        <f t="shared" si="6"/>
        <v>2756</v>
      </c>
      <c r="F30" s="135">
        <f t="shared" si="6"/>
        <v>20279</v>
      </c>
      <c r="G30" s="135">
        <f t="shared" si="6"/>
        <v>3785410</v>
      </c>
      <c r="H30" s="135">
        <f t="shared" si="6"/>
        <v>595945</v>
      </c>
      <c r="I30" s="135">
        <f t="shared" si="6"/>
        <v>0</v>
      </c>
      <c r="J30" s="135">
        <f t="shared" si="6"/>
        <v>142182</v>
      </c>
      <c r="K30" s="135">
        <f t="shared" si="6"/>
        <v>52430</v>
      </c>
      <c r="L30" s="135">
        <f t="shared" si="6"/>
        <v>246156</v>
      </c>
      <c r="M30" s="135">
        <f t="shared" si="6"/>
        <v>5471415</v>
      </c>
      <c r="N30" s="161">
        <f>M30/1000000</f>
        <v>5.4714150000000004</v>
      </c>
      <c r="O30" s="87"/>
      <c r="R30" s="75">
        <f>G30-'3. Overall com progres Jun(ref)'!G30</f>
        <v>176868</v>
      </c>
    </row>
    <row r="31" spans="1:18" s="75" customFormat="1" hidden="1" x14ac:dyDescent="0.3">
      <c r="A31" s="196" t="s">
        <v>27</v>
      </c>
      <c r="B31" s="151" t="s">
        <v>21</v>
      </c>
      <c r="C31" s="100"/>
      <c r="D31" s="99"/>
      <c r="E31" s="100"/>
      <c r="F31" s="100"/>
      <c r="G31" s="100"/>
      <c r="H31" s="100"/>
      <c r="I31" s="100"/>
      <c r="J31" s="100"/>
      <c r="K31" s="100"/>
      <c r="L31" s="100"/>
      <c r="M31" s="100">
        <f t="shared" ref="M31:M41" si="7">SUM(C31:L31)</f>
        <v>0</v>
      </c>
      <c r="N31" s="111"/>
      <c r="O31" s="87"/>
    </row>
    <row r="32" spans="1:18" s="75" customFormat="1" hidden="1" x14ac:dyDescent="0.3">
      <c r="A32" s="196"/>
      <c r="B32" s="152" t="s">
        <v>22</v>
      </c>
      <c r="C32" s="100"/>
      <c r="D32" s="99"/>
      <c r="E32" s="100"/>
      <c r="F32" s="100"/>
      <c r="G32" s="100"/>
      <c r="H32" s="100"/>
      <c r="I32" s="100"/>
      <c r="J32" s="100"/>
      <c r="K32" s="100"/>
      <c r="L32" s="100"/>
      <c r="M32" s="100">
        <f t="shared" si="7"/>
        <v>0</v>
      </c>
      <c r="N32" s="111"/>
      <c r="O32" s="87"/>
    </row>
    <row r="33" spans="1:18" s="75" customFormat="1" hidden="1" x14ac:dyDescent="0.3">
      <c r="A33" s="196"/>
      <c r="B33" s="157" t="s">
        <v>19</v>
      </c>
      <c r="C33" s="100"/>
      <c r="D33" s="99"/>
      <c r="E33" s="100"/>
      <c r="F33" s="100"/>
      <c r="G33" s="100"/>
      <c r="H33" s="100"/>
      <c r="I33" s="100"/>
      <c r="J33" s="100"/>
      <c r="K33" s="100"/>
      <c r="L33" s="100"/>
      <c r="M33" s="100">
        <f t="shared" si="7"/>
        <v>0</v>
      </c>
      <c r="N33" s="111"/>
      <c r="O33" s="87"/>
    </row>
    <row r="34" spans="1:18" s="81" customFormat="1" hidden="1" x14ac:dyDescent="0.3">
      <c r="A34" s="207" t="s">
        <v>28</v>
      </c>
      <c r="B34" s="155" t="s">
        <v>21</v>
      </c>
      <c r="C34" s="100"/>
      <c r="D34" s="99"/>
      <c r="E34" s="100"/>
      <c r="F34" s="100"/>
      <c r="G34" s="100"/>
      <c r="H34" s="100"/>
      <c r="I34" s="100"/>
      <c r="J34" s="100"/>
      <c r="K34" s="100"/>
      <c r="L34" s="100"/>
      <c r="M34" s="100">
        <f t="shared" si="7"/>
        <v>0</v>
      </c>
      <c r="N34" s="111"/>
      <c r="O34" s="87"/>
    </row>
    <row r="35" spans="1:18" s="81" customFormat="1" hidden="1" x14ac:dyDescent="0.3">
      <c r="A35" s="207"/>
      <c r="B35" s="144" t="s">
        <v>22</v>
      </c>
      <c r="C35" s="100"/>
      <c r="D35" s="99"/>
      <c r="E35" s="100"/>
      <c r="F35" s="100"/>
      <c r="G35" s="100"/>
      <c r="H35" s="100"/>
      <c r="I35" s="100"/>
      <c r="J35" s="100"/>
      <c r="K35" s="100"/>
      <c r="L35" s="100"/>
      <c r="M35" s="100">
        <f t="shared" si="7"/>
        <v>0</v>
      </c>
      <c r="N35" s="111"/>
      <c r="O35" s="87"/>
    </row>
    <row r="36" spans="1:18" s="81" customFormat="1" hidden="1" x14ac:dyDescent="0.3">
      <c r="A36" s="207"/>
      <c r="B36" s="158" t="s">
        <v>19</v>
      </c>
      <c r="C36" s="100"/>
      <c r="D36" s="99"/>
      <c r="E36" s="100"/>
      <c r="F36" s="100"/>
      <c r="G36" s="100"/>
      <c r="H36" s="100"/>
      <c r="I36" s="100"/>
      <c r="J36" s="100"/>
      <c r="K36" s="100"/>
      <c r="L36" s="100"/>
      <c r="M36" s="100">
        <f t="shared" si="7"/>
        <v>0</v>
      </c>
      <c r="N36" s="111"/>
      <c r="O36" s="87"/>
    </row>
    <row r="37" spans="1:18" s="87" customFormat="1" hidden="1" x14ac:dyDescent="0.3">
      <c r="A37" s="208" t="s">
        <v>29</v>
      </c>
      <c r="B37" s="159" t="s">
        <v>21</v>
      </c>
      <c r="C37" s="100"/>
      <c r="D37" s="99"/>
      <c r="E37" s="100"/>
      <c r="F37" s="100"/>
      <c r="G37" s="100"/>
      <c r="H37" s="100"/>
      <c r="I37" s="100"/>
      <c r="J37" s="100"/>
      <c r="K37" s="100"/>
      <c r="L37" s="100"/>
      <c r="M37" s="100">
        <f t="shared" si="7"/>
        <v>0</v>
      </c>
      <c r="N37" s="111"/>
    </row>
    <row r="38" spans="1:18" s="87" customFormat="1" hidden="1" x14ac:dyDescent="0.3">
      <c r="A38" s="208"/>
      <c r="B38" s="100" t="s">
        <v>22</v>
      </c>
      <c r="C38" s="100"/>
      <c r="D38" s="99"/>
      <c r="E38" s="100"/>
      <c r="F38" s="100"/>
      <c r="G38" s="100"/>
      <c r="H38" s="100"/>
      <c r="I38" s="100"/>
      <c r="J38" s="100"/>
      <c r="K38" s="100"/>
      <c r="L38" s="100"/>
      <c r="M38" s="100">
        <f t="shared" si="7"/>
        <v>0</v>
      </c>
      <c r="N38" s="111"/>
    </row>
    <row r="39" spans="1:18" s="87" customFormat="1" hidden="1" x14ac:dyDescent="0.3">
      <c r="A39" s="208"/>
      <c r="B39" s="160" t="s">
        <v>19</v>
      </c>
      <c r="C39" s="100"/>
      <c r="D39" s="99"/>
      <c r="E39" s="100"/>
      <c r="F39" s="100"/>
      <c r="G39" s="100"/>
      <c r="H39" s="100"/>
      <c r="I39" s="100"/>
      <c r="J39" s="100"/>
      <c r="K39" s="100"/>
      <c r="L39" s="100"/>
      <c r="M39" s="100">
        <f t="shared" si="7"/>
        <v>0</v>
      </c>
      <c r="N39" s="111"/>
    </row>
    <row r="40" spans="1:18" s="87" customFormat="1" x14ac:dyDescent="0.3">
      <c r="A40" s="203" t="s">
        <v>245</v>
      </c>
      <c r="B40" s="151" t="s">
        <v>21</v>
      </c>
      <c r="C40" s="100">
        <v>2080</v>
      </c>
      <c r="D40" s="100">
        <v>74813.440000000002</v>
      </c>
      <c r="E40" s="100">
        <v>1156</v>
      </c>
      <c r="F40" s="100">
        <v>15202</v>
      </c>
      <c r="G40" s="100">
        <v>1484180</v>
      </c>
      <c r="H40" s="168">
        <v>239042</v>
      </c>
      <c r="I40" s="100">
        <v>0</v>
      </c>
      <c r="J40" s="100">
        <v>101610</v>
      </c>
      <c r="K40" s="100">
        <v>24371</v>
      </c>
      <c r="L40" s="100">
        <v>125954</v>
      </c>
      <c r="M40" s="100">
        <f t="shared" si="7"/>
        <v>2068408.44</v>
      </c>
      <c r="R40" s="75">
        <f>G40-'3. Overall com progres Jun(ref)'!G40</f>
        <v>996602</v>
      </c>
    </row>
    <row r="41" spans="1:18" s="87" customFormat="1" x14ac:dyDescent="0.3">
      <c r="A41" s="203"/>
      <c r="B41" s="152" t="s">
        <v>22</v>
      </c>
      <c r="C41" s="100">
        <v>3053</v>
      </c>
      <c r="D41" s="100">
        <v>546310.56000000006</v>
      </c>
      <c r="E41" s="100">
        <v>1600</v>
      </c>
      <c r="F41" s="100">
        <v>5077</v>
      </c>
      <c r="G41" s="100">
        <v>2301230</v>
      </c>
      <c r="H41" s="168">
        <v>356903</v>
      </c>
      <c r="I41" s="100">
        <v>0</v>
      </c>
      <c r="J41" s="100">
        <v>40572</v>
      </c>
      <c r="K41" s="100">
        <v>28059</v>
      </c>
      <c r="L41" s="100">
        <v>120202</v>
      </c>
      <c r="M41" s="100">
        <f t="shared" si="7"/>
        <v>3403006.56</v>
      </c>
      <c r="R41" s="75">
        <f>G41-'3. Overall com progres Jun(ref)'!G41</f>
        <v>619273</v>
      </c>
    </row>
    <row r="42" spans="1:18" s="87" customFormat="1" x14ac:dyDescent="0.3">
      <c r="A42" s="203"/>
      <c r="B42" s="153" t="s">
        <v>19</v>
      </c>
      <c r="C42" s="135">
        <f>SUM(C40:C41)</f>
        <v>5133</v>
      </c>
      <c r="D42" s="135">
        <f t="shared" ref="D42:M42" si="8">SUM(D40:D41)</f>
        <v>621124</v>
      </c>
      <c r="E42" s="135">
        <f t="shared" si="8"/>
        <v>2756</v>
      </c>
      <c r="F42" s="135">
        <f t="shared" si="8"/>
        <v>20279</v>
      </c>
      <c r="G42" s="135">
        <f t="shared" si="8"/>
        <v>3785410</v>
      </c>
      <c r="H42" s="135">
        <f t="shared" si="8"/>
        <v>595945</v>
      </c>
      <c r="I42" s="135">
        <f t="shared" si="8"/>
        <v>0</v>
      </c>
      <c r="J42" s="135">
        <f t="shared" si="8"/>
        <v>142182</v>
      </c>
      <c r="K42" s="135">
        <f t="shared" si="8"/>
        <v>52430</v>
      </c>
      <c r="L42" s="135">
        <f t="shared" si="8"/>
        <v>246156</v>
      </c>
      <c r="M42" s="135">
        <f t="shared" si="8"/>
        <v>5471415</v>
      </c>
      <c r="N42" s="81">
        <f>M42/1000000</f>
        <v>5.4714150000000004</v>
      </c>
      <c r="R42" s="75">
        <f>G42-'3. Overall com progres Jun(ref)'!G42</f>
        <v>1615875</v>
      </c>
    </row>
    <row r="43" spans="1:18" s="75" customFormat="1" ht="13.2" customHeight="1" x14ac:dyDescent="0.3">
      <c r="A43" s="209" t="s">
        <v>246</v>
      </c>
      <c r="B43" s="152" t="s">
        <v>21</v>
      </c>
      <c r="C43" s="100">
        <v>2080</v>
      </c>
      <c r="D43" s="100">
        <v>74813.440000000002</v>
      </c>
      <c r="E43" s="100">
        <v>1156</v>
      </c>
      <c r="F43" s="100">
        <v>11886</v>
      </c>
      <c r="G43" s="100">
        <v>1369652</v>
      </c>
      <c r="H43" s="168">
        <v>239042</v>
      </c>
      <c r="I43" s="100">
        <v>0</v>
      </c>
      <c r="J43" s="100">
        <v>318204</v>
      </c>
      <c r="K43" s="100">
        <v>5834</v>
      </c>
      <c r="L43" s="100">
        <v>72177</v>
      </c>
      <c r="M43" s="100">
        <f>SUM(C43:L43)</f>
        <v>2094844.44</v>
      </c>
      <c r="N43" s="81">
        <f>M43/1000000</f>
        <v>2.0948444400000001</v>
      </c>
      <c r="O43" s="87"/>
      <c r="R43" s="75">
        <f>G43-'3. Overall com progres Jun(ref)'!G43</f>
        <v>64713</v>
      </c>
    </row>
    <row r="44" spans="1:18" s="75" customFormat="1" x14ac:dyDescent="0.3">
      <c r="A44" s="209"/>
      <c r="B44" s="152" t="s">
        <v>22</v>
      </c>
      <c r="C44" s="100">
        <v>3053</v>
      </c>
      <c r="D44" s="100">
        <v>546310.56000000006</v>
      </c>
      <c r="E44" s="100">
        <v>1600</v>
      </c>
      <c r="F44" s="100">
        <v>6078</v>
      </c>
      <c r="G44" s="100">
        <v>2348497</v>
      </c>
      <c r="H44" s="168">
        <v>356903</v>
      </c>
      <c r="I44" s="100">
        <v>0</v>
      </c>
      <c r="J44" s="100">
        <v>247257</v>
      </c>
      <c r="K44" s="100">
        <v>21566</v>
      </c>
      <c r="L44" s="100">
        <v>69110</v>
      </c>
      <c r="M44" s="100">
        <f>SUM(C44:L44)</f>
        <v>3600374.56</v>
      </c>
      <c r="N44" s="111"/>
      <c r="O44" s="87"/>
      <c r="R44" s="75">
        <f>G44-'3. Overall com progres Jun(ref)'!G44</f>
        <v>70157</v>
      </c>
    </row>
    <row r="45" spans="1:18" s="75" customFormat="1" x14ac:dyDescent="0.3">
      <c r="A45" s="209"/>
      <c r="B45" s="153" t="s">
        <v>19</v>
      </c>
      <c r="C45" s="135">
        <f>SUM(C43:C44)</f>
        <v>5133</v>
      </c>
      <c r="D45" s="135">
        <f t="shared" ref="D45:M45" si="9">SUM(D43:D44)</f>
        <v>621124</v>
      </c>
      <c r="E45" s="135">
        <f t="shared" si="9"/>
        <v>2756</v>
      </c>
      <c r="F45" s="135">
        <f t="shared" si="9"/>
        <v>17964</v>
      </c>
      <c r="G45" s="135">
        <f t="shared" si="9"/>
        <v>3718149</v>
      </c>
      <c r="H45" s="135">
        <f t="shared" si="9"/>
        <v>595945</v>
      </c>
      <c r="I45" s="135">
        <f t="shared" si="9"/>
        <v>0</v>
      </c>
      <c r="J45" s="135">
        <f t="shared" si="9"/>
        <v>565461</v>
      </c>
      <c r="K45" s="135">
        <f t="shared" si="9"/>
        <v>27400</v>
      </c>
      <c r="L45" s="135">
        <f t="shared" si="9"/>
        <v>141287</v>
      </c>
      <c r="M45" s="135">
        <f t="shared" si="9"/>
        <v>5695219</v>
      </c>
      <c r="N45" s="81">
        <f>M45/1000000</f>
        <v>5.6952189999999998</v>
      </c>
      <c r="O45" s="87"/>
      <c r="R45" s="75">
        <f>G45-'3. Overall com progres Jun(ref)'!G45</f>
        <v>134870</v>
      </c>
    </row>
    <row r="46" spans="1:18" s="90" customFormat="1" x14ac:dyDescent="0.3">
      <c r="A46" s="199" t="s">
        <v>31</v>
      </c>
      <c r="B46" s="200"/>
      <c r="C46" s="100">
        <v>1219</v>
      </c>
      <c r="D46" s="100">
        <v>3576</v>
      </c>
      <c r="E46" s="100">
        <v>1017</v>
      </c>
      <c r="F46" s="100">
        <v>491</v>
      </c>
      <c r="G46" s="100">
        <v>25352</v>
      </c>
      <c r="H46" s="168">
        <v>6433</v>
      </c>
      <c r="I46" s="100">
        <v>0</v>
      </c>
      <c r="J46" s="100">
        <v>32549</v>
      </c>
      <c r="K46" s="100">
        <v>6970</v>
      </c>
      <c r="L46" s="100">
        <v>53222</v>
      </c>
      <c r="M46" s="100">
        <f t="shared" ref="M46:M52" si="10">SUM(C46:L46)</f>
        <v>130829</v>
      </c>
      <c r="N46" s="111"/>
      <c r="O46" s="87"/>
      <c r="R46" s="75">
        <f>G46-'3. Overall com progres Jun(ref)'!G46</f>
        <v>1017</v>
      </c>
    </row>
    <row r="47" spans="1:18" s="90" customFormat="1" x14ac:dyDescent="0.3">
      <c r="A47" s="199" t="s">
        <v>32</v>
      </c>
      <c r="B47" s="200"/>
      <c r="C47" s="100">
        <v>990</v>
      </c>
      <c r="D47" s="100">
        <v>3576</v>
      </c>
      <c r="E47" s="100">
        <v>1013</v>
      </c>
      <c r="F47" s="100">
        <v>472</v>
      </c>
      <c r="G47" s="100">
        <v>24178</v>
      </c>
      <c r="H47" s="168">
        <v>6433</v>
      </c>
      <c r="I47" s="100">
        <v>16</v>
      </c>
      <c r="J47" s="100">
        <v>32549</v>
      </c>
      <c r="K47" s="100">
        <v>6453</v>
      </c>
      <c r="L47" s="100">
        <v>51480</v>
      </c>
      <c r="M47" s="100">
        <f t="shared" si="10"/>
        <v>127160</v>
      </c>
      <c r="N47" s="111"/>
      <c r="O47" s="87"/>
      <c r="R47" s="75">
        <f>G47-'3. Overall com progres Jun(ref)'!G47</f>
        <v>1473</v>
      </c>
    </row>
    <row r="48" spans="1:18" s="91" customFormat="1" x14ac:dyDescent="0.3">
      <c r="A48" s="199" t="s">
        <v>33</v>
      </c>
      <c r="B48" s="200"/>
      <c r="C48" s="100">
        <v>89320</v>
      </c>
      <c r="D48" s="100">
        <v>284440</v>
      </c>
      <c r="E48" s="100">
        <v>55823</v>
      </c>
      <c r="F48" s="100">
        <v>59166</v>
      </c>
      <c r="G48" s="100">
        <v>1042179</v>
      </c>
      <c r="H48" s="168">
        <v>674798</v>
      </c>
      <c r="I48" s="100">
        <v>0</v>
      </c>
      <c r="J48" s="100">
        <v>204086</v>
      </c>
      <c r="K48" s="100">
        <v>1424012</v>
      </c>
      <c r="L48" s="100">
        <v>347776</v>
      </c>
      <c r="M48" s="100">
        <f t="shared" si="10"/>
        <v>4181600</v>
      </c>
      <c r="N48" s="81">
        <f>M48/1000000</f>
        <v>4.1816000000000004</v>
      </c>
      <c r="O48" s="87"/>
      <c r="R48" s="75">
        <f>G48-'3. Overall com progres Jun(ref)'!G48</f>
        <v>43706</v>
      </c>
    </row>
    <row r="49" spans="1:18" s="92" customFormat="1" x14ac:dyDescent="0.3">
      <c r="A49" s="192" t="s">
        <v>34</v>
      </c>
      <c r="B49" s="193"/>
      <c r="C49" s="100">
        <v>576</v>
      </c>
      <c r="D49" s="100">
        <v>1825.46</v>
      </c>
      <c r="E49" s="100">
        <v>494.3</v>
      </c>
      <c r="F49" s="100">
        <v>136.48699999999999</v>
      </c>
      <c r="G49" s="100">
        <v>5781.4708389999996</v>
      </c>
      <c r="H49" s="168">
        <v>1675.181</v>
      </c>
      <c r="I49" s="100">
        <v>20</v>
      </c>
      <c r="J49" s="100">
        <v>1745</v>
      </c>
      <c r="K49" s="100">
        <v>3423</v>
      </c>
      <c r="L49" s="100">
        <v>688.12</v>
      </c>
      <c r="M49" s="100">
        <f t="shared" si="10"/>
        <v>16365.018839000002</v>
      </c>
      <c r="N49" s="111">
        <f>M49/90</f>
        <v>181.83354265555559</v>
      </c>
      <c r="O49" s="162">
        <f>M49/85</f>
        <v>192.52963340000002</v>
      </c>
      <c r="R49" s="75">
        <f>G49-'3. Overall com progres Jun(ref)'!G49</f>
        <v>322.06799199999932</v>
      </c>
    </row>
    <row r="50" spans="1:18" s="93" customFormat="1" x14ac:dyDescent="0.3">
      <c r="A50" s="194" t="s">
        <v>35</v>
      </c>
      <c r="B50" s="195" t="s">
        <v>36</v>
      </c>
      <c r="C50" s="100">
        <v>0</v>
      </c>
      <c r="D50" s="100">
        <v>867</v>
      </c>
      <c r="E50" s="100">
        <v>81</v>
      </c>
      <c r="F50" s="100">
        <v>12</v>
      </c>
      <c r="G50" s="100">
        <v>504</v>
      </c>
      <c r="H50" s="168">
        <v>226</v>
      </c>
      <c r="I50" s="100">
        <v>17</v>
      </c>
      <c r="J50" s="100">
        <v>2</v>
      </c>
      <c r="K50" s="100">
        <v>73</v>
      </c>
      <c r="L50" s="100">
        <v>113</v>
      </c>
      <c r="M50" s="100">
        <f t="shared" si="10"/>
        <v>1895</v>
      </c>
      <c r="N50" s="111"/>
      <c r="O50" s="87"/>
      <c r="R50" s="75">
        <f>G50-'3. Overall com progres Jun(ref)'!G50</f>
        <v>0</v>
      </c>
    </row>
    <row r="51" spans="1:18" s="75" customFormat="1" x14ac:dyDescent="0.3">
      <c r="A51" s="196" t="s">
        <v>37</v>
      </c>
      <c r="B51" s="76" t="s">
        <v>36</v>
      </c>
      <c r="C51" s="100">
        <v>0</v>
      </c>
      <c r="D51" s="100">
        <v>2900</v>
      </c>
      <c r="E51" s="100">
        <v>700</v>
      </c>
      <c r="F51" s="100">
        <v>780</v>
      </c>
      <c r="G51" s="100">
        <v>8121</v>
      </c>
      <c r="H51" s="168">
        <v>7403</v>
      </c>
      <c r="I51" s="100">
        <v>0</v>
      </c>
      <c r="J51" s="100">
        <v>25</v>
      </c>
      <c r="K51" s="100">
        <v>1991</v>
      </c>
      <c r="L51" s="100">
        <v>1947</v>
      </c>
      <c r="M51" s="100">
        <f t="shared" si="10"/>
        <v>23867</v>
      </c>
      <c r="N51" s="111"/>
      <c r="O51" s="87"/>
      <c r="R51" s="75">
        <f>G51-'3. Overall com progres Jun(ref)'!G51</f>
        <v>80</v>
      </c>
    </row>
    <row r="52" spans="1:18" s="75" customFormat="1" x14ac:dyDescent="0.3">
      <c r="A52" s="196"/>
      <c r="B52" s="77" t="s">
        <v>38</v>
      </c>
      <c r="C52" s="100">
        <v>0</v>
      </c>
      <c r="D52" s="100">
        <v>7375</v>
      </c>
      <c r="E52" s="100">
        <v>804</v>
      </c>
      <c r="F52" s="100">
        <v>608</v>
      </c>
      <c r="G52" s="100">
        <v>9094</v>
      </c>
      <c r="H52" s="168">
        <v>5922</v>
      </c>
      <c r="I52" s="100">
        <v>0</v>
      </c>
      <c r="J52" s="100">
        <v>55</v>
      </c>
      <c r="K52" s="100">
        <v>2470</v>
      </c>
      <c r="L52" s="100">
        <v>707</v>
      </c>
      <c r="M52" s="100">
        <f t="shared" si="10"/>
        <v>27035</v>
      </c>
      <c r="N52" s="111"/>
      <c r="O52" s="87"/>
      <c r="R52" s="75">
        <f>G52-'3. Overall com progres Jun(ref)'!G52</f>
        <v>241</v>
      </c>
    </row>
    <row r="53" spans="1:18" s="75" customFormat="1" x14ac:dyDescent="0.3">
      <c r="A53" s="196"/>
      <c r="B53" s="78" t="s">
        <v>19</v>
      </c>
      <c r="C53" s="135">
        <f>SUM(C51:C52)</f>
        <v>0</v>
      </c>
      <c r="D53" s="135">
        <f t="shared" ref="D53:M53" si="11">SUM(D51:D52)</f>
        <v>10275</v>
      </c>
      <c r="E53" s="135">
        <f t="shared" si="11"/>
        <v>1504</v>
      </c>
      <c r="F53" s="135">
        <f t="shared" si="11"/>
        <v>1388</v>
      </c>
      <c r="G53" s="135">
        <f t="shared" si="11"/>
        <v>17215</v>
      </c>
      <c r="H53" s="135">
        <f t="shared" si="11"/>
        <v>13325</v>
      </c>
      <c r="I53" s="135">
        <f t="shared" si="11"/>
        <v>0</v>
      </c>
      <c r="J53" s="135">
        <f t="shared" si="11"/>
        <v>80</v>
      </c>
      <c r="K53" s="135">
        <f t="shared" si="11"/>
        <v>4461</v>
      </c>
      <c r="L53" s="135">
        <f t="shared" si="11"/>
        <v>2654</v>
      </c>
      <c r="M53" s="135">
        <f t="shared" si="11"/>
        <v>50902</v>
      </c>
      <c r="N53" s="112">
        <f>M51/M53%</f>
        <v>46.888137990648701</v>
      </c>
      <c r="O53" s="87"/>
      <c r="R53" s="75">
        <f>G53-'3. Overall com progres Jun(ref)'!G53</f>
        <v>321</v>
      </c>
    </row>
    <row r="54" spans="1:18" s="75" customFormat="1" x14ac:dyDescent="0.3">
      <c r="A54" s="197" t="s">
        <v>39</v>
      </c>
      <c r="B54" s="76" t="s">
        <v>21</v>
      </c>
      <c r="C54" s="100">
        <v>0</v>
      </c>
      <c r="D54" s="100">
        <v>0</v>
      </c>
      <c r="E54" s="100">
        <v>0</v>
      </c>
      <c r="F54" s="100">
        <v>0</v>
      </c>
      <c r="G54" s="100">
        <v>22888</v>
      </c>
      <c r="H54" s="168">
        <v>0</v>
      </c>
      <c r="I54" s="100">
        <v>0</v>
      </c>
      <c r="J54" s="100">
        <v>58</v>
      </c>
      <c r="K54" s="100">
        <v>55</v>
      </c>
      <c r="L54" s="100">
        <v>0</v>
      </c>
      <c r="M54" s="100">
        <f>SUM(C54:L54)</f>
        <v>23001</v>
      </c>
      <c r="N54" s="111"/>
      <c r="O54" s="87"/>
      <c r="R54" s="75">
        <f>G54-'3. Overall com progres Jun(ref)'!G54</f>
        <v>1325</v>
      </c>
    </row>
    <row r="55" spans="1:18" s="75" customFormat="1" x14ac:dyDescent="0.3">
      <c r="A55" s="197"/>
      <c r="B55" s="77" t="s">
        <v>22</v>
      </c>
      <c r="C55" s="100">
        <v>0</v>
      </c>
      <c r="D55" s="100">
        <v>0</v>
      </c>
      <c r="E55" s="100">
        <v>0</v>
      </c>
      <c r="F55" s="100">
        <v>0</v>
      </c>
      <c r="G55" s="100">
        <v>2494</v>
      </c>
      <c r="H55" s="168">
        <v>0</v>
      </c>
      <c r="I55" s="100">
        <v>0</v>
      </c>
      <c r="J55" s="100">
        <v>0</v>
      </c>
      <c r="K55" s="100">
        <v>38</v>
      </c>
      <c r="L55" s="100">
        <v>0</v>
      </c>
      <c r="M55" s="100">
        <f>SUM(C55:L55)</f>
        <v>2532</v>
      </c>
      <c r="N55" s="111"/>
      <c r="O55" s="87"/>
      <c r="R55" s="75">
        <f>G55-'3. Overall com progres Jun(ref)'!G55</f>
        <v>320</v>
      </c>
    </row>
    <row r="56" spans="1:18" s="75" customFormat="1" x14ac:dyDescent="0.3">
      <c r="A56" s="197"/>
      <c r="B56" s="78" t="s">
        <v>19</v>
      </c>
      <c r="C56" s="135">
        <f>SUM(C54:C55)</f>
        <v>0</v>
      </c>
      <c r="D56" s="135">
        <f t="shared" ref="D56:M56" si="12">SUM(D54:D55)</f>
        <v>0</v>
      </c>
      <c r="E56" s="135">
        <f t="shared" si="12"/>
        <v>0</v>
      </c>
      <c r="F56" s="135">
        <f t="shared" si="12"/>
        <v>0</v>
      </c>
      <c r="G56" s="135">
        <f t="shared" si="12"/>
        <v>25382</v>
      </c>
      <c r="H56" s="135">
        <f t="shared" si="12"/>
        <v>0</v>
      </c>
      <c r="I56" s="135">
        <f t="shared" si="12"/>
        <v>0</v>
      </c>
      <c r="J56" s="135">
        <f t="shared" si="12"/>
        <v>58</v>
      </c>
      <c r="K56" s="135">
        <f t="shared" si="12"/>
        <v>93</v>
      </c>
      <c r="L56" s="135">
        <f t="shared" si="12"/>
        <v>0</v>
      </c>
      <c r="M56" s="135">
        <f t="shared" si="12"/>
        <v>25533</v>
      </c>
      <c r="N56" s="111"/>
      <c r="O56" s="87"/>
      <c r="R56" s="75">
        <f>G56-'3. Overall com progres Jun(ref)'!G56</f>
        <v>1645</v>
      </c>
    </row>
    <row r="57" spans="1:18" s="75" customFormat="1" x14ac:dyDescent="0.3">
      <c r="A57" s="196" t="s">
        <v>235</v>
      </c>
      <c r="B57" s="76" t="s">
        <v>21</v>
      </c>
      <c r="C57" s="100">
        <v>31</v>
      </c>
      <c r="D57" s="100">
        <v>1243</v>
      </c>
      <c r="E57" s="100">
        <v>1218</v>
      </c>
      <c r="F57" s="100">
        <v>95</v>
      </c>
      <c r="G57" s="100">
        <v>3153</v>
      </c>
      <c r="H57" s="168">
        <v>8442</v>
      </c>
      <c r="I57" s="100">
        <v>0</v>
      </c>
      <c r="J57" s="100">
        <v>3047</v>
      </c>
      <c r="K57" s="100">
        <v>1066</v>
      </c>
      <c r="L57" s="100">
        <v>711</v>
      </c>
      <c r="M57" s="100">
        <f>SUM(C57:L57)</f>
        <v>19006</v>
      </c>
      <c r="N57" s="111"/>
      <c r="O57" s="87"/>
      <c r="R57" s="75">
        <f>G57-'3. Overall com progres Jun(ref)'!G57</f>
        <v>0</v>
      </c>
    </row>
    <row r="58" spans="1:18" s="75" customFormat="1" x14ac:dyDescent="0.3">
      <c r="A58" s="196"/>
      <c r="B58" s="77" t="s">
        <v>22</v>
      </c>
      <c r="C58" s="100">
        <v>0</v>
      </c>
      <c r="D58" s="100">
        <v>0</v>
      </c>
      <c r="E58" s="100">
        <v>0</v>
      </c>
      <c r="F58" s="100">
        <v>0</v>
      </c>
      <c r="G58" s="100">
        <v>0</v>
      </c>
      <c r="H58" s="168">
        <v>1770</v>
      </c>
      <c r="I58" s="100">
        <v>0</v>
      </c>
      <c r="J58" s="100">
        <v>0</v>
      </c>
      <c r="K58" s="100">
        <v>467</v>
      </c>
      <c r="L58" s="100">
        <v>675</v>
      </c>
      <c r="M58" s="100">
        <f>SUM(C58:L58)</f>
        <v>2912</v>
      </c>
      <c r="N58" s="111"/>
      <c r="O58" s="87"/>
      <c r="R58" s="75">
        <f>G58-'3. Overall com progres Jun(ref)'!G58</f>
        <v>0</v>
      </c>
    </row>
    <row r="59" spans="1:18" s="75" customFormat="1" ht="14.4" thickBot="1" x14ac:dyDescent="0.35">
      <c r="A59" s="198"/>
      <c r="B59" s="94" t="s">
        <v>19</v>
      </c>
      <c r="C59" s="135">
        <f>SUM(C57:C58)</f>
        <v>31</v>
      </c>
      <c r="D59" s="135">
        <f t="shared" ref="D59:M59" si="13">SUM(D57:D58)</f>
        <v>1243</v>
      </c>
      <c r="E59" s="135">
        <f t="shared" si="13"/>
        <v>1218</v>
      </c>
      <c r="F59" s="135">
        <f t="shared" si="13"/>
        <v>95</v>
      </c>
      <c r="G59" s="135">
        <f t="shared" si="13"/>
        <v>3153</v>
      </c>
      <c r="H59" s="135">
        <f t="shared" si="13"/>
        <v>10212</v>
      </c>
      <c r="I59" s="135">
        <f t="shared" si="13"/>
        <v>0</v>
      </c>
      <c r="J59" s="135">
        <f t="shared" si="13"/>
        <v>3047</v>
      </c>
      <c r="K59" s="135">
        <f t="shared" si="13"/>
        <v>1533</v>
      </c>
      <c r="L59" s="135">
        <f t="shared" si="13"/>
        <v>1386</v>
      </c>
      <c r="M59" s="135">
        <f t="shared" si="13"/>
        <v>21918</v>
      </c>
      <c r="N59" s="111"/>
      <c r="O59" s="87"/>
      <c r="R59" s="75">
        <f>G59-'3. Overall com progres Jun(ref)'!G59</f>
        <v>0</v>
      </c>
    </row>
    <row r="60" spans="1:18" x14ac:dyDescent="0.3">
      <c r="A60" s="95" t="s">
        <v>299</v>
      </c>
      <c r="G60" s="180"/>
      <c r="H60" s="165"/>
      <c r="K60" s="164"/>
      <c r="R60" s="75">
        <f>G60-'3. Overall com progres Jun(ref)'!G60</f>
        <v>0</v>
      </c>
    </row>
    <row r="61" spans="1:18" x14ac:dyDescent="0.3">
      <c r="A61" s="95" t="s">
        <v>267</v>
      </c>
      <c r="G61" s="95"/>
      <c r="H61" s="165"/>
    </row>
  </sheetData>
  <mergeCells count="25">
    <mergeCell ref="A8:A11"/>
    <mergeCell ref="A2:B2"/>
    <mergeCell ref="A4:B4"/>
    <mergeCell ref="A5:B5"/>
    <mergeCell ref="A6:B6"/>
    <mergeCell ref="A7:B7"/>
    <mergeCell ref="A46:B46"/>
    <mergeCell ref="A47:B47"/>
    <mergeCell ref="A48:B48"/>
    <mergeCell ref="A12:A14"/>
    <mergeCell ref="A15:A17"/>
    <mergeCell ref="A18:A20"/>
    <mergeCell ref="A25:A27"/>
    <mergeCell ref="A28:A30"/>
    <mergeCell ref="A31:A33"/>
    <mergeCell ref="A21:A24"/>
    <mergeCell ref="A40:A42"/>
    <mergeCell ref="A34:A36"/>
    <mergeCell ref="A37:A39"/>
    <mergeCell ref="A43:A45"/>
    <mergeCell ref="A49:B49"/>
    <mergeCell ref="A50:B50"/>
    <mergeCell ref="A51:A53"/>
    <mergeCell ref="A54:A56"/>
    <mergeCell ref="A57:A59"/>
  </mergeCells>
  <printOptions horizontalCentered="1" verticalCentered="1"/>
  <pageMargins left="0.2" right="0.21" top="0.2" bottom="0.16" header="0.17" footer="0.16"/>
  <pageSetup paperSize="9" scale="8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61"/>
  <sheetViews>
    <sheetView view="pageBreakPreview" zoomScaleSheetLayoutView="100" workbookViewId="0">
      <pane xSplit="2" ySplit="3" topLeftCell="C4" activePane="bottomRight" state="frozen"/>
      <selection activeCell="E4" sqref="E4"/>
      <selection pane="topRight" activeCell="E4" sqref="E4"/>
      <selection pane="bottomLeft" activeCell="E4" sqref="E4"/>
      <selection pane="bottomRight" activeCell="G11" sqref="G11"/>
    </sheetView>
  </sheetViews>
  <sheetFormatPr defaultColWidth="9.109375" defaultRowHeight="13.8" x14ac:dyDescent="0.3"/>
  <cols>
    <col min="1" max="1" width="30" style="95" customWidth="1"/>
    <col min="2" max="2" width="21.6640625" style="95" customWidth="1"/>
    <col min="3" max="3" width="7.33203125" style="95" bestFit="1" customWidth="1"/>
    <col min="4" max="5" width="8.33203125" style="72" bestFit="1" customWidth="1"/>
    <col min="6" max="6" width="7.33203125" style="72" bestFit="1" customWidth="1"/>
    <col min="7" max="7" width="11.109375" style="72" bestFit="1" customWidth="1"/>
    <col min="8" max="8" width="10" style="72" bestFit="1" customWidth="1"/>
    <col min="9" max="9" width="7.33203125" style="72" bestFit="1" customWidth="1"/>
    <col min="10" max="10" width="8.33203125" style="72" bestFit="1" customWidth="1"/>
    <col min="11" max="11" width="9.6640625" style="72" bestFit="1" customWidth="1"/>
    <col min="12" max="12" width="8.33203125" style="72" bestFit="1" customWidth="1"/>
    <col min="13" max="13" width="11.109375" style="72" bestFit="1" customWidth="1"/>
    <col min="14" max="14" width="10" style="72" bestFit="1" customWidth="1"/>
    <col min="15" max="15" width="13.109375" style="72" bestFit="1" customWidth="1"/>
    <col min="16" max="17" width="9.109375" style="72"/>
    <col min="18" max="18" width="12.88671875" style="72" customWidth="1"/>
    <col min="19" max="16384" width="9.109375" style="72"/>
  </cols>
  <sheetData>
    <row r="1" spans="1:18" ht="14.4" thickBot="1" x14ac:dyDescent="0.35">
      <c r="A1" s="169" t="s">
        <v>284</v>
      </c>
      <c r="B1" s="72"/>
      <c r="C1" s="72"/>
      <c r="D1" s="97"/>
      <c r="E1" s="97"/>
      <c r="F1" s="97"/>
      <c r="G1" s="71"/>
      <c r="H1" s="71"/>
      <c r="I1" s="97"/>
      <c r="J1" s="97"/>
      <c r="K1" s="97"/>
      <c r="L1" s="97"/>
    </row>
    <row r="2" spans="1:18" s="98" customFormat="1" x14ac:dyDescent="0.25">
      <c r="A2" s="210" t="s">
        <v>1</v>
      </c>
      <c r="B2" s="211"/>
      <c r="C2" s="170" t="s">
        <v>2</v>
      </c>
      <c r="D2" s="170" t="s">
        <v>3</v>
      </c>
      <c r="E2" s="170" t="s">
        <v>4</v>
      </c>
      <c r="F2" s="170" t="s">
        <v>5</v>
      </c>
      <c r="G2" s="170" t="s">
        <v>6</v>
      </c>
      <c r="H2" s="170" t="s">
        <v>7</v>
      </c>
      <c r="I2" s="170" t="s">
        <v>8</v>
      </c>
      <c r="J2" s="170" t="s">
        <v>9</v>
      </c>
      <c r="K2" s="170" t="s">
        <v>10</v>
      </c>
      <c r="L2" s="170" t="s">
        <v>11</v>
      </c>
      <c r="M2" s="103" t="s">
        <v>19</v>
      </c>
    </row>
    <row r="3" spans="1:18" ht="5.25" customHeight="1" thickBot="1" x14ac:dyDescent="0.35">
      <c r="A3" s="73"/>
      <c r="B3" s="74"/>
      <c r="C3" s="74"/>
      <c r="D3" s="134"/>
      <c r="E3" s="134"/>
      <c r="F3" s="134"/>
      <c r="G3" s="134"/>
      <c r="H3" s="134"/>
      <c r="I3" s="134"/>
      <c r="J3" s="134"/>
      <c r="K3" s="134"/>
      <c r="L3" s="134"/>
      <c r="M3" s="134"/>
    </row>
    <row r="4" spans="1:18" s="75" customFormat="1" x14ac:dyDescent="0.3">
      <c r="A4" s="212" t="s">
        <v>268</v>
      </c>
      <c r="B4" s="213"/>
      <c r="C4" s="100">
        <f>'[2]2. Overall com progres Sep 11'!C4</f>
        <v>7</v>
      </c>
      <c r="D4" s="100">
        <f>'3. Overall com progres Jun(ref)'!D4</f>
        <v>7</v>
      </c>
      <c r="E4" s="100">
        <v>13</v>
      </c>
      <c r="F4" s="100">
        <f>'1.RSP Districts '!A204</f>
        <v>3</v>
      </c>
      <c r="G4" s="100">
        <f>'1.RSP Districts '!A205</f>
        <v>49</v>
      </c>
      <c r="H4" s="168">
        <f>'1.RSP Districts '!A206-4</f>
        <v>17</v>
      </c>
      <c r="I4" s="100">
        <f>'[3]SGA OUTREACH  AS OF SEPT 11 '!D4</f>
        <v>1</v>
      </c>
      <c r="J4" s="100">
        <f>'1.RSP Districts '!A208</f>
        <v>9</v>
      </c>
      <c r="K4" s="100">
        <f>'1.RSP Districts '!A209</f>
        <v>20</v>
      </c>
      <c r="L4" s="100">
        <f>'[4]2. Overall com progres Sept 11'!C4</f>
        <v>4</v>
      </c>
      <c r="M4" s="100">
        <f>SUM(C4:L4)-22</f>
        <v>108</v>
      </c>
      <c r="N4" s="111"/>
      <c r="O4" s="87"/>
      <c r="R4" s="75">
        <f>G4-'3. Overall com progres Jun(ref)'!G4</f>
        <v>1</v>
      </c>
    </row>
    <row r="5" spans="1:18" s="75" customFormat="1" x14ac:dyDescent="0.3">
      <c r="A5" s="214" t="s">
        <v>13</v>
      </c>
      <c r="B5" s="215"/>
      <c r="C5" s="100">
        <f>'[2]2. Overall com progres Sep 11'!C5</f>
        <v>115</v>
      </c>
      <c r="D5" s="100">
        <f>'3. Overall com progres Jun(ref)'!D5</f>
        <v>118</v>
      </c>
      <c r="E5" s="100">
        <v>191</v>
      </c>
      <c r="F5" s="100">
        <f>'1.RSP Districts '!E204</f>
        <v>20</v>
      </c>
      <c r="G5" s="100">
        <f>'1.RSP Districts '!E205</f>
        <v>1841</v>
      </c>
      <c r="H5" s="100">
        <f>'[5]2. Overall com progres Sep 11'!H5</f>
        <v>847</v>
      </c>
      <c r="I5" s="100">
        <f>'[3]SGA OUTREACH  AS OF SEPT 11 '!D5</f>
        <v>11</v>
      </c>
      <c r="J5" s="100">
        <f>'1.RSP Districts '!E208</f>
        <v>318</v>
      </c>
      <c r="K5" s="100">
        <f>'1.RSP Districts '!E209</f>
        <v>475</v>
      </c>
      <c r="L5" s="100">
        <f>'[4]2. Overall com progres Sept 11'!C5</f>
        <v>112</v>
      </c>
      <c r="M5" s="100">
        <f>SUM(C5:L5)-387</f>
        <v>3661</v>
      </c>
      <c r="N5" s="111"/>
      <c r="O5" s="87"/>
      <c r="R5" s="75">
        <f>G5-'3. Overall com progres Jun(ref)'!G5</f>
        <v>35</v>
      </c>
    </row>
    <row r="6" spans="1:18" s="75" customFormat="1" x14ac:dyDescent="0.3">
      <c r="A6" s="214" t="s">
        <v>226</v>
      </c>
      <c r="B6" s="215"/>
      <c r="C6" s="100">
        <f>'[2]2. Overall com progres Sep 11'!C6</f>
        <v>81192</v>
      </c>
      <c r="D6" s="100">
        <f>'3. Overall com progres Jun(ref)'!D6</f>
        <v>108969</v>
      </c>
      <c r="E6" s="100">
        <v>157893</v>
      </c>
      <c r="F6" s="100">
        <f>'1.RSP Districts '!J204</f>
        <v>31142</v>
      </c>
      <c r="G6" s="100">
        <f>'1.RSP Districts '!J205</f>
        <v>1890292</v>
      </c>
      <c r="H6" s="100">
        <f>'[5]2. Overall com progres Sep 11'!H6</f>
        <v>979590</v>
      </c>
      <c r="I6" s="100">
        <f>'[3]SGA OUTREACH  AS OF SEPT 11 '!D6</f>
        <v>11000</v>
      </c>
      <c r="J6" s="100">
        <f>'1.RSP Districts '!J208</f>
        <v>495655</v>
      </c>
      <c r="K6" s="100">
        <f>'1.RSP Districts '!J209</f>
        <v>546609</v>
      </c>
      <c r="L6" s="100">
        <f>'[4]2. Overall com progres Sept 11'!C6</f>
        <v>258138</v>
      </c>
      <c r="M6" s="100">
        <f t="shared" ref="M6:M58" si="0">SUM(C6:L6)</f>
        <v>4560480</v>
      </c>
      <c r="N6" s="111"/>
      <c r="O6" s="87"/>
      <c r="R6" s="75">
        <f>G6-'3. Overall com progres Jun(ref)'!G6</f>
        <v>29318</v>
      </c>
    </row>
    <row r="7" spans="1:18" s="75" customFormat="1" x14ac:dyDescent="0.3">
      <c r="A7" s="214" t="s">
        <v>14</v>
      </c>
      <c r="B7" s="215"/>
      <c r="C7" s="100">
        <f>'[2]2. Overall com progres Sep 11'!C7</f>
        <v>32</v>
      </c>
      <c r="D7" s="100">
        <v>44</v>
      </c>
      <c r="E7" s="100">
        <v>12</v>
      </c>
      <c r="F7" s="100">
        <f>'[6]3. Overall com progres Jun(ref)'!F7</f>
        <v>2</v>
      </c>
      <c r="G7" s="100">
        <f>405-C7</f>
        <v>373</v>
      </c>
      <c r="H7" s="100">
        <f>'[5]2. Overall com progres Sep 11'!H7</f>
        <v>21</v>
      </c>
      <c r="I7" s="100"/>
      <c r="J7" s="100">
        <v>17</v>
      </c>
      <c r="K7" s="100">
        <v>43</v>
      </c>
      <c r="L7" s="100">
        <f>'[4]2. Overall com progres Sept 11'!C7</f>
        <v>15</v>
      </c>
      <c r="M7" s="100">
        <f t="shared" si="0"/>
        <v>559</v>
      </c>
      <c r="N7" s="111"/>
      <c r="O7" s="87"/>
      <c r="R7" s="75">
        <f>G7-'3. Overall com progres Jun(ref)'!G7</f>
        <v>11</v>
      </c>
    </row>
    <row r="8" spans="1:18" s="75" customFormat="1" x14ac:dyDescent="0.3">
      <c r="A8" s="196" t="s">
        <v>15</v>
      </c>
      <c r="B8" s="151" t="s">
        <v>16</v>
      </c>
      <c r="C8" s="100">
        <f>'[2]2. Overall com progres Sep 11'!C8</f>
        <v>1288</v>
      </c>
      <c r="D8" s="100">
        <f>'3. Overall com progres Jun(ref)'!D8</f>
        <v>2018</v>
      </c>
      <c r="E8" s="100">
        <v>2991</v>
      </c>
      <c r="F8" s="100">
        <f>'[6]3. Overall com progres Jun(ref)'!F8</f>
        <v>1293</v>
      </c>
      <c r="G8" s="100">
        <v>53703</v>
      </c>
      <c r="H8" s="100">
        <f>'[5]2. Overall com progres Sep 11'!H8</f>
        <v>24280</v>
      </c>
      <c r="I8" s="100">
        <f>'3. Overall com progres Jun(ref)'!I8</f>
        <v>351</v>
      </c>
      <c r="J8" s="100">
        <f>'[7]2. Overall com progres Sep 11'!$J8</f>
        <v>25511</v>
      </c>
      <c r="K8" s="100">
        <f>'[8]2. Overall com progres Sep 11'!K8</f>
        <v>5513</v>
      </c>
      <c r="L8" s="100">
        <f>'[4]2. Overall com progres Sept 11'!C8</f>
        <v>8158</v>
      </c>
      <c r="M8" s="100">
        <f t="shared" si="0"/>
        <v>125106</v>
      </c>
      <c r="N8" s="112">
        <f>M8/M11%</f>
        <v>45.156469951272335</v>
      </c>
      <c r="O8" s="87"/>
      <c r="P8" s="75">
        <f>K8-'2. Overall com progres Dec 11'!K8</f>
        <v>-82</v>
      </c>
      <c r="R8" s="75">
        <f>G8-'3. Overall com progres Jun(ref)'!G8</f>
        <v>1586</v>
      </c>
    </row>
    <row r="9" spans="1:18" s="75" customFormat="1" x14ac:dyDescent="0.3">
      <c r="A9" s="196"/>
      <c r="B9" s="152" t="s">
        <v>17</v>
      </c>
      <c r="C9" s="100">
        <f>'[2]2. Overall com progres Sep 11'!C9</f>
        <v>1811</v>
      </c>
      <c r="D9" s="100">
        <f>'3. Overall com progres Jun(ref)'!D9</f>
        <v>2703</v>
      </c>
      <c r="E9" s="100">
        <v>6686</v>
      </c>
      <c r="F9" s="100">
        <f>'[6]3. Overall com progres Jun(ref)'!F9</f>
        <v>1270</v>
      </c>
      <c r="G9" s="100">
        <v>68430</v>
      </c>
      <c r="H9" s="100">
        <f>'[5]2. Overall com progres Sep 11'!H9</f>
        <v>35421</v>
      </c>
      <c r="I9" s="100">
        <f>'3. Overall com progres Jun(ref)'!I9</f>
        <v>367</v>
      </c>
      <c r="J9" s="100">
        <f>'[7]2. Overall com progres Sep 11'!$J9</f>
        <v>3626</v>
      </c>
      <c r="K9" s="100">
        <f>'[8]2. Overall com progres Sep 11'!K9</f>
        <v>15631</v>
      </c>
      <c r="L9" s="100">
        <f>'[4]2. Overall com progres Sept 11'!C9</f>
        <v>5680</v>
      </c>
      <c r="M9" s="100">
        <f t="shared" si="0"/>
        <v>141625</v>
      </c>
      <c r="N9" s="111"/>
      <c r="O9" s="87"/>
      <c r="P9" s="75">
        <f>K9-'2. Overall com progres Dec 11'!K9</f>
        <v>-295</v>
      </c>
      <c r="R9" s="75">
        <f>G9-'3. Overall com progres Jun(ref)'!G9</f>
        <v>1476</v>
      </c>
    </row>
    <row r="10" spans="1:18" s="75" customFormat="1" x14ac:dyDescent="0.3">
      <c r="A10" s="196"/>
      <c r="B10" s="152" t="s">
        <v>18</v>
      </c>
      <c r="C10" s="100">
        <f>'[2]2. Overall com progres Sep 11'!C10</f>
        <v>840</v>
      </c>
      <c r="D10" s="100">
        <f>'3. Overall com progres Jun(ref)'!D10</f>
        <v>0</v>
      </c>
      <c r="E10" s="100">
        <v>52</v>
      </c>
      <c r="F10" s="100">
        <f>'[6]3. Overall com progres Jun(ref)'!F10</f>
        <v>0</v>
      </c>
      <c r="G10" s="100">
        <v>7435</v>
      </c>
      <c r="H10" s="100">
        <f>'[5]2. Overall com progres Sep 11'!H10</f>
        <v>0</v>
      </c>
      <c r="I10" s="100">
        <f>'3. Overall com progres Jun(ref)'!I10</f>
        <v>0</v>
      </c>
      <c r="J10" s="100">
        <f>'[7]2. Overall com progres Sep 11'!$J10</f>
        <v>40</v>
      </c>
      <c r="K10" s="100">
        <f>'[8]2. Overall com progres Sep 11'!K10</f>
        <v>0</v>
      </c>
      <c r="L10" s="100">
        <f>'[4]2. Overall com progres Sept 11'!C10</f>
        <v>1952</v>
      </c>
      <c r="M10" s="100">
        <f t="shared" si="0"/>
        <v>10319</v>
      </c>
      <c r="N10" s="111"/>
      <c r="O10" s="87"/>
      <c r="P10" s="75">
        <f>K10-'2. Overall com progres Dec 11'!K10</f>
        <v>0</v>
      </c>
      <c r="R10" s="75">
        <f>G10-'3. Overall com progres Jun(ref)'!G10</f>
        <v>341</v>
      </c>
    </row>
    <row r="11" spans="1:18" s="75" customFormat="1" x14ac:dyDescent="0.3">
      <c r="A11" s="196"/>
      <c r="B11" s="153" t="s">
        <v>19</v>
      </c>
      <c r="C11" s="135">
        <f>SUM(C8:C10)</f>
        <v>3939</v>
      </c>
      <c r="D11" s="135">
        <f t="shared" ref="D11:M11" si="1">SUM(D8:D10)</f>
        <v>4721</v>
      </c>
      <c r="E11" s="135">
        <f t="shared" si="1"/>
        <v>9729</v>
      </c>
      <c r="F11" s="135">
        <f t="shared" si="1"/>
        <v>2563</v>
      </c>
      <c r="G11" s="135">
        <f t="shared" si="1"/>
        <v>129568</v>
      </c>
      <c r="H11" s="135">
        <f t="shared" si="1"/>
        <v>59701</v>
      </c>
      <c r="I11" s="135">
        <f t="shared" si="1"/>
        <v>718</v>
      </c>
      <c r="J11" s="135">
        <f t="shared" si="1"/>
        <v>29177</v>
      </c>
      <c r="K11" s="135">
        <f>SUM(K8:K10)</f>
        <v>21144</v>
      </c>
      <c r="L11" s="135">
        <f t="shared" si="1"/>
        <v>15790</v>
      </c>
      <c r="M11" s="135">
        <f t="shared" si="1"/>
        <v>277050</v>
      </c>
      <c r="N11" s="111"/>
      <c r="O11" s="87"/>
      <c r="P11" s="75">
        <f>K11-'2. Overall com progres Dec 11'!K11</f>
        <v>-377</v>
      </c>
      <c r="R11" s="75">
        <f>G11-'3. Overall com progres Jun(ref)'!G11</f>
        <v>3403</v>
      </c>
    </row>
    <row r="12" spans="1:18" s="75" customFormat="1" x14ac:dyDescent="0.3">
      <c r="A12" s="201" t="s">
        <v>20</v>
      </c>
      <c r="B12" s="151" t="s">
        <v>21</v>
      </c>
      <c r="C12" s="100">
        <f>'[2]2. Overall com progres Sep 11'!C12</f>
        <v>35616</v>
      </c>
      <c r="D12" s="100">
        <f>'3. Overall com progres Jun(ref)'!D12</f>
        <v>68007</v>
      </c>
      <c r="E12" s="100">
        <v>49218</v>
      </c>
      <c r="F12" s="100">
        <f>'[6]3. Overall com progres Jun(ref)'!F12</f>
        <v>22390</v>
      </c>
      <c r="G12" s="100">
        <v>932706</v>
      </c>
      <c r="H12" s="100">
        <f>'[5]2. Overall com progres Sep 11'!H12</f>
        <v>405961</v>
      </c>
      <c r="I12" s="100">
        <f>'3. Overall com progres Jun(ref)'!I12</f>
        <v>9548</v>
      </c>
      <c r="J12" s="100">
        <f>'[7]2. Overall com progres Sep 11'!$J12</f>
        <v>424167</v>
      </c>
      <c r="K12" s="100">
        <f>'[8]2. Overall com progres Sep 11'!K12</f>
        <v>141494</v>
      </c>
      <c r="L12" s="100">
        <f>'[4]2. Overall com progres Sept 11'!C12</f>
        <v>168118</v>
      </c>
      <c r="M12" s="100">
        <f t="shared" si="0"/>
        <v>2257225</v>
      </c>
      <c r="N12" s="161">
        <f>M12/M14%</f>
        <v>47.113338132556663</v>
      </c>
      <c r="O12" s="87"/>
      <c r="R12" s="75">
        <f>G12-'3. Overall com progres Jun(ref)'!G12</f>
        <v>29608</v>
      </c>
    </row>
    <row r="13" spans="1:18" s="75" customFormat="1" x14ac:dyDescent="0.3">
      <c r="A13" s="201"/>
      <c r="B13" s="152" t="s">
        <v>22</v>
      </c>
      <c r="C13" s="100">
        <f>'[2]2. Overall com progres Sep 11'!C13</f>
        <v>45576</v>
      </c>
      <c r="D13" s="100">
        <f>'3. Overall com progres Jun(ref)'!D13</f>
        <v>108247</v>
      </c>
      <c r="E13" s="100">
        <v>108848</v>
      </c>
      <c r="F13" s="100">
        <f>'[6]3. Overall com progres Jun(ref)'!F13</f>
        <v>23997</v>
      </c>
      <c r="G13" s="100">
        <v>1026979</v>
      </c>
      <c r="H13" s="100">
        <f>'[5]2. Overall com progres Sep 11'!H13</f>
        <v>613930</v>
      </c>
      <c r="I13" s="100">
        <f>'3. Overall com progres Jun(ref)'!I13</f>
        <v>9859</v>
      </c>
      <c r="J13" s="100">
        <f>'[7]2. Overall com progres Sep 11'!$J13</f>
        <v>65261</v>
      </c>
      <c r="K13" s="100">
        <f>'[8]2. Overall com progres Sep 11'!K13</f>
        <v>392742</v>
      </c>
      <c r="L13" s="100">
        <f>'[4]2. Overall com progres Sept 11'!C13</f>
        <v>138389</v>
      </c>
      <c r="M13" s="100">
        <f t="shared" si="0"/>
        <v>2533828</v>
      </c>
      <c r="N13" s="111"/>
      <c r="O13" s="87"/>
      <c r="R13" s="75">
        <f>G13-'3. Overall com progres Jun(ref)'!G13</f>
        <v>69103</v>
      </c>
    </row>
    <row r="14" spans="1:18" s="75" customFormat="1" x14ac:dyDescent="0.3">
      <c r="A14" s="201"/>
      <c r="B14" s="154" t="s">
        <v>19</v>
      </c>
      <c r="C14" s="135">
        <f>SUM(C12:C13)</f>
        <v>81192</v>
      </c>
      <c r="D14" s="135">
        <f t="shared" ref="D14:M14" si="2">SUM(D12:D13)</f>
        <v>176254</v>
      </c>
      <c r="E14" s="100">
        <f t="shared" si="2"/>
        <v>158066</v>
      </c>
      <c r="F14" s="135">
        <f t="shared" si="2"/>
        <v>46387</v>
      </c>
      <c r="G14" s="135">
        <f t="shared" si="2"/>
        <v>1959685</v>
      </c>
      <c r="H14" s="135">
        <f t="shared" si="2"/>
        <v>1019891</v>
      </c>
      <c r="I14" s="135">
        <f t="shared" si="2"/>
        <v>19407</v>
      </c>
      <c r="J14" s="135">
        <f t="shared" si="2"/>
        <v>489428</v>
      </c>
      <c r="K14" s="135">
        <f t="shared" si="2"/>
        <v>534236</v>
      </c>
      <c r="L14" s="135">
        <f t="shared" si="2"/>
        <v>306507</v>
      </c>
      <c r="M14" s="135">
        <f t="shared" si="2"/>
        <v>4791053</v>
      </c>
      <c r="N14" s="161">
        <f>M14/1000000</f>
        <v>4.7910529999999998</v>
      </c>
      <c r="O14" s="87"/>
      <c r="R14" s="75">
        <f>G14-'3. Overall com progres Jun(ref)'!G14</f>
        <v>98711</v>
      </c>
    </row>
    <row r="15" spans="1:18" s="81" customFormat="1" x14ac:dyDescent="0.3">
      <c r="A15" s="202" t="s">
        <v>271</v>
      </c>
      <c r="B15" s="155" t="s">
        <v>21</v>
      </c>
      <c r="C15" s="100">
        <f>'[2]2. Overall com progres Sep 11'!C15</f>
        <v>26.11</v>
      </c>
      <c r="D15" s="100">
        <f>'3. Overall com progres Jun(ref)'!D15</f>
        <v>129.43899999999999</v>
      </c>
      <c r="E15" s="146">
        <v>4.8</v>
      </c>
      <c r="F15" s="100">
        <f>'[6]3. Overall com progres Jun(ref)'!F15</f>
        <v>3.83</v>
      </c>
      <c r="G15" s="100">
        <v>200.67</v>
      </c>
      <c r="H15" s="100">
        <f>'[5]2. Overall com progres Sep 11'!H15</f>
        <v>40.155546999999999</v>
      </c>
      <c r="I15" s="100">
        <f>'3. Overall com progres Jun(ref)'!I15</f>
        <v>0</v>
      </c>
      <c r="J15" s="100">
        <f>'[7]2. Overall com progres Sep 11'!$J15</f>
        <v>38.756</v>
      </c>
      <c r="K15" s="100">
        <f>'[8]2. Overall com progres Sep 11'!K15</f>
        <v>34.43</v>
      </c>
      <c r="L15" s="100">
        <f>'[4]2. Overall com progres Sept 11'!C15</f>
        <v>74.72</v>
      </c>
      <c r="M15" s="146">
        <f>SUM(C15:L15)</f>
        <v>552.91054699999995</v>
      </c>
      <c r="N15" s="111"/>
      <c r="O15" s="87"/>
      <c r="R15" s="75">
        <f>G15-'3. Overall com progres Jun(ref)'!G15</f>
        <v>11.730930974999978</v>
      </c>
    </row>
    <row r="16" spans="1:18" s="81" customFormat="1" x14ac:dyDescent="0.3">
      <c r="A16" s="202"/>
      <c r="B16" s="144" t="s">
        <v>22</v>
      </c>
      <c r="C16" s="100">
        <f>'[2]2. Overall com progres Sep 11'!C16</f>
        <v>26.11</v>
      </c>
      <c r="D16" s="100">
        <f>'3. Overall com progres Jun(ref)'!D16</f>
        <v>371.08199999999994</v>
      </c>
      <c r="E16" s="146">
        <v>7.5</v>
      </c>
      <c r="F16" s="100">
        <f>'[6]3. Overall com progres Jun(ref)'!F16</f>
        <v>4.41</v>
      </c>
      <c r="G16" s="100">
        <v>1109.3499999999999</v>
      </c>
      <c r="H16" s="100">
        <f>'[5]2. Overall com progres Sep 11'!H16</f>
        <v>43.919511999999997</v>
      </c>
      <c r="I16" s="100">
        <f>'3. Overall com progres Jun(ref)'!I16</f>
        <v>0</v>
      </c>
      <c r="J16" s="100">
        <f>'[7]2. Overall com progres Sep 11'!$J16</f>
        <v>18.86</v>
      </c>
      <c r="K16" s="100">
        <f>'[8]2. Overall com progres Sep 11'!K16</f>
        <v>100.89</v>
      </c>
      <c r="L16" s="100">
        <f>'[4]2. Overall com progres Sept 11'!C16</f>
        <v>115.06</v>
      </c>
      <c r="M16" s="146">
        <f t="shared" si="0"/>
        <v>1797.1815119999997</v>
      </c>
      <c r="N16" s="111"/>
      <c r="O16" s="87"/>
      <c r="R16" s="75">
        <f>G16-'3. Overall com progres Jun(ref)'!G16</f>
        <v>29.682210695000094</v>
      </c>
    </row>
    <row r="17" spans="1:18" s="81" customFormat="1" x14ac:dyDescent="0.3">
      <c r="A17" s="202"/>
      <c r="B17" s="154" t="s">
        <v>19</v>
      </c>
      <c r="C17" s="148">
        <f t="shared" ref="C17:M17" si="3">SUM(C15:C16)</f>
        <v>52.22</v>
      </c>
      <c r="D17" s="148">
        <f t="shared" si="3"/>
        <v>500.52099999999996</v>
      </c>
      <c r="E17" s="148">
        <f t="shared" si="3"/>
        <v>12.3</v>
      </c>
      <c r="F17" s="148">
        <f t="shared" si="3"/>
        <v>8.24</v>
      </c>
      <c r="G17" s="148">
        <f t="shared" si="3"/>
        <v>1310.02</v>
      </c>
      <c r="H17" s="148">
        <f t="shared" si="3"/>
        <v>84.075058999999996</v>
      </c>
      <c r="I17" s="148">
        <f t="shared" si="3"/>
        <v>0</v>
      </c>
      <c r="J17" s="148">
        <f t="shared" si="3"/>
        <v>57.616</v>
      </c>
      <c r="K17" s="148">
        <f t="shared" si="3"/>
        <v>135.32</v>
      </c>
      <c r="L17" s="148">
        <f t="shared" si="3"/>
        <v>189.78</v>
      </c>
      <c r="M17" s="148">
        <f t="shared" si="3"/>
        <v>2350.0920589999996</v>
      </c>
      <c r="N17" s="111"/>
      <c r="O17" s="87"/>
      <c r="R17" s="75">
        <f>G17-'3. Overall com progres Jun(ref)'!G17</f>
        <v>41.413141670000186</v>
      </c>
    </row>
    <row r="18" spans="1:18" s="75" customFormat="1" x14ac:dyDescent="0.3">
      <c r="A18" s="196" t="s">
        <v>24</v>
      </c>
      <c r="B18" s="151" t="s">
        <v>21</v>
      </c>
      <c r="C18" s="100">
        <f>'[2]2. Overall com progres Sep 11'!C18</f>
        <v>9777</v>
      </c>
      <c r="D18" s="100">
        <f>'3. Overall com progres Jun(ref)'!D18</f>
        <v>58754</v>
      </c>
      <c r="E18" s="100">
        <v>39440</v>
      </c>
      <c r="F18" s="100">
        <f>'[6]3. Overall com progres Jun(ref)'!F18</f>
        <v>9972</v>
      </c>
      <c r="G18" s="100">
        <v>533499</v>
      </c>
      <c r="H18" s="100">
        <f>'[5]2. Overall com progres Sep 11'!H18</f>
        <v>142308</v>
      </c>
      <c r="I18" s="100">
        <f>'3. Overall com progres Jun(ref)'!I18</f>
        <v>4790</v>
      </c>
      <c r="J18" s="100">
        <f>'[7]2. Overall com progres Sep 11'!$J18</f>
        <v>155446</v>
      </c>
      <c r="K18" s="100">
        <f>'[8]2. Overall com progres Sep 11'!K18</f>
        <v>49946</v>
      </c>
      <c r="L18" s="100">
        <f>'[4]2. Overall com progres Sept 11'!C18</f>
        <v>60585</v>
      </c>
      <c r="M18" s="100">
        <f t="shared" si="0"/>
        <v>1064517</v>
      </c>
      <c r="N18" s="81">
        <f>M18/1000000</f>
        <v>1.0645169999999999</v>
      </c>
      <c r="O18" s="81">
        <f>M18/M20%</f>
        <v>47.996207255539993</v>
      </c>
      <c r="R18" s="75">
        <f>G18-'3. Overall com progres Jun(ref)'!G18</f>
        <v>-256839</v>
      </c>
    </row>
    <row r="19" spans="1:18" s="75" customFormat="1" x14ac:dyDescent="0.3">
      <c r="A19" s="196"/>
      <c r="B19" s="152" t="s">
        <v>22</v>
      </c>
      <c r="C19" s="100">
        <f>'[2]2. Overall com progres Sep 11'!C19</f>
        <v>5534</v>
      </c>
      <c r="D19" s="100">
        <f>'3. Overall com progres Jun(ref)'!D19</f>
        <v>27804</v>
      </c>
      <c r="E19" s="100">
        <v>96677</v>
      </c>
      <c r="F19" s="100">
        <f>'[6]3. Overall com progres Jun(ref)'!F19</f>
        <v>3440</v>
      </c>
      <c r="G19" s="100">
        <v>575029</v>
      </c>
      <c r="H19" s="100">
        <f>'[5]2. Overall com progres Sep 11'!H19</f>
        <v>289608</v>
      </c>
      <c r="I19" s="100">
        <f>'3. Overall com progres Jun(ref)'!I19</f>
        <v>4790</v>
      </c>
      <c r="J19" s="100">
        <f>'[7]2. Overall com progres Sep 11'!$J19</f>
        <v>7811</v>
      </c>
      <c r="K19" s="100">
        <f>'[8]2. Overall com progres Sep 11'!K19</f>
        <v>66665</v>
      </c>
      <c r="L19" s="100">
        <f>'[4]2. Overall com progres Sept 11'!C19</f>
        <v>76044</v>
      </c>
      <c r="M19" s="100">
        <f t="shared" si="0"/>
        <v>1153402</v>
      </c>
      <c r="N19" s="111"/>
      <c r="O19" s="87"/>
      <c r="R19" s="75">
        <f>G19-'3. Overall com progres Jun(ref)'!G19</f>
        <v>-281219</v>
      </c>
    </row>
    <row r="20" spans="1:18" s="75" customFormat="1" x14ac:dyDescent="0.3">
      <c r="A20" s="196"/>
      <c r="B20" s="153" t="s">
        <v>19</v>
      </c>
      <c r="C20" s="135">
        <f t="shared" ref="C20:M20" si="4">SUM(C18:C19)</f>
        <v>15311</v>
      </c>
      <c r="D20" s="135">
        <f t="shared" si="4"/>
        <v>86558</v>
      </c>
      <c r="E20" s="135">
        <f t="shared" si="4"/>
        <v>136117</v>
      </c>
      <c r="F20" s="135">
        <f t="shared" si="4"/>
        <v>13412</v>
      </c>
      <c r="G20" s="135">
        <f t="shared" si="4"/>
        <v>1108528</v>
      </c>
      <c r="H20" s="135">
        <f t="shared" si="4"/>
        <v>431916</v>
      </c>
      <c r="I20" s="135">
        <f t="shared" si="4"/>
        <v>9580</v>
      </c>
      <c r="J20" s="135">
        <f t="shared" si="4"/>
        <v>163257</v>
      </c>
      <c r="K20" s="135">
        <f t="shared" si="4"/>
        <v>116611</v>
      </c>
      <c r="L20" s="135">
        <f t="shared" si="4"/>
        <v>136629</v>
      </c>
      <c r="M20" s="135">
        <f t="shared" si="4"/>
        <v>2217919</v>
      </c>
      <c r="N20" s="81">
        <f>M20/1000000</f>
        <v>2.2179190000000002</v>
      </c>
      <c r="O20" s="87"/>
      <c r="R20" s="75">
        <f>G20-'3. Overall com progres Jun(ref)'!G20</f>
        <v>-538058</v>
      </c>
    </row>
    <row r="21" spans="1:18" s="75" customFormat="1" x14ac:dyDescent="0.3">
      <c r="A21" s="204" t="s">
        <v>243</v>
      </c>
      <c r="B21" s="152" t="s">
        <v>240</v>
      </c>
      <c r="C21" s="100">
        <f>'[2]2. Overall com progres Sep 11'!C21</f>
        <v>6</v>
      </c>
      <c r="D21" s="100">
        <f>'3. Overall com progres Jun(ref)'!D21</f>
        <v>12</v>
      </c>
      <c r="E21" s="100">
        <v>2</v>
      </c>
      <c r="F21" s="100">
        <f>'[6]3. Overall com progres Jun(ref)'!F21</f>
        <v>1</v>
      </c>
      <c r="G21" s="100">
        <v>194</v>
      </c>
      <c r="H21" s="100">
        <f>'[5]2. Overall com progres Sep 11'!H21</f>
        <v>1</v>
      </c>
      <c r="I21" s="100">
        <f>'3. Overall com progres Jun(ref)'!I21</f>
        <v>0</v>
      </c>
      <c r="J21" s="100">
        <f>'[7]2. Overall com progres Sep 11'!$J21</f>
        <v>0</v>
      </c>
      <c r="K21" s="100">
        <f>'[8]2. Overall com progres Sep 11'!K21</f>
        <v>0</v>
      </c>
      <c r="L21" s="100">
        <v>8</v>
      </c>
      <c r="M21" s="100">
        <f t="shared" si="0"/>
        <v>224</v>
      </c>
      <c r="N21" s="111"/>
      <c r="O21" s="87"/>
      <c r="R21" s="75">
        <f>G21-'3. Overall com progres Jun(ref)'!G21</f>
        <v>0</v>
      </c>
    </row>
    <row r="22" spans="1:18" s="75" customFormat="1" x14ac:dyDescent="0.3">
      <c r="A22" s="205"/>
      <c r="B22" s="152" t="s">
        <v>241</v>
      </c>
      <c r="C22" s="100">
        <f>'[2]2. Overall com progres Sep 11'!C22</f>
        <v>0</v>
      </c>
      <c r="D22" s="100">
        <f>'3. Overall com progres Jun(ref)'!D22</f>
        <v>0</v>
      </c>
      <c r="E22" s="100">
        <v>0</v>
      </c>
      <c r="F22" s="100">
        <f>'[6]3. Overall com progres Jun(ref)'!F22</f>
        <v>1</v>
      </c>
      <c r="G22" s="100">
        <v>1419</v>
      </c>
      <c r="H22" s="100">
        <f>'[5]2. Overall com progres Sep 11'!H22</f>
        <v>23</v>
      </c>
      <c r="I22" s="100">
        <f>'3. Overall com progres Jun(ref)'!I22</f>
        <v>0</v>
      </c>
      <c r="J22" s="100">
        <f>'[7]2. Overall com progres Sep 11'!$J22</f>
        <v>2080</v>
      </c>
      <c r="K22" s="100">
        <f>'[8]2. Overall com progres Sep 11'!K22</f>
        <v>120</v>
      </c>
      <c r="L22" s="100">
        <f>'[4]2. Overall com progres Sept 11'!C22</f>
        <v>622</v>
      </c>
      <c r="M22" s="100">
        <f t="shared" si="0"/>
        <v>4265</v>
      </c>
      <c r="N22" s="111"/>
      <c r="O22" s="87"/>
      <c r="R22" s="75">
        <f>G22-'3. Overall com progres Jun(ref)'!G22</f>
        <v>-117</v>
      </c>
    </row>
    <row r="23" spans="1:18" s="75" customFormat="1" x14ac:dyDescent="0.3">
      <c r="A23" s="205"/>
      <c r="B23" s="152" t="s">
        <v>242</v>
      </c>
      <c r="C23" s="100">
        <f>'[2]2. Overall com progres Sep 11'!C23</f>
        <v>1094</v>
      </c>
      <c r="D23" s="100">
        <f>'3. Overall com progres Jun(ref)'!D23</f>
        <v>2055</v>
      </c>
      <c r="E23" s="100">
        <v>20</v>
      </c>
      <c r="F23" s="100">
        <f>'[6]3. Overall com progres Jun(ref)'!F23</f>
        <v>152</v>
      </c>
      <c r="G23" s="100">
        <v>7097</v>
      </c>
      <c r="H23" s="100">
        <f>'[5]2. Overall com progres Sep 11'!H23</f>
        <v>1212</v>
      </c>
      <c r="I23" s="100">
        <f>'3. Overall com progres Jun(ref)'!I23</f>
        <v>0</v>
      </c>
      <c r="J23" s="100">
        <f>'[7]2. Overall com progres Sep 11'!$J23</f>
        <v>50198</v>
      </c>
      <c r="K23" s="100">
        <f>'[8]2. Overall com progres Sep 11'!K23</f>
        <v>9955</v>
      </c>
      <c r="L23" s="100">
        <f>'[4]2. Overall com progres Sept 11'!C23</f>
        <v>12146</v>
      </c>
      <c r="M23" s="100">
        <f t="shared" si="0"/>
        <v>83929</v>
      </c>
      <c r="N23" s="111"/>
      <c r="O23" s="87"/>
      <c r="R23" s="75">
        <f>G23-'3. Overall com progres Jun(ref)'!G23</f>
        <v>0</v>
      </c>
    </row>
    <row r="24" spans="1:18" s="75" customFormat="1" ht="27.6" x14ac:dyDescent="0.3">
      <c r="A24" s="206"/>
      <c r="B24" s="152" t="s">
        <v>244</v>
      </c>
      <c r="C24" s="100">
        <f>'[2]2. Overall com progres Sep 11'!C24</f>
        <v>16</v>
      </c>
      <c r="D24" s="100">
        <f>'3. Overall com progres Jun(ref)'!D24</f>
        <v>16.106083000000002</v>
      </c>
      <c r="E24" s="146">
        <v>0.2</v>
      </c>
      <c r="F24" s="100">
        <f>'[6]3. Overall com progres Jun(ref)'!F24</f>
        <v>1.2</v>
      </c>
      <c r="G24" s="100">
        <v>90.320167999999995</v>
      </c>
      <c r="H24" s="100">
        <f>'[5]2. Overall com progres Sep 11'!H24</f>
        <v>7.6</v>
      </c>
      <c r="I24" s="100">
        <f>'3. Overall com progres Jun(ref)'!I24</f>
        <v>0</v>
      </c>
      <c r="J24" s="100">
        <f>'[7]2. Overall com progres Sep 11'!$J24</f>
        <v>514.1</v>
      </c>
      <c r="K24" s="100">
        <f>'[8]2. Overall com progres Sep 11'!K24</f>
        <v>102.2</v>
      </c>
      <c r="L24" s="100">
        <f>'[4]2. Overall com progres Sept 11'!C24</f>
        <v>157.32900000000001</v>
      </c>
      <c r="M24" s="146">
        <f t="shared" si="0"/>
        <v>905.055251</v>
      </c>
      <c r="N24" s="112">
        <f>M24/90</f>
        <v>10.056169455555555</v>
      </c>
      <c r="O24" s="162">
        <f>M24/85</f>
        <v>10.647708835294118</v>
      </c>
      <c r="R24" s="75">
        <f>G24-'3. Overall com progres Jun(ref)'!G24</f>
        <v>0</v>
      </c>
    </row>
    <row r="25" spans="1:18" s="81" customFormat="1" x14ac:dyDescent="0.3">
      <c r="A25" s="203" t="s">
        <v>25</v>
      </c>
      <c r="B25" s="155" t="s">
        <v>21</v>
      </c>
      <c r="C25" s="100">
        <f>'[2]2. Overall com progres Sep 11'!C25</f>
        <v>40.72</v>
      </c>
      <c r="D25" s="100">
        <f>'3. Overall com progres Jun(ref)'!D25</f>
        <v>195</v>
      </c>
      <c r="E25" s="146">
        <v>9</v>
      </c>
      <c r="F25" s="100">
        <f>'[6]3. Overall com progres Jun(ref)'!F25</f>
        <v>206.84100000000001</v>
      </c>
      <c r="G25" s="100">
        <v>10188.129641</v>
      </c>
      <c r="H25" s="100">
        <f>'[5]2. Overall com progres Sep 11'!H25</f>
        <v>2962</v>
      </c>
      <c r="I25" s="100">
        <f>'3. Overall com progres Jun(ref)'!I25</f>
        <v>0</v>
      </c>
      <c r="J25" s="100">
        <f>'[7]2. Overall com progres Sep 11'!$J25</f>
        <v>1131</v>
      </c>
      <c r="K25" s="100">
        <f>'[8]2. Overall com progres Sep 11'!K25</f>
        <v>257.75</v>
      </c>
      <c r="L25" s="100">
        <f>'[4]2. Overall com progres Sept 11'!C25</f>
        <v>1383.375</v>
      </c>
      <c r="M25" s="146">
        <f t="shared" si="0"/>
        <v>16373.815640999999</v>
      </c>
      <c r="N25" s="161">
        <f>M25/1000</f>
        <v>16.373815641</v>
      </c>
      <c r="O25" s="162">
        <f>M25/85</f>
        <v>192.63312518823528</v>
      </c>
      <c r="R25" s="75">
        <f>G25-'3. Overall com progres Jun(ref)'!G25</f>
        <v>-7607.0870690000011</v>
      </c>
    </row>
    <row r="26" spans="1:18" s="81" customFormat="1" x14ac:dyDescent="0.3">
      <c r="A26" s="203"/>
      <c r="B26" s="144" t="s">
        <v>22</v>
      </c>
      <c r="C26" s="100">
        <f>'[2]2. Overall com progres Sep 11'!C26</f>
        <v>58</v>
      </c>
      <c r="D26" s="100">
        <f>'3. Overall com progres Jun(ref)'!D26</f>
        <v>833</v>
      </c>
      <c r="E26" s="146">
        <v>16</v>
      </c>
      <c r="F26" s="100">
        <f>'[6]3. Overall com progres Jun(ref)'!F26</f>
        <v>68.278999999999996</v>
      </c>
      <c r="G26" s="100">
        <v>37282.572701999998</v>
      </c>
      <c r="H26" s="100">
        <f>'[5]2. Overall com progres Sep 11'!H26</f>
        <v>4437</v>
      </c>
      <c r="I26" s="100">
        <f>'3. Overall com progres Jun(ref)'!I26</f>
        <v>0</v>
      </c>
      <c r="J26" s="100">
        <f>'[7]2. Overall com progres Sep 11'!$J26</f>
        <v>520</v>
      </c>
      <c r="K26" s="100">
        <f>'[8]2. Overall com progres Sep 11'!K26</f>
        <v>293.31</v>
      </c>
      <c r="L26" s="100">
        <f>'[4]2. Overall com progres Sept 11'!C26</f>
        <v>1828.2570000000001</v>
      </c>
      <c r="M26" s="146">
        <f t="shared" si="0"/>
        <v>45336.418701999995</v>
      </c>
      <c r="N26" s="111"/>
      <c r="O26" s="162"/>
      <c r="R26" s="75">
        <f>G26-'3. Overall com progres Jun(ref)'!G26</f>
        <v>260.74149999999645</v>
      </c>
    </row>
    <row r="27" spans="1:18" s="81" customFormat="1" x14ac:dyDescent="0.3">
      <c r="A27" s="203"/>
      <c r="B27" s="156" t="s">
        <v>19</v>
      </c>
      <c r="C27" s="148">
        <f t="shared" ref="C27:M27" si="5">SUM(C25:C26)</f>
        <v>98.72</v>
      </c>
      <c r="D27" s="148">
        <f t="shared" si="5"/>
        <v>1028</v>
      </c>
      <c r="E27" s="148">
        <f t="shared" si="5"/>
        <v>25</v>
      </c>
      <c r="F27" s="148">
        <f t="shared" si="5"/>
        <v>275.12</v>
      </c>
      <c r="G27" s="148">
        <f t="shared" si="5"/>
        <v>47470.702342999997</v>
      </c>
      <c r="H27" s="148">
        <f t="shared" si="5"/>
        <v>7399</v>
      </c>
      <c r="I27" s="148">
        <f t="shared" si="5"/>
        <v>0</v>
      </c>
      <c r="J27" s="148">
        <f t="shared" si="5"/>
        <v>1651</v>
      </c>
      <c r="K27" s="148">
        <f t="shared" si="5"/>
        <v>551.05999999999995</v>
      </c>
      <c r="L27" s="148">
        <f t="shared" si="5"/>
        <v>3211.6320000000001</v>
      </c>
      <c r="M27" s="148">
        <f t="shared" si="5"/>
        <v>61710.234342999996</v>
      </c>
      <c r="N27" s="161">
        <f>M27/1000</f>
        <v>61.710234342999996</v>
      </c>
      <c r="O27" s="162">
        <f>M27/85</f>
        <v>726.00275697647055</v>
      </c>
      <c r="R27" s="75">
        <f>G27-'3. Overall com progres Jun(ref)'!G27</f>
        <v>-7346.3455690000046</v>
      </c>
    </row>
    <row r="28" spans="1:18" s="75" customFormat="1" x14ac:dyDescent="0.3">
      <c r="A28" s="196" t="s">
        <v>26</v>
      </c>
      <c r="B28" s="151" t="s">
        <v>21</v>
      </c>
      <c r="C28" s="100">
        <f>'[2]2. Overall com progres Sep 11'!C28</f>
        <v>1909</v>
      </c>
      <c r="D28" s="100">
        <f>'3. Overall com progres Jun(ref)'!D28</f>
        <v>74813.440000000002</v>
      </c>
      <c r="E28" s="100">
        <v>1156</v>
      </c>
      <c r="F28" s="100">
        <f>'[6]3. Overall com progres Jun(ref)'!F28</f>
        <v>14384</v>
      </c>
      <c r="G28" s="100">
        <v>747292</v>
      </c>
      <c r="H28" s="100">
        <f>'[5]2. Overall com progres Sep 11'!H28</f>
        <v>232718</v>
      </c>
      <c r="I28" s="100">
        <f>'3. Overall com progres Jun(ref)'!I28</f>
        <v>0</v>
      </c>
      <c r="J28" s="100">
        <f>'[7]2. Overall com progres Sep 11'!$J28</f>
        <v>83843</v>
      </c>
      <c r="K28" s="100">
        <f>'[8]2. Overall com progres Sep 11'!K28</f>
        <v>24371</v>
      </c>
      <c r="L28" s="100">
        <f>'[4]2. Overall com progres Sept 11'!C28</f>
        <v>113336</v>
      </c>
      <c r="M28" s="100">
        <f t="shared" si="0"/>
        <v>1293822.44</v>
      </c>
      <c r="N28" s="161">
        <f>M28/1000000</f>
        <v>1.29382244</v>
      </c>
      <c r="O28" s="87"/>
      <c r="R28" s="75">
        <f>G28-'3. Overall com progres Jun(ref)'!G28</f>
        <v>-600404</v>
      </c>
    </row>
    <row r="29" spans="1:18" s="75" customFormat="1" x14ac:dyDescent="0.3">
      <c r="A29" s="196"/>
      <c r="B29" s="152" t="s">
        <v>22</v>
      </c>
      <c r="C29" s="100">
        <f>'[2]2. Overall com progres Sep 11'!C29</f>
        <v>3053</v>
      </c>
      <c r="D29" s="100">
        <f>'3. Overall com progres Jun(ref)'!D29</f>
        <v>546310.56000000006</v>
      </c>
      <c r="E29" s="100">
        <v>1600</v>
      </c>
      <c r="F29" s="100">
        <f>'[6]3. Overall com progres Jun(ref)'!F29+963</f>
        <v>6010</v>
      </c>
      <c r="G29" s="100">
        <v>2275171</v>
      </c>
      <c r="H29" s="100">
        <f>'[5]2. Overall com progres Sep 11'!H29+2956</f>
        <v>339850</v>
      </c>
      <c r="I29" s="100">
        <f>'3. Overall com progres Jun(ref)'!I29</f>
        <v>0</v>
      </c>
      <c r="J29" s="100">
        <f>'[7]2. Overall com progres Sep 11'!$J29</f>
        <v>38619</v>
      </c>
      <c r="K29" s="100">
        <f>'[8]2. Overall com progres Sep 11'!K29</f>
        <v>28059</v>
      </c>
      <c r="L29" s="100">
        <f>'[4]2. Overall com progres Sept 11'!C29</f>
        <v>114121</v>
      </c>
      <c r="M29" s="100">
        <f t="shared" si="0"/>
        <v>3352793.56</v>
      </c>
      <c r="N29" s="161"/>
      <c r="O29" s="87"/>
      <c r="R29" s="75">
        <f>G29-'3. Overall com progres Jun(ref)'!G29</f>
        <v>14325</v>
      </c>
    </row>
    <row r="30" spans="1:18" s="75" customFormat="1" x14ac:dyDescent="0.3">
      <c r="A30" s="196"/>
      <c r="B30" s="153" t="s">
        <v>19</v>
      </c>
      <c r="C30" s="135">
        <f t="shared" ref="C30:M30" si="6">SUM(C28:C29)</f>
        <v>4962</v>
      </c>
      <c r="D30" s="135">
        <f t="shared" si="6"/>
        <v>621124</v>
      </c>
      <c r="E30" s="135">
        <f t="shared" si="6"/>
        <v>2756</v>
      </c>
      <c r="F30" s="135">
        <f t="shared" si="6"/>
        <v>20394</v>
      </c>
      <c r="G30" s="135">
        <f t="shared" si="6"/>
        <v>3022463</v>
      </c>
      <c r="H30" s="135">
        <f t="shared" si="6"/>
        <v>572568</v>
      </c>
      <c r="I30" s="135">
        <f t="shared" si="6"/>
        <v>0</v>
      </c>
      <c r="J30" s="135">
        <f t="shared" si="6"/>
        <v>122462</v>
      </c>
      <c r="K30" s="135">
        <f t="shared" si="6"/>
        <v>52430</v>
      </c>
      <c r="L30" s="135">
        <f t="shared" si="6"/>
        <v>227457</v>
      </c>
      <c r="M30" s="135">
        <f t="shared" si="6"/>
        <v>4646616</v>
      </c>
      <c r="N30" s="161">
        <f>M30/1000000</f>
        <v>4.6466159999999999</v>
      </c>
      <c r="O30" s="87"/>
      <c r="R30" s="75">
        <f>G30-'3. Overall com progres Jun(ref)'!G30</f>
        <v>-586079</v>
      </c>
    </row>
    <row r="31" spans="1:18" s="75" customFormat="1" hidden="1" x14ac:dyDescent="0.3">
      <c r="A31" s="196" t="s">
        <v>27</v>
      </c>
      <c r="B31" s="151" t="s">
        <v>21</v>
      </c>
      <c r="C31" s="100">
        <v>0</v>
      </c>
      <c r="D31" s="99">
        <v>0</v>
      </c>
      <c r="E31" s="100">
        <v>0</v>
      </c>
      <c r="F31" s="100">
        <v>0</v>
      </c>
      <c r="G31" s="100">
        <v>0</v>
      </c>
      <c r="H31" s="100">
        <v>0</v>
      </c>
      <c r="I31" s="100">
        <v>0</v>
      </c>
      <c r="J31" s="100">
        <v>0</v>
      </c>
      <c r="K31" s="100">
        <v>0</v>
      </c>
      <c r="L31" s="100">
        <v>0</v>
      </c>
      <c r="M31" s="100">
        <f t="shared" si="0"/>
        <v>0</v>
      </c>
      <c r="N31" s="111"/>
      <c r="O31" s="87"/>
    </row>
    <row r="32" spans="1:18" s="75" customFormat="1" hidden="1" x14ac:dyDescent="0.3">
      <c r="A32" s="196"/>
      <c r="B32" s="152" t="s">
        <v>22</v>
      </c>
      <c r="C32" s="100">
        <v>0</v>
      </c>
      <c r="D32" s="99">
        <v>0</v>
      </c>
      <c r="E32" s="100">
        <v>0</v>
      </c>
      <c r="F32" s="100">
        <v>0</v>
      </c>
      <c r="G32" s="100">
        <v>0</v>
      </c>
      <c r="H32" s="100">
        <v>0</v>
      </c>
      <c r="I32" s="100">
        <v>0</v>
      </c>
      <c r="J32" s="100">
        <v>0</v>
      </c>
      <c r="K32" s="100">
        <v>0</v>
      </c>
      <c r="L32" s="100">
        <v>0</v>
      </c>
      <c r="M32" s="100">
        <f t="shared" si="0"/>
        <v>0</v>
      </c>
      <c r="N32" s="111"/>
      <c r="O32" s="87"/>
    </row>
    <row r="33" spans="1:18" s="75" customFormat="1" hidden="1" x14ac:dyDescent="0.3">
      <c r="A33" s="196"/>
      <c r="B33" s="157" t="s">
        <v>19</v>
      </c>
      <c r="C33" s="100">
        <v>0</v>
      </c>
      <c r="D33" s="99">
        <v>0</v>
      </c>
      <c r="E33" s="100">
        <v>0</v>
      </c>
      <c r="F33" s="100">
        <v>0</v>
      </c>
      <c r="G33" s="100">
        <v>0</v>
      </c>
      <c r="H33" s="100">
        <v>0</v>
      </c>
      <c r="I33" s="100">
        <v>0</v>
      </c>
      <c r="J33" s="100">
        <v>0</v>
      </c>
      <c r="K33" s="100">
        <v>0</v>
      </c>
      <c r="L33" s="100">
        <v>0</v>
      </c>
      <c r="M33" s="100">
        <f t="shared" si="0"/>
        <v>0</v>
      </c>
      <c r="N33" s="111"/>
      <c r="O33" s="87"/>
    </row>
    <row r="34" spans="1:18" s="81" customFormat="1" hidden="1" x14ac:dyDescent="0.3">
      <c r="A34" s="207" t="s">
        <v>28</v>
      </c>
      <c r="B34" s="155" t="s">
        <v>21</v>
      </c>
      <c r="C34" s="100">
        <v>0</v>
      </c>
      <c r="D34" s="99">
        <v>0</v>
      </c>
      <c r="E34" s="100">
        <v>0</v>
      </c>
      <c r="F34" s="100">
        <v>0</v>
      </c>
      <c r="G34" s="100">
        <v>0</v>
      </c>
      <c r="H34" s="100">
        <v>0</v>
      </c>
      <c r="I34" s="100">
        <v>0</v>
      </c>
      <c r="J34" s="100">
        <v>0</v>
      </c>
      <c r="K34" s="100">
        <v>0</v>
      </c>
      <c r="L34" s="100">
        <v>0</v>
      </c>
      <c r="M34" s="100">
        <f t="shared" si="0"/>
        <v>0</v>
      </c>
      <c r="N34" s="111"/>
      <c r="O34" s="87"/>
    </row>
    <row r="35" spans="1:18" s="81" customFormat="1" hidden="1" x14ac:dyDescent="0.3">
      <c r="A35" s="207"/>
      <c r="B35" s="144" t="s">
        <v>22</v>
      </c>
      <c r="C35" s="100">
        <v>0</v>
      </c>
      <c r="D35" s="99">
        <v>0</v>
      </c>
      <c r="E35" s="100">
        <v>0</v>
      </c>
      <c r="F35" s="100">
        <v>0</v>
      </c>
      <c r="G35" s="100">
        <v>0</v>
      </c>
      <c r="H35" s="100">
        <v>0</v>
      </c>
      <c r="I35" s="100">
        <v>0</v>
      </c>
      <c r="J35" s="100">
        <v>0</v>
      </c>
      <c r="K35" s="100">
        <v>0</v>
      </c>
      <c r="L35" s="100">
        <v>0</v>
      </c>
      <c r="M35" s="100">
        <f t="shared" si="0"/>
        <v>0</v>
      </c>
      <c r="N35" s="111"/>
      <c r="O35" s="87"/>
    </row>
    <row r="36" spans="1:18" s="81" customFormat="1" hidden="1" x14ac:dyDescent="0.3">
      <c r="A36" s="207"/>
      <c r="B36" s="158" t="s">
        <v>19</v>
      </c>
      <c r="C36" s="100">
        <v>0</v>
      </c>
      <c r="D36" s="99">
        <v>0</v>
      </c>
      <c r="E36" s="100">
        <v>0</v>
      </c>
      <c r="F36" s="100">
        <v>0</v>
      </c>
      <c r="G36" s="100">
        <v>0</v>
      </c>
      <c r="H36" s="100">
        <v>0</v>
      </c>
      <c r="I36" s="100">
        <v>0</v>
      </c>
      <c r="J36" s="100">
        <v>0</v>
      </c>
      <c r="K36" s="100">
        <v>0</v>
      </c>
      <c r="L36" s="100">
        <v>0</v>
      </c>
      <c r="M36" s="100">
        <f t="shared" si="0"/>
        <v>0</v>
      </c>
      <c r="N36" s="111"/>
      <c r="O36" s="87"/>
    </row>
    <row r="37" spans="1:18" s="87" customFormat="1" hidden="1" x14ac:dyDescent="0.3">
      <c r="A37" s="208" t="s">
        <v>29</v>
      </c>
      <c r="B37" s="159" t="s">
        <v>21</v>
      </c>
      <c r="C37" s="100">
        <v>0</v>
      </c>
      <c r="D37" s="99">
        <v>0</v>
      </c>
      <c r="E37" s="100">
        <v>0</v>
      </c>
      <c r="F37" s="100">
        <v>0</v>
      </c>
      <c r="G37" s="100">
        <v>0</v>
      </c>
      <c r="H37" s="100">
        <v>0</v>
      </c>
      <c r="I37" s="100">
        <v>0</v>
      </c>
      <c r="J37" s="100">
        <v>0</v>
      </c>
      <c r="K37" s="100">
        <v>0</v>
      </c>
      <c r="L37" s="100">
        <v>0</v>
      </c>
      <c r="M37" s="100">
        <f t="shared" si="0"/>
        <v>0</v>
      </c>
      <c r="N37" s="111"/>
    </row>
    <row r="38" spans="1:18" s="87" customFormat="1" hidden="1" x14ac:dyDescent="0.3">
      <c r="A38" s="208"/>
      <c r="B38" s="100" t="s">
        <v>22</v>
      </c>
      <c r="C38" s="100">
        <v>0</v>
      </c>
      <c r="D38" s="99">
        <v>0</v>
      </c>
      <c r="E38" s="100">
        <v>0</v>
      </c>
      <c r="F38" s="100">
        <v>0</v>
      </c>
      <c r="G38" s="100">
        <v>0</v>
      </c>
      <c r="H38" s="100">
        <v>0</v>
      </c>
      <c r="I38" s="100">
        <v>0</v>
      </c>
      <c r="J38" s="100">
        <v>0</v>
      </c>
      <c r="K38" s="100">
        <v>0</v>
      </c>
      <c r="L38" s="100">
        <v>0</v>
      </c>
      <c r="M38" s="100">
        <f t="shared" si="0"/>
        <v>0</v>
      </c>
      <c r="N38" s="111"/>
    </row>
    <row r="39" spans="1:18" s="87" customFormat="1" hidden="1" x14ac:dyDescent="0.3">
      <c r="A39" s="208"/>
      <c r="B39" s="160" t="s">
        <v>19</v>
      </c>
      <c r="C39" s="100">
        <v>0</v>
      </c>
      <c r="D39" s="99">
        <v>0</v>
      </c>
      <c r="E39" s="100">
        <v>0</v>
      </c>
      <c r="F39" s="100">
        <v>0</v>
      </c>
      <c r="G39" s="100">
        <v>0</v>
      </c>
      <c r="H39" s="100">
        <v>0</v>
      </c>
      <c r="I39" s="100">
        <v>0</v>
      </c>
      <c r="J39" s="100">
        <v>0</v>
      </c>
      <c r="K39" s="100">
        <v>0</v>
      </c>
      <c r="L39" s="100">
        <v>0</v>
      </c>
      <c r="M39" s="100">
        <f t="shared" si="0"/>
        <v>0</v>
      </c>
      <c r="N39" s="111"/>
    </row>
    <row r="40" spans="1:18" s="87" customFormat="1" x14ac:dyDescent="0.3">
      <c r="A40" s="203" t="s">
        <v>245</v>
      </c>
      <c r="B40" s="151" t="s">
        <v>21</v>
      </c>
      <c r="C40" s="100">
        <f>'[2]2. Overall com progres Sep 11'!C40</f>
        <v>0</v>
      </c>
      <c r="D40" s="100">
        <f>'3. Overall com progres Jun(ref)'!D40</f>
        <v>0</v>
      </c>
      <c r="E40" s="100">
        <v>0</v>
      </c>
      <c r="F40" s="100">
        <f>'[6]3. Overall com progres Jun(ref)'!F40</f>
        <v>10996</v>
      </c>
      <c r="G40" s="100">
        <v>512019</v>
      </c>
      <c r="H40" s="100">
        <f>'[5]2. Overall com progres Sep 11'!H40</f>
        <v>0</v>
      </c>
      <c r="I40" s="100">
        <f>'3. Overall com progres Jun(ref)'!I40</f>
        <v>0</v>
      </c>
      <c r="J40" s="100">
        <f>'[7]2. Overall com progres Sep 11'!$J40</f>
        <v>145618</v>
      </c>
      <c r="K40" s="100">
        <f>'[8]2. Overall com progres Sep 11'!K40</f>
        <v>5834</v>
      </c>
      <c r="L40" s="100">
        <f>'[4]2. Overall com progres Sept 11'!C40</f>
        <v>61692</v>
      </c>
      <c r="M40" s="100">
        <f t="shared" si="0"/>
        <v>736159</v>
      </c>
      <c r="R40" s="75">
        <f>G40-'3. Overall com progres Jun(ref)'!G40</f>
        <v>24441</v>
      </c>
    </row>
    <row r="41" spans="1:18" s="87" customFormat="1" x14ac:dyDescent="0.3">
      <c r="A41" s="203"/>
      <c r="B41" s="152" t="s">
        <v>22</v>
      </c>
      <c r="C41" s="100">
        <f>'[2]2. Overall com progres Sep 11'!C41</f>
        <v>0</v>
      </c>
      <c r="D41" s="100">
        <f>'3. Overall com progres Jun(ref)'!D41</f>
        <v>0</v>
      </c>
      <c r="E41" s="100">
        <v>0</v>
      </c>
      <c r="F41" s="100">
        <f>'[6]3. Overall com progres Jun(ref)'!F41</f>
        <v>5967</v>
      </c>
      <c r="G41" s="100">
        <v>1695123</v>
      </c>
      <c r="H41" s="100">
        <f>'[5]2. Overall com progres Sep 11'!H41</f>
        <v>0</v>
      </c>
      <c r="I41" s="100">
        <f>'3. Overall com progres Jun(ref)'!I41</f>
        <v>0</v>
      </c>
      <c r="J41" s="100">
        <f>'[7]2. Overall com progres Sep 11'!$J41</f>
        <v>30794</v>
      </c>
      <c r="K41" s="100">
        <f>'[8]2. Overall com progres Sep 11'!K41</f>
        <v>21566</v>
      </c>
      <c r="L41" s="100">
        <f>'[4]2. Overall com progres Sept 11'!C41</f>
        <v>63901</v>
      </c>
      <c r="M41" s="100">
        <f t="shared" si="0"/>
        <v>1817351</v>
      </c>
      <c r="R41" s="75">
        <f>G41-'3. Overall com progres Jun(ref)'!G41</f>
        <v>13166</v>
      </c>
    </row>
    <row r="42" spans="1:18" s="87" customFormat="1" x14ac:dyDescent="0.3">
      <c r="A42" s="203"/>
      <c r="B42" s="153" t="s">
        <v>19</v>
      </c>
      <c r="C42" s="135">
        <f t="shared" ref="C42:M42" si="7">SUM(C40:C41)</f>
        <v>0</v>
      </c>
      <c r="D42" s="135">
        <f t="shared" si="7"/>
        <v>0</v>
      </c>
      <c r="E42" s="135">
        <f t="shared" si="7"/>
        <v>0</v>
      </c>
      <c r="F42" s="135">
        <f t="shared" si="7"/>
        <v>16963</v>
      </c>
      <c r="G42" s="135">
        <f t="shared" si="7"/>
        <v>2207142</v>
      </c>
      <c r="H42" s="135">
        <f t="shared" si="7"/>
        <v>0</v>
      </c>
      <c r="I42" s="135">
        <f t="shared" si="7"/>
        <v>0</v>
      </c>
      <c r="J42" s="135">
        <f t="shared" si="7"/>
        <v>176412</v>
      </c>
      <c r="K42" s="135">
        <f t="shared" si="7"/>
        <v>27400</v>
      </c>
      <c r="L42" s="135">
        <f t="shared" si="7"/>
        <v>125593</v>
      </c>
      <c r="M42" s="135">
        <f t="shared" si="7"/>
        <v>2553510</v>
      </c>
      <c r="N42" s="81">
        <f>M42/1000000</f>
        <v>2.5535100000000002</v>
      </c>
      <c r="R42" s="75">
        <f>G42-'3. Overall com progres Jun(ref)'!G42</f>
        <v>37607</v>
      </c>
    </row>
    <row r="43" spans="1:18" s="75" customFormat="1" ht="13.2" customHeight="1" x14ac:dyDescent="0.3">
      <c r="A43" s="209" t="s">
        <v>246</v>
      </c>
      <c r="B43" s="152" t="s">
        <v>21</v>
      </c>
      <c r="C43" s="100">
        <f>'[2]2. Overall com progres Sep 11'!C43</f>
        <v>0</v>
      </c>
      <c r="D43" s="100">
        <f>'3. Overall com progres Jun(ref)'!D43</f>
        <v>0</v>
      </c>
      <c r="E43" s="100">
        <v>0</v>
      </c>
      <c r="F43" s="100">
        <f>'[6]3. Overall com progres Jun(ref)'!F43</f>
        <v>10996</v>
      </c>
      <c r="G43" s="100">
        <v>1335791</v>
      </c>
      <c r="H43" s="100">
        <f>'[5]2. Overall com progres Sep 11'!H43</f>
        <v>0</v>
      </c>
      <c r="I43" s="100">
        <f>'3. Overall com progres Jun(ref)'!I43</f>
        <v>0</v>
      </c>
      <c r="J43" s="100">
        <f>'[7]2. Overall com progres Sep 11'!$J43</f>
        <v>298204</v>
      </c>
      <c r="K43" s="100">
        <f>'[8]2. Overall com progres Sep 11'!K43</f>
        <v>5834</v>
      </c>
      <c r="L43" s="100">
        <f>'[4]2. Overall com progres Sept 11'!C43</f>
        <v>71615</v>
      </c>
      <c r="M43" s="100">
        <f t="shared" si="0"/>
        <v>1722440</v>
      </c>
      <c r="N43" s="81">
        <f>M43/1000000</f>
        <v>1.72244</v>
      </c>
      <c r="O43" s="87"/>
      <c r="R43" s="75">
        <f>G43-'3. Overall com progres Jun(ref)'!G43</f>
        <v>30852</v>
      </c>
    </row>
    <row r="44" spans="1:18" s="75" customFormat="1" x14ac:dyDescent="0.3">
      <c r="A44" s="209"/>
      <c r="B44" s="152" t="s">
        <v>22</v>
      </c>
      <c r="C44" s="100">
        <f>'[2]2. Overall com progres Sep 11'!C44</f>
        <v>0</v>
      </c>
      <c r="D44" s="100">
        <f>'3. Overall com progres Jun(ref)'!D44</f>
        <v>0</v>
      </c>
      <c r="E44" s="100">
        <v>0</v>
      </c>
      <c r="F44" s="100">
        <f>'[6]3. Overall com progres Jun(ref)'!F44</f>
        <v>5967</v>
      </c>
      <c r="G44" s="100">
        <v>2307226</v>
      </c>
      <c r="H44" s="100">
        <f>'[5]2. Overall com progres Sep 11'!H44</f>
        <v>0</v>
      </c>
      <c r="I44" s="100">
        <f>'3. Overall com progres Jun(ref)'!I44</f>
        <v>0</v>
      </c>
      <c r="J44" s="100">
        <f>'[7]2. Overall com progres Sep 11'!$J44</f>
        <v>230769</v>
      </c>
      <c r="K44" s="100">
        <f>'[8]2. Overall com progres Sep 11'!K44</f>
        <v>21566</v>
      </c>
      <c r="L44" s="100">
        <f>'[4]2. Overall com progres Sept 11'!C44</f>
        <v>68909</v>
      </c>
      <c r="M44" s="100">
        <f t="shared" si="0"/>
        <v>2634437</v>
      </c>
      <c r="N44" s="111"/>
      <c r="O44" s="87"/>
      <c r="R44" s="75">
        <f>G44-'3. Overall com progres Jun(ref)'!G44</f>
        <v>28886</v>
      </c>
    </row>
    <row r="45" spans="1:18" s="75" customFormat="1" x14ac:dyDescent="0.3">
      <c r="A45" s="209"/>
      <c r="B45" s="153" t="s">
        <v>19</v>
      </c>
      <c r="C45" s="135">
        <f t="shared" ref="C45:M45" si="8">SUM(C43:C44)</f>
        <v>0</v>
      </c>
      <c r="D45" s="135">
        <f t="shared" si="8"/>
        <v>0</v>
      </c>
      <c r="E45" s="135">
        <f t="shared" si="8"/>
        <v>0</v>
      </c>
      <c r="F45" s="135">
        <f t="shared" si="8"/>
        <v>16963</v>
      </c>
      <c r="G45" s="135">
        <f t="shared" si="8"/>
        <v>3643017</v>
      </c>
      <c r="H45" s="135">
        <f t="shared" si="8"/>
        <v>0</v>
      </c>
      <c r="I45" s="135">
        <f t="shared" si="8"/>
        <v>0</v>
      </c>
      <c r="J45" s="135">
        <f t="shared" si="8"/>
        <v>528973</v>
      </c>
      <c r="K45" s="135">
        <f t="shared" si="8"/>
        <v>27400</v>
      </c>
      <c r="L45" s="135">
        <f t="shared" si="8"/>
        <v>140524</v>
      </c>
      <c r="M45" s="135">
        <f t="shared" si="8"/>
        <v>4356877</v>
      </c>
      <c r="N45" s="81">
        <f>M45/1000000</f>
        <v>4.3568769999999999</v>
      </c>
      <c r="O45" s="87"/>
      <c r="R45" s="75">
        <f>G45-'3. Overall com progres Jun(ref)'!G45</f>
        <v>59738</v>
      </c>
    </row>
    <row r="46" spans="1:18" s="90" customFormat="1" x14ac:dyDescent="0.3">
      <c r="A46" s="199" t="s">
        <v>31</v>
      </c>
      <c r="B46" s="200"/>
      <c r="C46" s="100">
        <f>'[2]2. Overall com progres Sep 11'!C46</f>
        <v>940</v>
      </c>
      <c r="D46" s="100">
        <f>'3. Overall com progres Jun(ref)'!D46</f>
        <v>3576</v>
      </c>
      <c r="E46" s="100">
        <v>1013</v>
      </c>
      <c r="F46" s="100">
        <f>'[6]3. Overall com progres Jun(ref)'!F46</f>
        <v>458</v>
      </c>
      <c r="G46" s="100">
        <v>24976</v>
      </c>
      <c r="H46" s="100">
        <f>'[5]2. Overall com progres Sep 11'!H46</f>
        <v>6610</v>
      </c>
      <c r="I46" s="100">
        <f>'3. Overall com progres Jun(ref)'!I46</f>
        <v>0</v>
      </c>
      <c r="J46" s="100">
        <f>'[7]2. Overall com progres Sep 11'!$J46</f>
        <v>29774</v>
      </c>
      <c r="K46" s="100">
        <f>'[8]2. Overall com progres Sep 11'!K46</f>
        <v>6499</v>
      </c>
      <c r="L46" s="100">
        <f>'[4]2. Overall com progres Sept 11'!C46</f>
        <v>50408</v>
      </c>
      <c r="M46" s="100">
        <f t="shared" si="0"/>
        <v>124254</v>
      </c>
      <c r="N46" s="111"/>
      <c r="O46" s="87"/>
      <c r="R46" s="75">
        <f>G46-'3. Overall com progres Jun(ref)'!G46</f>
        <v>641</v>
      </c>
    </row>
    <row r="47" spans="1:18" s="90" customFormat="1" x14ac:dyDescent="0.3">
      <c r="A47" s="199" t="s">
        <v>32</v>
      </c>
      <c r="B47" s="200"/>
      <c r="C47" s="100">
        <f>'[2]2. Overall com progres Sep 11'!C47</f>
        <v>850</v>
      </c>
      <c r="D47" s="100">
        <f>'3. Overall com progres Jun(ref)'!D47</f>
        <v>3576</v>
      </c>
      <c r="E47" s="100">
        <v>1013</v>
      </c>
      <c r="F47" s="100">
        <f>'[6]3. Overall com progres Jun(ref)'!F47</f>
        <v>458</v>
      </c>
      <c r="G47" s="100">
        <v>23584</v>
      </c>
      <c r="H47" s="100">
        <f>'[5]2. Overall com progres Sep 11'!H47</f>
        <v>6381</v>
      </c>
      <c r="I47" s="100">
        <f>'3. Overall com progres Jun(ref)'!I47</f>
        <v>16</v>
      </c>
      <c r="J47" s="100">
        <f>'[7]2. Overall com progres Sep 11'!$J47</f>
        <v>29774</v>
      </c>
      <c r="K47" s="100">
        <f>'[8]2. Overall com progres Sep 11'!K47</f>
        <v>6260</v>
      </c>
      <c r="L47" s="100">
        <f>'[4]2. Overall com progres Sept 11'!C47</f>
        <v>49827</v>
      </c>
      <c r="M47" s="100">
        <f t="shared" si="0"/>
        <v>121739</v>
      </c>
      <c r="N47" s="111"/>
      <c r="O47" s="87"/>
      <c r="R47" s="75">
        <f>G47-'3. Overall com progres Jun(ref)'!G47</f>
        <v>879</v>
      </c>
    </row>
    <row r="48" spans="1:18" s="91" customFormat="1" x14ac:dyDescent="0.3">
      <c r="A48" s="199" t="s">
        <v>33</v>
      </c>
      <c r="B48" s="200"/>
      <c r="C48" s="100">
        <f>'[2]2. Overall com progres Sep 11'!C48</f>
        <v>78620</v>
      </c>
      <c r="D48" s="100">
        <f>'3. Overall com progres Jun(ref)'!D48</f>
        <v>284440</v>
      </c>
      <c r="E48" s="100">
        <v>54407</v>
      </c>
      <c r="F48" s="100">
        <f>'[6]3. Overall com progres Jun(ref)'!F48</f>
        <v>56974</v>
      </c>
      <c r="G48" s="100">
        <v>1017987</v>
      </c>
      <c r="H48" s="100">
        <f>'[5]2. Overall com progres Sep 11'!H48</f>
        <v>709744</v>
      </c>
      <c r="I48" s="100">
        <f>'3. Overall com progres Jun(ref)'!I48</f>
        <v>0</v>
      </c>
      <c r="J48" s="100">
        <f>'[7]2. Overall com progres Sep 11'!$J48</f>
        <v>96823</v>
      </c>
      <c r="K48" s="100">
        <f>'[8]2. Overall com progres Sep 11'!K48</f>
        <v>1346799</v>
      </c>
      <c r="L48" s="100">
        <f>'[4]2. Overall com progres Sept 11'!C48</f>
        <v>314716</v>
      </c>
      <c r="M48" s="100">
        <f t="shared" si="0"/>
        <v>3960510</v>
      </c>
      <c r="N48" s="81">
        <f>M48/1000000</f>
        <v>3.9605100000000002</v>
      </c>
      <c r="O48" s="87"/>
      <c r="R48" s="75">
        <f>G48-'3. Overall com progres Jun(ref)'!G48</f>
        <v>19514</v>
      </c>
    </row>
    <row r="49" spans="1:18" s="92" customFormat="1" x14ac:dyDescent="0.3">
      <c r="A49" s="192" t="s">
        <v>34</v>
      </c>
      <c r="B49" s="193"/>
      <c r="C49" s="100">
        <f>'[2]2. Overall com progres Sep 11'!C49</f>
        <v>561</v>
      </c>
      <c r="D49" s="100">
        <f>'3. Overall com progres Jun(ref)'!D49</f>
        <v>1825.46</v>
      </c>
      <c r="E49" s="146">
        <v>492</v>
      </c>
      <c r="F49" s="100">
        <f>'[6]3. Overall com progres Jun(ref)'!F49</f>
        <v>124</v>
      </c>
      <c r="G49" s="100">
        <v>5648.0360099999998</v>
      </c>
      <c r="H49" s="100">
        <f>'[5]2. Overall com progres Sep 11'!H49</f>
        <v>1675.4444720000001</v>
      </c>
      <c r="I49" s="100">
        <f>'3. Overall com progres Jun(ref)'!I49</f>
        <v>20</v>
      </c>
      <c r="J49" s="100">
        <f>'[7]2. Overall com progres Sep 11'!$J49</f>
        <v>1745</v>
      </c>
      <c r="K49" s="100">
        <f>'[8]2. Overall com progres Sep 11'!K49</f>
        <v>3080.8</v>
      </c>
      <c r="L49" s="100">
        <f>'[4]2. Overall com progres Sept 11'!C49</f>
        <v>662.76</v>
      </c>
      <c r="M49" s="146">
        <f t="shared" si="0"/>
        <v>15834.500481999998</v>
      </c>
      <c r="N49" s="111">
        <f>M49/90</f>
        <v>175.93889424444441</v>
      </c>
      <c r="O49" s="162">
        <f>M49/85</f>
        <v>186.28824096470586</v>
      </c>
      <c r="R49" s="75">
        <f>G49-'3. Overall com progres Jun(ref)'!G49</f>
        <v>188.63316299999951</v>
      </c>
    </row>
    <row r="50" spans="1:18" s="93" customFormat="1" x14ac:dyDescent="0.3">
      <c r="A50" s="194" t="s">
        <v>35</v>
      </c>
      <c r="B50" s="195" t="s">
        <v>36</v>
      </c>
      <c r="C50" s="100">
        <f>'[2]2. Overall com progres Sep 11'!C50</f>
        <v>0</v>
      </c>
      <c r="D50" s="100">
        <f>'3. Overall com progres Jun(ref)'!D50</f>
        <v>867</v>
      </c>
      <c r="E50" s="100">
        <v>81</v>
      </c>
      <c r="F50" s="100">
        <f>'[6]3. Overall com progres Jun(ref)'!F50</f>
        <v>12</v>
      </c>
      <c r="G50" s="100">
        <v>504</v>
      </c>
      <c r="H50" s="100">
        <v>277</v>
      </c>
      <c r="I50" s="100">
        <f>'3. Overall com progres Jun(ref)'!I50</f>
        <v>17</v>
      </c>
      <c r="J50" s="100">
        <f>'[7]2. Overall com progres Sep 11'!$J50</f>
        <v>2</v>
      </c>
      <c r="K50" s="100">
        <f>'[8]2. Overall com progres Sep 11'!K50</f>
        <v>73</v>
      </c>
      <c r="L50" s="100">
        <f>'[4]2. Overall com progres Sept 11'!C50</f>
        <v>110</v>
      </c>
      <c r="M50" s="100">
        <f t="shared" si="0"/>
        <v>1943</v>
      </c>
      <c r="N50" s="111"/>
      <c r="O50" s="87"/>
      <c r="R50" s="75">
        <f>G50-'3. Overall com progres Jun(ref)'!G50</f>
        <v>0</v>
      </c>
    </row>
    <row r="51" spans="1:18" s="75" customFormat="1" x14ac:dyDescent="0.3">
      <c r="A51" s="196" t="s">
        <v>37</v>
      </c>
      <c r="B51" s="76" t="s">
        <v>36</v>
      </c>
      <c r="C51" s="100">
        <f>'[2]2. Overall com progres Sep 11'!C51</f>
        <v>0</v>
      </c>
      <c r="D51" s="100">
        <f>'3. Overall com progres Jun(ref)'!D51</f>
        <v>2900</v>
      </c>
      <c r="E51" s="100">
        <v>700</v>
      </c>
      <c r="F51" s="100">
        <f>'[6]3. Overall com progres Jun(ref)'!F51</f>
        <v>780</v>
      </c>
      <c r="G51" s="100">
        <v>8041</v>
      </c>
      <c r="H51" s="100">
        <v>8968</v>
      </c>
      <c r="I51" s="100">
        <f>'3. Overall com progres Jun(ref)'!I51</f>
        <v>0</v>
      </c>
      <c r="J51" s="100">
        <f>'[7]2. Overall com progres Sep 11'!$J51</f>
        <v>25</v>
      </c>
      <c r="K51" s="100">
        <f>'[8]2. Overall com progres Sep 11'!K51</f>
        <v>1991</v>
      </c>
      <c r="L51" s="100">
        <f>'[4]2. Overall com progres Sept 11'!C51</f>
        <v>0</v>
      </c>
      <c r="M51" s="100">
        <f t="shared" si="0"/>
        <v>23405</v>
      </c>
      <c r="N51" s="111"/>
      <c r="O51" s="87"/>
      <c r="R51" s="75">
        <f>G51-'3. Overall com progres Jun(ref)'!G51</f>
        <v>0</v>
      </c>
    </row>
    <row r="52" spans="1:18" s="75" customFormat="1" x14ac:dyDescent="0.3">
      <c r="A52" s="196"/>
      <c r="B52" s="77" t="s">
        <v>38</v>
      </c>
      <c r="C52" s="100">
        <f>'[2]2. Overall com progres Sep 11'!C52</f>
        <v>0</v>
      </c>
      <c r="D52" s="100">
        <f>'3. Overall com progres Jun(ref)'!D52</f>
        <v>7375</v>
      </c>
      <c r="E52" s="100">
        <v>804</v>
      </c>
      <c r="F52" s="100">
        <f>'[6]3. Overall com progres Jun(ref)'!F52</f>
        <v>608</v>
      </c>
      <c r="G52" s="100">
        <v>8853</v>
      </c>
      <c r="H52" s="100">
        <v>8863</v>
      </c>
      <c r="I52" s="100">
        <f>'3. Overall com progres Jun(ref)'!I52</f>
        <v>0</v>
      </c>
      <c r="J52" s="100">
        <f>'[7]2. Overall com progres Sep 11'!$J52</f>
        <v>55</v>
      </c>
      <c r="K52" s="100">
        <f>'[8]2. Overall com progres Sep 11'!K52</f>
        <v>2470</v>
      </c>
      <c r="L52" s="100">
        <f>'[4]2. Overall com progres Sept 11'!C52</f>
        <v>0</v>
      </c>
      <c r="M52" s="100">
        <f t="shared" si="0"/>
        <v>29028</v>
      </c>
      <c r="N52" s="111"/>
      <c r="O52" s="87"/>
      <c r="R52" s="75">
        <f>G52-'3. Overall com progres Jun(ref)'!G52</f>
        <v>0</v>
      </c>
    </row>
    <row r="53" spans="1:18" s="75" customFormat="1" x14ac:dyDescent="0.3">
      <c r="A53" s="196"/>
      <c r="B53" s="78" t="s">
        <v>19</v>
      </c>
      <c r="C53" s="135">
        <f t="shared" ref="C53:M53" si="9">SUM(C51:C52)</f>
        <v>0</v>
      </c>
      <c r="D53" s="135">
        <f t="shared" si="9"/>
        <v>10275</v>
      </c>
      <c r="E53" s="135">
        <f t="shared" si="9"/>
        <v>1504</v>
      </c>
      <c r="F53" s="135">
        <f t="shared" si="9"/>
        <v>1388</v>
      </c>
      <c r="G53" s="135">
        <f t="shared" si="9"/>
        <v>16894</v>
      </c>
      <c r="H53" s="135">
        <f t="shared" si="9"/>
        <v>17831</v>
      </c>
      <c r="I53" s="135">
        <f t="shared" si="9"/>
        <v>0</v>
      </c>
      <c r="J53" s="135">
        <f t="shared" si="9"/>
        <v>80</v>
      </c>
      <c r="K53" s="135">
        <f t="shared" si="9"/>
        <v>4461</v>
      </c>
      <c r="L53" s="135">
        <f t="shared" si="9"/>
        <v>0</v>
      </c>
      <c r="M53" s="135">
        <f t="shared" si="9"/>
        <v>52433</v>
      </c>
      <c r="N53" s="112">
        <f>M51/M53%</f>
        <v>44.637918867888537</v>
      </c>
      <c r="O53" s="87"/>
      <c r="R53" s="75">
        <f>G53-'3. Overall com progres Jun(ref)'!G53</f>
        <v>0</v>
      </c>
    </row>
    <row r="54" spans="1:18" s="75" customFormat="1" x14ac:dyDescent="0.3">
      <c r="A54" s="197" t="s">
        <v>39</v>
      </c>
      <c r="B54" s="76" t="s">
        <v>21</v>
      </c>
      <c r="C54" s="100">
        <f>'[2]2. Overall com progres Sep 11'!C54</f>
        <v>0</v>
      </c>
      <c r="D54" s="100">
        <f>'3. Overall com progres Jun(ref)'!D54</f>
        <v>0</v>
      </c>
      <c r="E54" s="100"/>
      <c r="F54" s="100">
        <f>'[6]3. Overall com progres Jun(ref)'!F54</f>
        <v>0</v>
      </c>
      <c r="G54" s="100">
        <v>21563</v>
      </c>
      <c r="H54" s="100">
        <f>'[5]2. Overall com progres Sep 11'!H54</f>
        <v>0</v>
      </c>
      <c r="I54" s="100">
        <f>'3. Overall com progres Jun(ref)'!I54</f>
        <v>0</v>
      </c>
      <c r="J54" s="100">
        <f>'[7]2. Overall com progres Sep 11'!$J54</f>
        <v>58</v>
      </c>
      <c r="K54" s="100">
        <f>'[8]2. Overall com progres Sep 11'!K54</f>
        <v>55</v>
      </c>
      <c r="L54" s="100">
        <f>'[4]2. Overall com progres Sept 11'!C54</f>
        <v>0</v>
      </c>
      <c r="M54" s="100">
        <f t="shared" si="0"/>
        <v>21676</v>
      </c>
      <c r="N54" s="111"/>
      <c r="O54" s="87"/>
      <c r="R54" s="75">
        <f>G54-'3. Overall com progres Jun(ref)'!G54</f>
        <v>0</v>
      </c>
    </row>
    <row r="55" spans="1:18" s="75" customFormat="1" x14ac:dyDescent="0.3">
      <c r="A55" s="197"/>
      <c r="B55" s="77" t="s">
        <v>22</v>
      </c>
      <c r="C55" s="100">
        <f>'[2]2. Overall com progres Sep 11'!C55</f>
        <v>0</v>
      </c>
      <c r="D55" s="100">
        <f>'3. Overall com progres Jun(ref)'!D55</f>
        <v>0</v>
      </c>
      <c r="E55" s="100"/>
      <c r="F55" s="100">
        <f>'[6]3. Overall com progres Jun(ref)'!F55</f>
        <v>0</v>
      </c>
      <c r="G55" s="100">
        <v>2244</v>
      </c>
      <c r="H55" s="100">
        <f>'[5]2. Overall com progres Sep 11'!H55</f>
        <v>0</v>
      </c>
      <c r="I55" s="100">
        <f>'3. Overall com progres Jun(ref)'!I55</f>
        <v>0</v>
      </c>
      <c r="J55" s="100">
        <f>'[7]2. Overall com progres Sep 11'!$J55</f>
        <v>0</v>
      </c>
      <c r="K55" s="100">
        <f>'[8]2. Overall com progres Sep 11'!K55</f>
        <v>38</v>
      </c>
      <c r="L55" s="100">
        <f>'[4]2. Overall com progres Sept 11'!C55</f>
        <v>0</v>
      </c>
      <c r="M55" s="100">
        <f t="shared" si="0"/>
        <v>2282</v>
      </c>
      <c r="N55" s="111"/>
      <c r="O55" s="87"/>
      <c r="R55" s="75">
        <f>G55-'3. Overall com progres Jun(ref)'!G55</f>
        <v>70</v>
      </c>
    </row>
    <row r="56" spans="1:18" s="75" customFormat="1" x14ac:dyDescent="0.3">
      <c r="A56" s="197"/>
      <c r="B56" s="78" t="s">
        <v>19</v>
      </c>
      <c r="C56" s="135">
        <f t="shared" ref="C56:M56" si="10">SUM(C54:C55)</f>
        <v>0</v>
      </c>
      <c r="D56" s="135">
        <f t="shared" si="10"/>
        <v>0</v>
      </c>
      <c r="E56" s="135">
        <f t="shared" si="10"/>
        <v>0</v>
      </c>
      <c r="F56" s="135">
        <f t="shared" si="10"/>
        <v>0</v>
      </c>
      <c r="G56" s="135">
        <f t="shared" si="10"/>
        <v>23807</v>
      </c>
      <c r="H56" s="135">
        <f t="shared" si="10"/>
        <v>0</v>
      </c>
      <c r="I56" s="135">
        <f t="shared" si="10"/>
        <v>0</v>
      </c>
      <c r="J56" s="135">
        <f t="shared" si="10"/>
        <v>58</v>
      </c>
      <c r="K56" s="135">
        <f t="shared" si="10"/>
        <v>93</v>
      </c>
      <c r="L56" s="135">
        <f t="shared" si="10"/>
        <v>0</v>
      </c>
      <c r="M56" s="135">
        <f t="shared" si="10"/>
        <v>23958</v>
      </c>
      <c r="N56" s="111"/>
      <c r="O56" s="87"/>
      <c r="R56" s="75">
        <f>G56-'3. Overall com progres Jun(ref)'!G56</f>
        <v>70</v>
      </c>
    </row>
    <row r="57" spans="1:18" s="75" customFormat="1" x14ac:dyDescent="0.3">
      <c r="A57" s="196" t="s">
        <v>235</v>
      </c>
      <c r="B57" s="76" t="s">
        <v>21</v>
      </c>
      <c r="C57" s="100">
        <f>'[2]2. Overall com progres Sep 11'!C57</f>
        <v>31</v>
      </c>
      <c r="D57" s="100">
        <f>'3. Overall com progres Jun(ref)'!D57</f>
        <v>1243</v>
      </c>
      <c r="E57" s="100">
        <v>1091</v>
      </c>
      <c r="F57" s="100">
        <f>'[6]3. Overall com progres Jun(ref)'!F57</f>
        <v>95</v>
      </c>
      <c r="G57" s="100">
        <v>3153</v>
      </c>
      <c r="H57" s="100">
        <f>'[5]2. Overall com progres Sep 11'!H57</f>
        <v>8442</v>
      </c>
      <c r="I57" s="100">
        <f>'3. Overall com progres Jun(ref)'!I57</f>
        <v>0</v>
      </c>
      <c r="J57" s="100">
        <f>'[7]2. Overall com progres Sep 11'!$J57</f>
        <v>3005</v>
      </c>
      <c r="K57" s="100">
        <f>'[8]2. Overall com progres Sep 11'!K57</f>
        <v>1066</v>
      </c>
      <c r="L57" s="100">
        <f>'[4]2. Overall com progres Sept 11'!C57</f>
        <v>675</v>
      </c>
      <c r="M57" s="100">
        <f t="shared" si="0"/>
        <v>18801</v>
      </c>
      <c r="N57" s="111"/>
      <c r="O57" s="87"/>
      <c r="R57" s="75">
        <f>G57-'3. Overall com progres Jun(ref)'!G57</f>
        <v>0</v>
      </c>
    </row>
    <row r="58" spans="1:18" s="75" customFormat="1" x14ac:dyDescent="0.3">
      <c r="A58" s="196"/>
      <c r="B58" s="77" t="s">
        <v>22</v>
      </c>
      <c r="C58" s="100">
        <f>'[2]2. Overall com progres Sep 11'!C58</f>
        <v>0</v>
      </c>
      <c r="D58" s="100">
        <f>'3. Overall com progres Jun(ref)'!D58</f>
        <v>0</v>
      </c>
      <c r="E58" s="100">
        <v>0</v>
      </c>
      <c r="F58" s="100">
        <f>'[6]3. Overall com progres Jun(ref)'!F58</f>
        <v>0</v>
      </c>
      <c r="G58" s="100">
        <v>0</v>
      </c>
      <c r="H58" s="100">
        <f>'[5]2. Overall com progres Sep 11'!H58</f>
        <v>1770</v>
      </c>
      <c r="I58" s="100">
        <f>'3. Overall com progres Jun(ref)'!I58</f>
        <v>0</v>
      </c>
      <c r="J58" s="100">
        <f>'[7]2. Overall com progres Sep 11'!$J58</f>
        <v>0</v>
      </c>
      <c r="K58" s="100">
        <f>'[8]2. Overall com progres Sep 11'!K58</f>
        <v>467</v>
      </c>
      <c r="L58" s="100">
        <f>'[4]2. Overall com progres Sept 11'!C58</f>
        <v>675</v>
      </c>
      <c r="M58" s="100">
        <f t="shared" si="0"/>
        <v>2912</v>
      </c>
      <c r="N58" s="111"/>
      <c r="O58" s="87"/>
      <c r="R58" s="75">
        <f>G58-'3. Overall com progres Jun(ref)'!G58</f>
        <v>0</v>
      </c>
    </row>
    <row r="59" spans="1:18" s="75" customFormat="1" ht="14.4" thickBot="1" x14ac:dyDescent="0.35">
      <c r="A59" s="198"/>
      <c r="B59" s="94" t="s">
        <v>19</v>
      </c>
      <c r="C59" s="135">
        <f t="shared" ref="C59:M59" si="11">SUM(C57:C58)</f>
        <v>31</v>
      </c>
      <c r="D59" s="135">
        <f t="shared" si="11"/>
        <v>1243</v>
      </c>
      <c r="E59" s="135">
        <f t="shared" si="11"/>
        <v>1091</v>
      </c>
      <c r="F59" s="135">
        <f t="shared" si="11"/>
        <v>95</v>
      </c>
      <c r="G59" s="135">
        <f t="shared" si="11"/>
        <v>3153</v>
      </c>
      <c r="H59" s="135">
        <f t="shared" si="11"/>
        <v>10212</v>
      </c>
      <c r="I59" s="135">
        <f t="shared" si="11"/>
        <v>0</v>
      </c>
      <c r="J59" s="135">
        <f t="shared" si="11"/>
        <v>3005</v>
      </c>
      <c r="K59" s="135">
        <f t="shared" si="11"/>
        <v>1533</v>
      </c>
      <c r="L59" s="135">
        <f t="shared" si="11"/>
        <v>1350</v>
      </c>
      <c r="M59" s="135">
        <f t="shared" si="11"/>
        <v>21713</v>
      </c>
      <c r="N59" s="111"/>
      <c r="O59" s="87"/>
      <c r="R59" s="75">
        <f>G59-'3. Overall com progres Jun(ref)'!G59</f>
        <v>0</v>
      </c>
    </row>
    <row r="60" spans="1:18" x14ac:dyDescent="0.3">
      <c r="A60" s="95" t="s">
        <v>283</v>
      </c>
      <c r="G60" s="100" t="e">
        <f>'[9]2. Overall com progres Jun 11'!G60</f>
        <v>#REF!</v>
      </c>
      <c r="H60" s="165"/>
      <c r="K60" s="164"/>
      <c r="R60" s="75" t="e">
        <f>G60-'3. Overall com progres Jun(ref)'!G60</f>
        <v>#REF!</v>
      </c>
    </row>
    <row r="61" spans="1:18" x14ac:dyDescent="0.3">
      <c r="A61" s="95" t="s">
        <v>267</v>
      </c>
      <c r="H61" s="165"/>
    </row>
  </sheetData>
  <mergeCells count="25">
    <mergeCell ref="A8:A11"/>
    <mergeCell ref="A2:B2"/>
    <mergeCell ref="A4:B4"/>
    <mergeCell ref="A5:B5"/>
    <mergeCell ref="A6:B6"/>
    <mergeCell ref="A7:B7"/>
    <mergeCell ref="A46:B46"/>
    <mergeCell ref="A12:A14"/>
    <mergeCell ref="A15:A17"/>
    <mergeCell ref="A18:A20"/>
    <mergeCell ref="A21:A24"/>
    <mergeCell ref="A25:A27"/>
    <mergeCell ref="A28:A30"/>
    <mergeCell ref="A31:A33"/>
    <mergeCell ref="A34:A36"/>
    <mergeCell ref="A37:A39"/>
    <mergeCell ref="A40:A42"/>
    <mergeCell ref="A43:A45"/>
    <mergeCell ref="A57:A59"/>
    <mergeCell ref="A47:B47"/>
    <mergeCell ref="A48:B48"/>
    <mergeCell ref="A49:B49"/>
    <mergeCell ref="A50:B50"/>
    <mergeCell ref="A51:A53"/>
    <mergeCell ref="A54:A56"/>
  </mergeCells>
  <printOptions horizontalCentered="1" verticalCentered="1"/>
  <pageMargins left="0.2" right="0.21" top="0.2" bottom="0.16" header="0.17" footer="0.16"/>
  <pageSetup paperSize="9" scale="8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34"/>
  <sheetViews>
    <sheetView topLeftCell="F1" workbookViewId="0">
      <selection activeCell="O1" sqref="O1"/>
    </sheetView>
  </sheetViews>
  <sheetFormatPr defaultRowHeight="13.2" x14ac:dyDescent="0.25"/>
  <cols>
    <col min="2" max="2" width="12.88671875" bestFit="1" customWidth="1"/>
    <col min="3" max="3" width="14" bestFit="1" customWidth="1"/>
    <col min="4" max="4" width="17.33203125" customWidth="1"/>
  </cols>
  <sheetData>
    <row r="2" spans="1:3" x14ac:dyDescent="0.25">
      <c r="A2" t="str">
        <f>'1.RSP Districts '!B214</f>
        <v>Name of Province/Area</v>
      </c>
      <c r="B2" t="s">
        <v>228</v>
      </c>
      <c r="C2" t="s">
        <v>227</v>
      </c>
    </row>
    <row r="3" spans="1:3" ht="26.4" x14ac:dyDescent="0.25">
      <c r="A3" s="128" t="str">
        <f>'1.RSP Districts '!B216</f>
        <v xml:space="preserve">Balochistan </v>
      </c>
      <c r="B3">
        <f>'1.RSP Districts '!P216</f>
        <v>30</v>
      </c>
      <c r="C3">
        <f>'1.RSP Districts '!A216</f>
        <v>18</v>
      </c>
    </row>
    <row r="4" spans="1:3" ht="52.8" x14ac:dyDescent="0.25">
      <c r="A4" s="128" t="str">
        <f>'1.RSP Districts '!B217</f>
        <v>Khyber Pakhtunkhwa (KPK)</v>
      </c>
      <c r="B4">
        <f>'1.RSP Districts '!P217</f>
        <v>24</v>
      </c>
      <c r="C4">
        <f>'1.RSP Districts '!A217</f>
        <v>19</v>
      </c>
    </row>
    <row r="5" spans="1:3" x14ac:dyDescent="0.25">
      <c r="A5" s="128" t="str">
        <f>'1.RSP Districts '!B218</f>
        <v xml:space="preserve">Sindh </v>
      </c>
      <c r="B5">
        <f>'1.RSP Districts '!P218</f>
        <v>23</v>
      </c>
      <c r="C5">
        <f>'1.RSP Districts '!A218</f>
        <v>22</v>
      </c>
    </row>
    <row r="6" spans="1:3" x14ac:dyDescent="0.25">
      <c r="A6" s="128" t="str">
        <f>'1.RSP Districts '!B219</f>
        <v xml:space="preserve">Punjab </v>
      </c>
      <c r="B6">
        <f>'1.RSP Districts '!P215+'1.RSP Districts '!P219</f>
        <v>37</v>
      </c>
      <c r="C6">
        <f>'1.RSP Districts '!A215+'1.RSP Districts '!A219</f>
        <v>35</v>
      </c>
    </row>
    <row r="7" spans="1:3" ht="66" x14ac:dyDescent="0.25">
      <c r="A7" s="128" t="str">
        <f>'1.RSP Districts '!B220</f>
        <v>Azad Jamu and Kashmir (AJK)</v>
      </c>
      <c r="B7">
        <f>'1.RSP Districts '!P220</f>
        <v>10</v>
      </c>
      <c r="C7">
        <f>'1.RSP Districts '!A220</f>
        <v>10</v>
      </c>
    </row>
    <row r="8" spans="1:3" ht="39.6" x14ac:dyDescent="0.25">
      <c r="A8" s="128" t="str">
        <f>'1.RSP Districts '!B221</f>
        <v>Gilgit-Baltistan (GB)</v>
      </c>
      <c r="B8">
        <f>'1.RSP Districts '!P221</f>
        <v>7</v>
      </c>
      <c r="C8">
        <f>'1.RSP Districts '!A221</f>
        <v>6</v>
      </c>
    </row>
    <row r="9" spans="1:3" ht="118.8" x14ac:dyDescent="0.25">
      <c r="A9" s="128" t="str">
        <f>'1.RSP Districts '!B222</f>
        <v>Federal Adminstrated Tribal Areas (FATA)/Frontier Regions (FRs)</v>
      </c>
      <c r="B9">
        <f>'1.RSP Districts '!P222</f>
        <v>13</v>
      </c>
      <c r="C9">
        <f>'1.RSP Districts '!A222</f>
        <v>2</v>
      </c>
    </row>
    <row r="10" spans="1:3" ht="26.4" x14ac:dyDescent="0.25">
      <c r="A10" s="128" t="str">
        <f>'1.RSP Districts '!B223</f>
        <v xml:space="preserve">Grand Total </v>
      </c>
      <c r="B10">
        <f>SUM(B3:B9)</f>
        <v>144</v>
      </c>
      <c r="C10">
        <f>SUM(C3:C9)</f>
        <v>112</v>
      </c>
    </row>
    <row r="13" spans="1:3" x14ac:dyDescent="0.25">
      <c r="A13" t="str">
        <f>A2</f>
        <v>Name of Province/Area</v>
      </c>
      <c r="B13" t="s">
        <v>229</v>
      </c>
      <c r="C13" t="s">
        <v>230</v>
      </c>
    </row>
    <row r="14" spans="1:3" x14ac:dyDescent="0.25">
      <c r="A14" t="str">
        <f t="shared" ref="A14:A21" si="0">A3</f>
        <v xml:space="preserve">Balochistan </v>
      </c>
      <c r="B14">
        <f>'1.RSP Districts '!C216</f>
        <v>547</v>
      </c>
      <c r="C14" t="e">
        <f>'1.RSP Districts '!#REF!</f>
        <v>#REF!</v>
      </c>
    </row>
    <row r="15" spans="1:3" x14ac:dyDescent="0.25">
      <c r="A15" t="str">
        <f t="shared" si="0"/>
        <v>Khyber Pakhtunkhwa (KPK)</v>
      </c>
      <c r="B15">
        <f>'1.RSP Districts '!C217</f>
        <v>961</v>
      </c>
      <c r="C15" t="e">
        <f>'1.RSP Districts '!#REF!</f>
        <v>#REF!</v>
      </c>
    </row>
    <row r="16" spans="1:3" x14ac:dyDescent="0.25">
      <c r="A16" t="str">
        <f t="shared" si="0"/>
        <v xml:space="preserve">Sindh </v>
      </c>
      <c r="B16">
        <f>'1.RSP Districts '!C218</f>
        <v>921</v>
      </c>
      <c r="C16" t="e">
        <f>'1.RSP Districts '!#REF!</f>
        <v>#REF!</v>
      </c>
    </row>
    <row r="17" spans="1:4" x14ac:dyDescent="0.25">
      <c r="A17" t="str">
        <f t="shared" si="0"/>
        <v xml:space="preserve">Punjab </v>
      </c>
      <c r="B17">
        <f>'1.RSP Districts '!C219+'1.RSP Districts '!C215</f>
        <v>2647</v>
      </c>
      <c r="C17" t="e">
        <f>'1.RSP Districts '!#REF!+'1.RSP Districts '!#REF!</f>
        <v>#REF!</v>
      </c>
    </row>
    <row r="18" spans="1:4" x14ac:dyDescent="0.25">
      <c r="A18" t="str">
        <f t="shared" si="0"/>
        <v>Azad Jamu and Kashmir (AJK)</v>
      </c>
      <c r="B18">
        <f>'1.RSP Districts '!C220</f>
        <v>196</v>
      </c>
      <c r="C18" t="e">
        <f>'1.RSP Districts '!#REF!</f>
        <v>#REF!</v>
      </c>
    </row>
    <row r="19" spans="1:4" x14ac:dyDescent="0.25">
      <c r="A19" t="str">
        <f t="shared" si="0"/>
        <v>Gilgit-Baltistan (GB)</v>
      </c>
      <c r="B19">
        <f>'1.RSP Districts '!C221</f>
        <v>103</v>
      </c>
      <c r="C19" t="e">
        <f>'1.RSP Districts '!#REF!</f>
        <v>#REF!</v>
      </c>
    </row>
    <row r="20" spans="1:4" x14ac:dyDescent="0.25">
      <c r="A20" t="str">
        <f t="shared" si="0"/>
        <v>Federal Adminstrated Tribal Areas (FATA)/Frontier Regions (FRs)</v>
      </c>
      <c r="B20">
        <f>'1.RSP Districts '!C222</f>
        <v>190</v>
      </c>
      <c r="C20" t="e">
        <f>'1.RSP Districts '!#REF!</f>
        <v>#REF!</v>
      </c>
    </row>
    <row r="21" spans="1:4" x14ac:dyDescent="0.25">
      <c r="A21" t="str">
        <f t="shared" si="0"/>
        <v xml:space="preserve">Grand Total </v>
      </c>
      <c r="B21">
        <f>SUM(B14:B20)</f>
        <v>5565</v>
      </c>
      <c r="C21" t="e">
        <f>SUM(C14:C20)</f>
        <v>#REF!</v>
      </c>
      <c r="D21" t="e">
        <f>C21/B21%</f>
        <v>#REF!</v>
      </c>
    </row>
    <row r="25" spans="1:4" x14ac:dyDescent="0.25">
      <c r="A25" t="str">
        <f>A13</f>
        <v>Name of Province/Area</v>
      </c>
      <c r="B25" t="s">
        <v>233</v>
      </c>
      <c r="C25" t="s">
        <v>232</v>
      </c>
      <c r="D25" t="s">
        <v>231</v>
      </c>
    </row>
    <row r="26" spans="1:4" x14ac:dyDescent="0.25">
      <c r="A26" t="str">
        <f t="shared" ref="A26:A32" si="1">A14</f>
        <v xml:space="preserve">Balochistan </v>
      </c>
      <c r="B26" s="125" t="e">
        <f>D26/C26%</f>
        <v>#REF!</v>
      </c>
      <c r="C26" s="126">
        <f>'1.RSP Districts '!H216</f>
        <v>523953.125</v>
      </c>
      <c r="D26" s="126" t="e">
        <f>'1.RSP Districts '!#REF!</f>
        <v>#REF!</v>
      </c>
    </row>
    <row r="27" spans="1:4" x14ac:dyDescent="0.25">
      <c r="A27" t="str">
        <f t="shared" si="1"/>
        <v>Khyber Pakhtunkhwa (KPK)</v>
      </c>
      <c r="B27" s="125" t="e">
        <f t="shared" ref="B27:B33" si="2">D27/C27%</f>
        <v>#REF!</v>
      </c>
      <c r="C27" s="126">
        <f>'1.RSP Districts '!H217</f>
        <v>1580629</v>
      </c>
      <c r="D27" s="126" t="e">
        <f>'1.RSP Districts '!#REF!</f>
        <v>#REF!</v>
      </c>
    </row>
    <row r="28" spans="1:4" x14ac:dyDescent="0.25">
      <c r="A28" t="str">
        <f t="shared" si="1"/>
        <v xml:space="preserve">Sindh </v>
      </c>
      <c r="B28" s="125" t="e">
        <f t="shared" si="2"/>
        <v>#REF!</v>
      </c>
      <c r="C28" s="126">
        <f>'1.RSP Districts '!H218</f>
        <v>2816903.1255411254</v>
      </c>
      <c r="D28" s="126" t="e">
        <f>'1.RSP Districts '!#REF!</f>
        <v>#REF!</v>
      </c>
    </row>
    <row r="29" spans="1:4" x14ac:dyDescent="0.25">
      <c r="A29" t="str">
        <f t="shared" si="1"/>
        <v xml:space="preserve">Punjab </v>
      </c>
      <c r="B29" s="125" t="e">
        <f t="shared" si="2"/>
        <v>#REF!</v>
      </c>
      <c r="C29" s="126">
        <f>'1.RSP Districts '!H219+'1.RSP Districts '!H215</f>
        <v>6026081.8585411254</v>
      </c>
      <c r="D29" s="126" t="e">
        <f>'1.RSP Districts '!#REF!+'1.RSP Districts '!#REF!</f>
        <v>#REF!</v>
      </c>
    </row>
    <row r="30" spans="1:4" x14ac:dyDescent="0.25">
      <c r="A30" t="str">
        <f t="shared" si="1"/>
        <v>Azad Jamu and Kashmir (AJK)</v>
      </c>
      <c r="B30" s="125" t="e">
        <f t="shared" si="2"/>
        <v>#REF!</v>
      </c>
      <c r="C30" s="126">
        <f>'1.RSP Districts '!H220</f>
        <v>398969.65165781637</v>
      </c>
      <c r="D30" s="126" t="e">
        <f>'1.RSP Districts '!#REF!</f>
        <v>#REF!</v>
      </c>
    </row>
    <row r="31" spans="1:4" x14ac:dyDescent="0.25">
      <c r="A31" t="str">
        <f t="shared" si="1"/>
        <v>Gilgit-Baltistan (GB)</v>
      </c>
      <c r="B31" s="125" t="e">
        <f t="shared" si="2"/>
        <v>#REF!</v>
      </c>
      <c r="C31" s="126">
        <f>'1.RSP Districts '!H221</f>
        <v>108649.83396348439</v>
      </c>
      <c r="D31" s="126" t="e">
        <f>'1.RSP Districts '!#REF!</f>
        <v>#REF!</v>
      </c>
    </row>
    <row r="32" spans="1:4" x14ac:dyDescent="0.25">
      <c r="A32" t="str">
        <f t="shared" si="1"/>
        <v>Federal Adminstrated Tribal Areas (FATA)/Frontier Regions (FRs)</v>
      </c>
      <c r="B32" s="125" t="e">
        <f t="shared" si="2"/>
        <v>#REF!</v>
      </c>
      <c r="C32" s="126">
        <f>'1.RSP Districts '!H222</f>
        <v>48411</v>
      </c>
      <c r="D32" s="126" t="e">
        <f>'1.RSP Districts '!#REF!</f>
        <v>#REF!</v>
      </c>
    </row>
    <row r="33" spans="1:4" x14ac:dyDescent="0.25">
      <c r="A33" t="str">
        <f>A21</f>
        <v xml:space="preserve">Grand Total </v>
      </c>
      <c r="B33" s="125" t="e">
        <f t="shared" si="2"/>
        <v>#REF!</v>
      </c>
      <c r="C33" s="126">
        <f>SUM(C26:C32)</f>
        <v>11503597.594703551</v>
      </c>
      <c r="D33" s="126" t="e">
        <f>SUM(D26:D32)</f>
        <v>#REF!</v>
      </c>
    </row>
    <row r="34" spans="1:4" x14ac:dyDescent="0.25">
      <c r="D34" s="127" t="e">
        <f>D33/1000000</f>
        <v>#REF!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2"/>
  <sheetViews>
    <sheetView view="pageBreakPreview" zoomScaleSheetLayoutView="100" workbookViewId="0">
      <pane xSplit="2" ySplit="3" topLeftCell="C4" activePane="bottomRight" state="frozen"/>
      <selection pane="topRight" activeCell="C1" sqref="C1"/>
      <selection pane="bottomLeft" activeCell="A6" sqref="A6"/>
      <selection pane="bottomRight" activeCell="B1" sqref="B1"/>
    </sheetView>
  </sheetViews>
  <sheetFormatPr defaultColWidth="9.109375" defaultRowHeight="13.8" x14ac:dyDescent="0.3"/>
  <cols>
    <col min="1" max="1" width="37.44140625" style="95" customWidth="1"/>
    <col min="2" max="2" width="12.6640625" style="95" customWidth="1"/>
    <col min="3" max="3" width="12.109375" style="72" bestFit="1" customWidth="1"/>
    <col min="4" max="16384" width="9.109375" style="72"/>
  </cols>
  <sheetData>
    <row r="1" spans="1:4" ht="14.4" thickBot="1" x14ac:dyDescent="0.35">
      <c r="A1" s="96" t="s">
        <v>0</v>
      </c>
      <c r="B1" s="72"/>
    </row>
    <row r="2" spans="1:4" s="98" customFormat="1" x14ac:dyDescent="0.25">
      <c r="A2" s="210" t="s">
        <v>1</v>
      </c>
      <c r="B2" s="211"/>
      <c r="C2" s="103" t="s">
        <v>19</v>
      </c>
    </row>
    <row r="3" spans="1:4" ht="5.25" customHeight="1" thickBot="1" x14ac:dyDescent="0.35">
      <c r="A3" s="73"/>
      <c r="B3" s="74"/>
    </row>
    <row r="4" spans="1:4" s="75" customFormat="1" x14ac:dyDescent="0.3">
      <c r="A4" s="212" t="s">
        <v>12</v>
      </c>
      <c r="B4" s="213"/>
      <c r="C4" s="100">
        <v>110</v>
      </c>
      <c r="D4" s="111"/>
    </row>
    <row r="5" spans="1:4" s="75" customFormat="1" x14ac:dyDescent="0.3">
      <c r="A5" s="214" t="s">
        <v>13</v>
      </c>
      <c r="B5" s="215"/>
      <c r="C5" s="100">
        <v>3526</v>
      </c>
      <c r="D5" s="111"/>
    </row>
    <row r="6" spans="1:4" s="75" customFormat="1" x14ac:dyDescent="0.3">
      <c r="A6" s="214" t="s">
        <v>226</v>
      </c>
      <c r="B6" s="215"/>
      <c r="C6" s="100">
        <v>4167155</v>
      </c>
      <c r="D6" s="111"/>
    </row>
    <row r="7" spans="1:4" s="75" customFormat="1" x14ac:dyDescent="0.3">
      <c r="A7" s="214" t="s">
        <v>14</v>
      </c>
      <c r="B7" s="215"/>
      <c r="C7" s="100">
        <v>520</v>
      </c>
      <c r="D7" s="111"/>
    </row>
    <row r="8" spans="1:4" s="75" customFormat="1" x14ac:dyDescent="0.3">
      <c r="A8" s="216" t="s">
        <v>236</v>
      </c>
      <c r="B8" s="217"/>
      <c r="C8" s="100">
        <v>110</v>
      </c>
      <c r="D8" s="111"/>
    </row>
    <row r="9" spans="1:4" s="75" customFormat="1" x14ac:dyDescent="0.3">
      <c r="A9" s="216" t="s">
        <v>238</v>
      </c>
      <c r="B9" s="217"/>
      <c r="C9" s="100">
        <v>3950</v>
      </c>
      <c r="D9" s="111"/>
    </row>
    <row r="10" spans="1:4" s="75" customFormat="1" x14ac:dyDescent="0.3">
      <c r="A10" s="216" t="s">
        <v>237</v>
      </c>
      <c r="B10" s="217"/>
      <c r="C10" s="100">
        <v>37399</v>
      </c>
      <c r="D10" s="111"/>
    </row>
    <row r="11" spans="1:4" s="75" customFormat="1" x14ac:dyDescent="0.3">
      <c r="A11" s="196" t="s">
        <v>15</v>
      </c>
      <c r="B11" s="76" t="s">
        <v>16</v>
      </c>
      <c r="C11" s="100">
        <v>111388</v>
      </c>
      <c r="D11" s="112">
        <f>C11/$C$14%</f>
        <v>43.106310685247458</v>
      </c>
    </row>
    <row r="12" spans="1:4" s="75" customFormat="1" x14ac:dyDescent="0.3">
      <c r="A12" s="196"/>
      <c r="B12" s="77" t="s">
        <v>17</v>
      </c>
      <c r="C12" s="100">
        <v>136301</v>
      </c>
      <c r="D12" s="112">
        <f>C12/$C$14%</f>
        <v>52.74745262245407</v>
      </c>
    </row>
    <row r="13" spans="1:4" s="75" customFormat="1" x14ac:dyDescent="0.3">
      <c r="A13" s="196"/>
      <c r="B13" s="77" t="s">
        <v>18</v>
      </c>
      <c r="C13" s="100">
        <v>10714</v>
      </c>
      <c r="D13" s="112">
        <f>C13/$C$14%</f>
        <v>4.1462366922984639</v>
      </c>
    </row>
    <row r="14" spans="1:4" s="75" customFormat="1" x14ac:dyDescent="0.3">
      <c r="A14" s="196"/>
      <c r="B14" s="78" t="s">
        <v>19</v>
      </c>
      <c r="C14" s="101">
        <v>258403</v>
      </c>
      <c r="D14" s="112">
        <f>C14/$C$14%</f>
        <v>99.999999999999986</v>
      </c>
    </row>
    <row r="15" spans="1:4" s="75" customFormat="1" x14ac:dyDescent="0.3">
      <c r="A15" s="196" t="s">
        <v>20</v>
      </c>
      <c r="B15" s="76" t="s">
        <v>21</v>
      </c>
      <c r="C15" s="100">
        <v>2056375</v>
      </c>
      <c r="D15" s="81"/>
    </row>
    <row r="16" spans="1:4" s="75" customFormat="1" x14ac:dyDescent="0.3">
      <c r="A16" s="196"/>
      <c r="B16" s="77" t="s">
        <v>22</v>
      </c>
      <c r="C16" s="100">
        <v>2399172</v>
      </c>
    </row>
    <row r="17" spans="1:4" s="75" customFormat="1" x14ac:dyDescent="0.3">
      <c r="A17" s="196"/>
      <c r="B17" s="79" t="s">
        <v>19</v>
      </c>
      <c r="C17" s="101">
        <v>4455547</v>
      </c>
    </row>
    <row r="18" spans="1:4" s="81" customFormat="1" x14ac:dyDescent="0.3">
      <c r="A18" s="202" t="s">
        <v>23</v>
      </c>
      <c r="B18" s="80" t="s">
        <v>21</v>
      </c>
      <c r="C18" s="100">
        <v>517.88534800000002</v>
      </c>
      <c r="D18" s="112">
        <f>C18/$C$20%</f>
        <v>22.953768301102048</v>
      </c>
    </row>
    <row r="19" spans="1:4" s="81" customFormat="1" x14ac:dyDescent="0.3">
      <c r="A19" s="202"/>
      <c r="B19" s="82" t="s">
        <v>22</v>
      </c>
      <c r="C19" s="100">
        <v>1738.3252280000002</v>
      </c>
      <c r="D19" s="112">
        <f>C19/$C$20%</f>
        <v>77.046231698897941</v>
      </c>
    </row>
    <row r="20" spans="1:4" s="81" customFormat="1" x14ac:dyDescent="0.3">
      <c r="A20" s="202"/>
      <c r="B20" s="79" t="s">
        <v>19</v>
      </c>
      <c r="C20" s="101">
        <v>2256.2105760000004</v>
      </c>
      <c r="D20" s="112">
        <f>C20/$C$20%</f>
        <v>100</v>
      </c>
    </row>
    <row r="21" spans="1:4" s="75" customFormat="1" x14ac:dyDescent="0.3">
      <c r="A21" s="196" t="s">
        <v>239</v>
      </c>
      <c r="B21" s="76" t="s">
        <v>21</v>
      </c>
      <c r="C21" s="100">
        <v>1288029</v>
      </c>
      <c r="D21" s="112">
        <f>C21/$C$23%</f>
        <v>49.815458765679629</v>
      </c>
    </row>
    <row r="22" spans="1:4" s="75" customFormat="1" x14ac:dyDescent="0.3">
      <c r="A22" s="196"/>
      <c r="B22" s="77" t="s">
        <v>22</v>
      </c>
      <c r="C22" s="100">
        <v>1297572</v>
      </c>
      <c r="D22" s="112">
        <f t="shared" ref="D22:D23" si="0">C22/$C$23%</f>
        <v>50.184541234320378</v>
      </c>
    </row>
    <row r="23" spans="1:4" s="75" customFormat="1" x14ac:dyDescent="0.3">
      <c r="A23" s="196"/>
      <c r="B23" s="78" t="s">
        <v>19</v>
      </c>
      <c r="C23" s="101">
        <v>2585601</v>
      </c>
      <c r="D23" s="112">
        <f t="shared" si="0"/>
        <v>100</v>
      </c>
    </row>
    <row r="24" spans="1:4" s="81" customFormat="1" x14ac:dyDescent="0.3">
      <c r="A24" s="203" t="s">
        <v>25</v>
      </c>
      <c r="B24" s="80" t="s">
        <v>21</v>
      </c>
      <c r="C24" s="100">
        <v>22039.147732000001</v>
      </c>
      <c r="D24" s="112">
        <f>C24/$C$26%</f>
        <v>33.421033152682703</v>
      </c>
    </row>
    <row r="25" spans="1:4" s="81" customFormat="1" x14ac:dyDescent="0.3">
      <c r="A25" s="203"/>
      <c r="B25" s="82" t="s">
        <v>22</v>
      </c>
      <c r="C25" s="100">
        <v>43904.797302000006</v>
      </c>
      <c r="D25" s="112">
        <f>C25/$C$26%</f>
        <v>66.578966847317304</v>
      </c>
    </row>
    <row r="26" spans="1:4" s="81" customFormat="1" x14ac:dyDescent="0.3">
      <c r="A26" s="203"/>
      <c r="B26" s="83" t="s">
        <v>19</v>
      </c>
      <c r="C26" s="101">
        <v>65943.945034000004</v>
      </c>
      <c r="D26" s="112">
        <f>C26/$C$26%</f>
        <v>100</v>
      </c>
    </row>
    <row r="27" spans="1:4" s="75" customFormat="1" x14ac:dyDescent="0.3">
      <c r="A27" s="196" t="s">
        <v>26</v>
      </c>
      <c r="B27" s="76" t="s">
        <v>21</v>
      </c>
      <c r="C27" s="100">
        <v>1771605.44</v>
      </c>
      <c r="D27" s="112">
        <f>C27/$C$29%</f>
        <v>35.088153664884601</v>
      </c>
    </row>
    <row r="28" spans="1:4" s="75" customFormat="1" x14ac:dyDescent="0.3">
      <c r="A28" s="196"/>
      <c r="B28" s="77" t="s">
        <v>22</v>
      </c>
      <c r="C28" s="100">
        <v>3277407.56</v>
      </c>
      <c r="D28" s="112">
        <f t="shared" ref="D28:D29" si="1">C28/$C$29%</f>
        <v>64.911846335115399</v>
      </c>
    </row>
    <row r="29" spans="1:4" s="75" customFormat="1" x14ac:dyDescent="0.3">
      <c r="A29" s="196"/>
      <c r="B29" s="78" t="s">
        <v>19</v>
      </c>
      <c r="C29" s="101">
        <v>5049013</v>
      </c>
      <c r="D29" s="112">
        <f t="shared" si="1"/>
        <v>100</v>
      </c>
    </row>
    <row r="30" spans="1:4" s="75" customFormat="1" hidden="1" x14ac:dyDescent="0.3">
      <c r="A30" s="196" t="s">
        <v>27</v>
      </c>
      <c r="B30" s="76" t="s">
        <v>21</v>
      </c>
      <c r="C30" s="100">
        <v>0</v>
      </c>
    </row>
    <row r="31" spans="1:4" s="75" customFormat="1" hidden="1" x14ac:dyDescent="0.3">
      <c r="A31" s="196"/>
      <c r="B31" s="77" t="s">
        <v>22</v>
      </c>
      <c r="C31" s="100">
        <v>0</v>
      </c>
    </row>
    <row r="32" spans="1:4" s="75" customFormat="1" hidden="1" x14ac:dyDescent="0.3">
      <c r="A32" s="196"/>
      <c r="B32" s="84" t="s">
        <v>19</v>
      </c>
      <c r="C32" s="100">
        <v>0</v>
      </c>
    </row>
    <row r="33" spans="1:4" s="81" customFormat="1" hidden="1" x14ac:dyDescent="0.3">
      <c r="A33" s="207" t="s">
        <v>28</v>
      </c>
      <c r="B33" s="80" t="s">
        <v>21</v>
      </c>
      <c r="C33" s="100">
        <v>0</v>
      </c>
    </row>
    <row r="34" spans="1:4" s="81" customFormat="1" hidden="1" x14ac:dyDescent="0.3">
      <c r="A34" s="207"/>
      <c r="B34" s="82" t="s">
        <v>22</v>
      </c>
      <c r="C34" s="100">
        <v>0</v>
      </c>
    </row>
    <row r="35" spans="1:4" s="81" customFormat="1" hidden="1" x14ac:dyDescent="0.3">
      <c r="A35" s="207"/>
      <c r="B35" s="85" t="s">
        <v>19</v>
      </c>
      <c r="C35" s="100">
        <v>0</v>
      </c>
    </row>
    <row r="36" spans="1:4" s="87" customFormat="1" hidden="1" x14ac:dyDescent="0.3">
      <c r="A36" s="208" t="s">
        <v>29</v>
      </c>
      <c r="B36" s="86" t="s">
        <v>21</v>
      </c>
      <c r="C36" s="100">
        <v>0</v>
      </c>
    </row>
    <row r="37" spans="1:4" s="87" customFormat="1" hidden="1" x14ac:dyDescent="0.3">
      <c r="A37" s="208"/>
      <c r="B37" s="88" t="s">
        <v>22</v>
      </c>
      <c r="C37" s="100">
        <v>0</v>
      </c>
    </row>
    <row r="38" spans="1:4" s="87" customFormat="1" hidden="1" x14ac:dyDescent="0.3">
      <c r="A38" s="208"/>
      <c r="B38" s="89" t="s">
        <v>19</v>
      </c>
      <c r="C38" s="100">
        <v>0</v>
      </c>
    </row>
    <row r="39" spans="1:4" s="75" customFormat="1" ht="13.2" customHeight="1" x14ac:dyDescent="0.3">
      <c r="A39" s="203" t="s">
        <v>30</v>
      </c>
      <c r="B39" s="76" t="s">
        <v>21</v>
      </c>
      <c r="C39" s="100">
        <v>1626139</v>
      </c>
      <c r="D39" s="112">
        <f>C39/$C$41%</f>
        <v>39.144230065591074</v>
      </c>
    </row>
    <row r="40" spans="1:4" s="75" customFormat="1" x14ac:dyDescent="0.3">
      <c r="A40" s="203"/>
      <c r="B40" s="77" t="s">
        <v>22</v>
      </c>
      <c r="C40" s="100">
        <v>2528085</v>
      </c>
      <c r="D40" s="112">
        <f t="shared" ref="D40:D41" si="2">C40/$C$41%</f>
        <v>60.855769934408933</v>
      </c>
    </row>
    <row r="41" spans="1:4" s="75" customFormat="1" x14ac:dyDescent="0.3">
      <c r="A41" s="203"/>
      <c r="B41" s="78" t="s">
        <v>19</v>
      </c>
      <c r="C41" s="101">
        <v>4154224</v>
      </c>
      <c r="D41" s="112">
        <f t="shared" si="2"/>
        <v>100</v>
      </c>
    </row>
    <row r="42" spans="1:4" s="90" customFormat="1" x14ac:dyDescent="0.3">
      <c r="A42" s="199" t="s">
        <v>31</v>
      </c>
      <c r="B42" s="200"/>
      <c r="C42" s="100">
        <v>96933</v>
      </c>
    </row>
    <row r="43" spans="1:4" s="91" customFormat="1" x14ac:dyDescent="0.3">
      <c r="A43" s="199" t="s">
        <v>33</v>
      </c>
      <c r="B43" s="200"/>
      <c r="C43" s="100">
        <v>3772537</v>
      </c>
    </row>
    <row r="44" spans="1:4" s="92" customFormat="1" x14ac:dyDescent="0.3">
      <c r="A44" s="192" t="s">
        <v>34</v>
      </c>
      <c r="B44" s="193"/>
      <c r="C44" s="100">
        <v>13723.287703</v>
      </c>
    </row>
    <row r="45" spans="1:4" s="93" customFormat="1" x14ac:dyDescent="0.25">
      <c r="A45" s="194" t="s">
        <v>35</v>
      </c>
      <c r="B45" s="195" t="s">
        <v>36</v>
      </c>
      <c r="C45" s="100">
        <v>1904</v>
      </c>
    </row>
    <row r="46" spans="1:4" s="75" customFormat="1" x14ac:dyDescent="0.3">
      <c r="A46" s="196" t="s">
        <v>37</v>
      </c>
      <c r="B46" s="76" t="s">
        <v>36</v>
      </c>
      <c r="C46" s="100">
        <v>22803.95</v>
      </c>
      <c r="D46" s="112">
        <f>C46/$C$48%</f>
        <v>44.37343114553132</v>
      </c>
    </row>
    <row r="47" spans="1:4" s="75" customFormat="1" x14ac:dyDescent="0.3">
      <c r="A47" s="196"/>
      <c r="B47" s="77" t="s">
        <v>38</v>
      </c>
      <c r="C47" s="100">
        <v>28587.05</v>
      </c>
      <c r="D47" s="112">
        <f t="shared" ref="D47:D48" si="3">C47/$C$48%</f>
        <v>55.626568854468687</v>
      </c>
    </row>
    <row r="48" spans="1:4" s="75" customFormat="1" x14ac:dyDescent="0.3">
      <c r="A48" s="196"/>
      <c r="B48" s="78" t="s">
        <v>19</v>
      </c>
      <c r="C48" s="101">
        <v>51391</v>
      </c>
      <c r="D48" s="112">
        <f t="shared" si="3"/>
        <v>100</v>
      </c>
    </row>
    <row r="49" spans="1:3" s="75" customFormat="1" x14ac:dyDescent="0.3">
      <c r="A49" s="196" t="s">
        <v>235</v>
      </c>
      <c r="B49" s="76" t="s">
        <v>21</v>
      </c>
      <c r="C49" s="100">
        <v>16537</v>
      </c>
    </row>
    <row r="50" spans="1:3" s="75" customFormat="1" x14ac:dyDescent="0.3">
      <c r="A50" s="196"/>
      <c r="B50" s="77" t="s">
        <v>22</v>
      </c>
      <c r="C50" s="100">
        <v>2912</v>
      </c>
    </row>
    <row r="51" spans="1:3" s="75" customFormat="1" ht="14.4" thickBot="1" x14ac:dyDescent="0.35">
      <c r="A51" s="198"/>
      <c r="B51" s="94" t="s">
        <v>19</v>
      </c>
      <c r="C51" s="102">
        <v>19449</v>
      </c>
    </row>
    <row r="52" spans="1:3" x14ac:dyDescent="0.3">
      <c r="A52" s="95" t="s">
        <v>225</v>
      </c>
    </row>
  </sheetData>
  <mergeCells count="24">
    <mergeCell ref="A44:B44"/>
    <mergeCell ref="A45:B45"/>
    <mergeCell ref="A46:A48"/>
    <mergeCell ref="A49:A51"/>
    <mergeCell ref="A8:B8"/>
    <mergeCell ref="A9:B9"/>
    <mergeCell ref="A10:B10"/>
    <mergeCell ref="A33:A35"/>
    <mergeCell ref="A36:A38"/>
    <mergeCell ref="A39:A41"/>
    <mergeCell ref="A42:B42"/>
    <mergeCell ref="A43:B43"/>
    <mergeCell ref="A15:A17"/>
    <mergeCell ref="A18:A20"/>
    <mergeCell ref="A21:A23"/>
    <mergeCell ref="A24:A26"/>
    <mergeCell ref="A27:A29"/>
    <mergeCell ref="A30:A32"/>
    <mergeCell ref="A2:B2"/>
    <mergeCell ref="A4:B4"/>
    <mergeCell ref="A5:B5"/>
    <mergeCell ref="A6:B6"/>
    <mergeCell ref="A7:B7"/>
    <mergeCell ref="A11:A14"/>
  </mergeCells>
  <printOptions horizontalCentered="1" verticalCentered="1"/>
  <pageMargins left="0.2" right="0.21" top="0.2" bottom="0.16" header="0.17" footer="0.16"/>
  <pageSetup paperSize="9" scale="98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61"/>
  <sheetViews>
    <sheetView view="pageBreakPreview" zoomScaleSheetLayoutView="100" workbookViewId="0">
      <pane xSplit="2" ySplit="3" topLeftCell="G4" activePane="bottomRight" state="frozen"/>
      <selection activeCell="E4" sqref="E4"/>
      <selection pane="topRight" activeCell="E4" sqref="E4"/>
      <selection pane="bottomLeft" activeCell="E4" sqref="E4"/>
      <selection pane="bottomRight" activeCell="G8" sqref="G8"/>
    </sheetView>
  </sheetViews>
  <sheetFormatPr defaultColWidth="9.109375" defaultRowHeight="13.8" x14ac:dyDescent="0.3"/>
  <cols>
    <col min="1" max="1" width="30" style="95" customWidth="1"/>
    <col min="2" max="2" width="21.6640625" style="95" customWidth="1"/>
    <col min="3" max="3" width="12.6640625" style="95" customWidth="1"/>
    <col min="4" max="4" width="10.33203125" style="72" customWidth="1"/>
    <col min="5" max="5" width="16.88671875" style="72" customWidth="1"/>
    <col min="6" max="6" width="22.5546875" style="72" customWidth="1"/>
    <col min="7" max="7" width="11.5546875" style="72" customWidth="1"/>
    <col min="8" max="12" width="10.33203125" style="72" customWidth="1"/>
    <col min="13" max="13" width="12.109375" style="72" bestFit="1" customWidth="1"/>
    <col min="14" max="14" width="10" style="72" bestFit="1" customWidth="1"/>
    <col min="15" max="15" width="13.109375" style="72" bestFit="1" customWidth="1"/>
    <col min="16" max="16384" width="9.109375" style="72"/>
  </cols>
  <sheetData>
    <row r="1" spans="1:15" ht="14.4" thickBot="1" x14ac:dyDescent="0.35">
      <c r="A1" s="96" t="s">
        <v>264</v>
      </c>
      <c r="B1" s="72"/>
      <c r="C1" s="72"/>
      <c r="D1" s="97"/>
      <c r="E1" s="97"/>
      <c r="F1" s="97"/>
      <c r="G1" s="71"/>
      <c r="H1" s="71"/>
      <c r="I1" s="97"/>
      <c r="J1" s="97"/>
      <c r="K1" s="97"/>
      <c r="L1" s="97"/>
    </row>
    <row r="2" spans="1:15" s="98" customFormat="1" x14ac:dyDescent="0.25">
      <c r="A2" s="210" t="s">
        <v>1</v>
      </c>
      <c r="B2" s="211"/>
      <c r="C2" s="163" t="s">
        <v>2</v>
      </c>
      <c r="D2" s="163" t="s">
        <v>3</v>
      </c>
      <c r="E2" s="163" t="s">
        <v>4</v>
      </c>
      <c r="F2" s="163" t="s">
        <v>5</v>
      </c>
      <c r="G2" s="163" t="s">
        <v>6</v>
      </c>
      <c r="H2" s="163" t="s">
        <v>7</v>
      </c>
      <c r="I2" s="163" t="s">
        <v>8</v>
      </c>
      <c r="J2" s="163" t="s">
        <v>9</v>
      </c>
      <c r="K2" s="163" t="s">
        <v>10</v>
      </c>
      <c r="L2" s="163" t="s">
        <v>11</v>
      </c>
      <c r="M2" s="103" t="s">
        <v>19</v>
      </c>
    </row>
    <row r="3" spans="1:15" ht="5.25" customHeight="1" thickBot="1" x14ac:dyDescent="0.35">
      <c r="A3" s="73"/>
      <c r="B3" s="74"/>
      <c r="C3" s="74"/>
      <c r="D3" s="134"/>
      <c r="E3" s="134"/>
      <c r="F3" s="134"/>
      <c r="G3" s="134"/>
      <c r="H3" s="134"/>
      <c r="I3" s="134"/>
      <c r="J3" s="134"/>
      <c r="K3" s="134"/>
      <c r="L3" s="134"/>
      <c r="M3" s="134"/>
    </row>
    <row r="4" spans="1:15" s="75" customFormat="1" x14ac:dyDescent="0.3">
      <c r="A4" s="212" t="s">
        <v>268</v>
      </c>
      <c r="B4" s="213"/>
      <c r="C4" s="100">
        <v>7</v>
      </c>
      <c r="D4" s="100">
        <v>7</v>
      </c>
      <c r="E4" s="100">
        <v>13</v>
      </c>
      <c r="F4" s="100">
        <v>3</v>
      </c>
      <c r="G4" s="100">
        <v>48</v>
      </c>
      <c r="H4" s="100">
        <v>25</v>
      </c>
      <c r="I4" s="100">
        <v>1</v>
      </c>
      <c r="J4" s="100">
        <v>9</v>
      </c>
      <c r="K4" s="100">
        <v>19</v>
      </c>
      <c r="L4" s="100">
        <v>4</v>
      </c>
      <c r="M4" s="100">
        <f>SUM(C4:L4)-22</f>
        <v>114</v>
      </c>
      <c r="N4" s="111"/>
      <c r="O4" s="87"/>
    </row>
    <row r="5" spans="1:15" s="75" customFormat="1" x14ac:dyDescent="0.3">
      <c r="A5" s="214" t="s">
        <v>13</v>
      </c>
      <c r="B5" s="215"/>
      <c r="C5" s="100">
        <v>115</v>
      </c>
      <c r="D5" s="100">
        <v>118</v>
      </c>
      <c r="E5" s="100">
        <v>191</v>
      </c>
      <c r="F5" s="100">
        <v>20</v>
      </c>
      <c r="G5" s="100">
        <v>1806</v>
      </c>
      <c r="H5" s="100">
        <v>833</v>
      </c>
      <c r="I5" s="100">
        <v>11</v>
      </c>
      <c r="J5" s="100">
        <v>286</v>
      </c>
      <c r="K5" s="100">
        <v>424</v>
      </c>
      <c r="L5" s="100">
        <v>112</v>
      </c>
      <c r="M5" s="100">
        <f>SUM(C5:L5)-387</f>
        <v>3529</v>
      </c>
      <c r="N5" s="111"/>
      <c r="O5" s="87"/>
    </row>
    <row r="6" spans="1:15" s="75" customFormat="1" x14ac:dyDescent="0.3">
      <c r="A6" s="214" t="s">
        <v>226</v>
      </c>
      <c r="B6" s="215"/>
      <c r="C6" s="100">
        <v>77929</v>
      </c>
      <c r="D6" s="100">
        <v>108969</v>
      </c>
      <c r="E6" s="100">
        <v>156568</v>
      </c>
      <c r="F6" s="100">
        <v>30501</v>
      </c>
      <c r="G6" s="100">
        <v>1860974</v>
      </c>
      <c r="H6" s="100">
        <v>893737</v>
      </c>
      <c r="I6" s="100">
        <v>10500</v>
      </c>
      <c r="J6" s="100">
        <v>443323</v>
      </c>
      <c r="K6" s="100">
        <v>520475</v>
      </c>
      <c r="L6" s="100">
        <v>252135</v>
      </c>
      <c r="M6" s="100">
        <f t="shared" ref="M6:M58" si="0">SUM(C6:L6)</f>
        <v>4355111</v>
      </c>
      <c r="N6" s="111"/>
      <c r="O6" s="87"/>
    </row>
    <row r="7" spans="1:15" s="75" customFormat="1" x14ac:dyDescent="0.3">
      <c r="A7" s="214" t="s">
        <v>14</v>
      </c>
      <c r="B7" s="215"/>
      <c r="C7" s="100">
        <v>32</v>
      </c>
      <c r="D7" s="100">
        <v>44</v>
      </c>
      <c r="E7" s="100">
        <v>12</v>
      </c>
      <c r="F7" s="100">
        <v>2</v>
      </c>
      <c r="G7" s="100">
        <f>394-C7</f>
        <v>362</v>
      </c>
      <c r="H7" s="100">
        <v>21</v>
      </c>
      <c r="I7" s="100">
        <v>0</v>
      </c>
      <c r="J7" s="100">
        <v>0</v>
      </c>
      <c r="K7" s="100">
        <v>43</v>
      </c>
      <c r="L7" s="100">
        <v>15</v>
      </c>
      <c r="M7" s="100">
        <f t="shared" si="0"/>
        <v>531</v>
      </c>
      <c r="N7" s="111"/>
      <c r="O7" s="87"/>
    </row>
    <row r="8" spans="1:15" s="75" customFormat="1" x14ac:dyDescent="0.3">
      <c r="A8" s="196" t="s">
        <v>15</v>
      </c>
      <c r="B8" s="151" t="s">
        <v>16</v>
      </c>
      <c r="C8" s="100">
        <v>1197</v>
      </c>
      <c r="D8" s="100">
        <v>2018</v>
      </c>
      <c r="E8" s="100">
        <v>2960</v>
      </c>
      <c r="F8" s="100">
        <v>1266</v>
      </c>
      <c r="G8" s="100">
        <v>52117</v>
      </c>
      <c r="H8" s="100">
        <v>20917</v>
      </c>
      <c r="I8" s="100">
        <v>351</v>
      </c>
      <c r="J8" s="100">
        <v>24057</v>
      </c>
      <c r="K8" s="100">
        <v>5446</v>
      </c>
      <c r="L8" s="100">
        <v>7864</v>
      </c>
      <c r="M8" s="100">
        <f t="shared" si="0"/>
        <v>118193</v>
      </c>
      <c r="N8" s="112">
        <f>M8/M11%</f>
        <v>44.297734385248205</v>
      </c>
      <c r="O8" s="87"/>
    </row>
    <row r="9" spans="1:15" s="75" customFormat="1" x14ac:dyDescent="0.3">
      <c r="A9" s="196"/>
      <c r="B9" s="152" t="s">
        <v>17</v>
      </c>
      <c r="C9" s="100">
        <v>1748</v>
      </c>
      <c r="D9" s="100">
        <v>2703</v>
      </c>
      <c r="E9" s="100">
        <v>6632</v>
      </c>
      <c r="F9" s="100">
        <v>1265</v>
      </c>
      <c r="G9" s="100">
        <v>66954</v>
      </c>
      <c r="H9" s="100">
        <v>33191</v>
      </c>
      <c r="I9" s="100">
        <v>367</v>
      </c>
      <c r="J9" s="100">
        <v>3626</v>
      </c>
      <c r="K9" s="100">
        <v>15306</v>
      </c>
      <c r="L9" s="100">
        <v>5674</v>
      </c>
      <c r="M9" s="100">
        <f t="shared" si="0"/>
        <v>137466</v>
      </c>
      <c r="N9" s="111"/>
      <c r="O9" s="87"/>
    </row>
    <row r="10" spans="1:15" s="75" customFormat="1" x14ac:dyDescent="0.3">
      <c r="A10" s="196"/>
      <c r="B10" s="152" t="s">
        <v>18</v>
      </c>
      <c r="C10" s="100">
        <v>834</v>
      </c>
      <c r="D10" s="100">
        <v>0</v>
      </c>
      <c r="E10" s="100">
        <v>52</v>
      </c>
      <c r="F10" s="100">
        <v>0</v>
      </c>
      <c r="G10" s="100">
        <v>7094</v>
      </c>
      <c r="H10" s="100">
        <v>1185</v>
      </c>
      <c r="I10" s="100">
        <v>0</v>
      </c>
      <c r="J10" s="100">
        <v>40</v>
      </c>
      <c r="K10" s="100" t="s">
        <v>263</v>
      </c>
      <c r="L10" s="100">
        <v>1951</v>
      </c>
      <c r="M10" s="100">
        <f t="shared" si="0"/>
        <v>11156</v>
      </c>
      <c r="N10" s="111"/>
      <c r="O10" s="87"/>
    </row>
    <row r="11" spans="1:15" s="75" customFormat="1" x14ac:dyDescent="0.3">
      <c r="A11" s="196"/>
      <c r="B11" s="153" t="s">
        <v>19</v>
      </c>
      <c r="C11" s="135">
        <f>SUM(C8:C10)</f>
        <v>3779</v>
      </c>
      <c r="D11" s="135">
        <f t="shared" ref="D11:M11" si="1">SUM(D8:D10)</f>
        <v>4721</v>
      </c>
      <c r="E11" s="135">
        <f t="shared" si="1"/>
        <v>9644</v>
      </c>
      <c r="F11" s="135">
        <f t="shared" si="1"/>
        <v>2531</v>
      </c>
      <c r="G11" s="135">
        <f t="shared" si="1"/>
        <v>126165</v>
      </c>
      <c r="H11" s="135">
        <f t="shared" si="1"/>
        <v>55293</v>
      </c>
      <c r="I11" s="135">
        <f t="shared" si="1"/>
        <v>718</v>
      </c>
      <c r="J11" s="135">
        <f t="shared" si="1"/>
        <v>27723</v>
      </c>
      <c r="K11" s="135">
        <f t="shared" si="1"/>
        <v>20752</v>
      </c>
      <c r="L11" s="135">
        <f t="shared" si="1"/>
        <v>15489</v>
      </c>
      <c r="M11" s="135">
        <f t="shared" si="1"/>
        <v>266815</v>
      </c>
      <c r="N11" s="111"/>
      <c r="O11" s="87"/>
    </row>
    <row r="12" spans="1:15" s="75" customFormat="1" x14ac:dyDescent="0.3">
      <c r="A12" s="196" t="s">
        <v>20</v>
      </c>
      <c r="B12" s="151" t="s">
        <v>21</v>
      </c>
      <c r="C12" s="100">
        <v>33833</v>
      </c>
      <c r="D12" s="100">
        <v>68007</v>
      </c>
      <c r="E12" s="100">
        <v>48692</v>
      </c>
      <c r="F12" s="100">
        <v>21980</v>
      </c>
      <c r="G12" s="100">
        <v>903098</v>
      </c>
      <c r="H12" s="100">
        <v>369912</v>
      </c>
      <c r="I12" s="100">
        <v>9548</v>
      </c>
      <c r="J12" s="100">
        <v>400031</v>
      </c>
      <c r="K12" s="100">
        <v>139842</v>
      </c>
      <c r="L12" s="100">
        <v>162238</v>
      </c>
      <c r="M12" s="100">
        <f t="shared" si="0"/>
        <v>2157181</v>
      </c>
      <c r="N12" s="161">
        <f>M12/M14%</f>
        <v>46.983946864896005</v>
      </c>
      <c r="O12" s="87"/>
    </row>
    <row r="13" spans="1:15" s="75" customFormat="1" x14ac:dyDescent="0.3">
      <c r="A13" s="196"/>
      <c r="B13" s="152" t="s">
        <v>22</v>
      </c>
      <c r="C13" s="100">
        <v>45042</v>
      </c>
      <c r="D13" s="100">
        <v>108247</v>
      </c>
      <c r="E13" s="100">
        <v>107876</v>
      </c>
      <c r="F13" s="100">
        <v>23908</v>
      </c>
      <c r="G13" s="100">
        <v>957876</v>
      </c>
      <c r="H13" s="100">
        <v>597163</v>
      </c>
      <c r="I13" s="100">
        <v>9859</v>
      </c>
      <c r="J13" s="100">
        <v>65261</v>
      </c>
      <c r="K13" s="100">
        <v>380633</v>
      </c>
      <c r="L13" s="100">
        <v>138269</v>
      </c>
      <c r="M13" s="100">
        <f t="shared" si="0"/>
        <v>2434134</v>
      </c>
      <c r="N13" s="111"/>
      <c r="O13" s="87"/>
    </row>
    <row r="14" spans="1:15" s="75" customFormat="1" x14ac:dyDescent="0.3">
      <c r="A14" s="196"/>
      <c r="B14" s="154" t="s">
        <v>19</v>
      </c>
      <c r="C14" s="135">
        <f>SUM(C12:C13)</f>
        <v>78875</v>
      </c>
      <c r="D14" s="135">
        <f t="shared" ref="D14:M14" si="2">SUM(D12:D13)</f>
        <v>176254</v>
      </c>
      <c r="E14" s="135">
        <f t="shared" si="2"/>
        <v>156568</v>
      </c>
      <c r="F14" s="135">
        <f t="shared" si="2"/>
        <v>45888</v>
      </c>
      <c r="G14" s="135">
        <f t="shared" si="2"/>
        <v>1860974</v>
      </c>
      <c r="H14" s="135">
        <f t="shared" si="2"/>
        <v>967075</v>
      </c>
      <c r="I14" s="135">
        <f t="shared" si="2"/>
        <v>19407</v>
      </c>
      <c r="J14" s="135">
        <f t="shared" si="2"/>
        <v>465292</v>
      </c>
      <c r="K14" s="135">
        <f t="shared" si="2"/>
        <v>520475</v>
      </c>
      <c r="L14" s="135">
        <f t="shared" si="2"/>
        <v>300507</v>
      </c>
      <c r="M14" s="135">
        <f t="shared" si="2"/>
        <v>4591315</v>
      </c>
      <c r="N14" s="161">
        <f>M14/1000000</f>
        <v>4.5913149999999998</v>
      </c>
      <c r="O14" s="87"/>
    </row>
    <row r="15" spans="1:15" s="81" customFormat="1" x14ac:dyDescent="0.3">
      <c r="A15" s="202" t="s">
        <v>271</v>
      </c>
      <c r="B15" s="155" t="s">
        <v>21</v>
      </c>
      <c r="C15" s="146">
        <v>25.509999999999998</v>
      </c>
      <c r="D15" s="146">
        <v>129.43899999999999</v>
      </c>
      <c r="E15" s="146">
        <f>4764169/1000000</f>
        <v>4.7641689999999999</v>
      </c>
      <c r="F15" s="146">
        <v>3.0120900000000002</v>
      </c>
      <c r="G15" s="146">
        <v>188.93906902500001</v>
      </c>
      <c r="H15" s="146">
        <v>48.244453</v>
      </c>
      <c r="I15" s="146">
        <v>0</v>
      </c>
      <c r="J15" s="146">
        <v>35</v>
      </c>
      <c r="K15" s="146">
        <v>34.07</v>
      </c>
      <c r="L15" s="146">
        <v>74.209999999999994</v>
      </c>
      <c r="M15" s="146">
        <f>SUM(C15:L15)</f>
        <v>543.18878102500003</v>
      </c>
      <c r="N15" s="111"/>
      <c r="O15" s="87"/>
    </row>
    <row r="16" spans="1:15" s="81" customFormat="1" x14ac:dyDescent="0.3">
      <c r="A16" s="202"/>
      <c r="B16" s="144" t="s">
        <v>22</v>
      </c>
      <c r="C16" s="146">
        <v>26.02</v>
      </c>
      <c r="D16" s="146">
        <v>371.08199999999994</v>
      </c>
      <c r="E16" s="146">
        <f>7408179/1000000</f>
        <v>7.4081789999999996</v>
      </c>
      <c r="F16" s="146">
        <v>4.3575920000000004</v>
      </c>
      <c r="G16" s="146">
        <v>1079.6677893049998</v>
      </c>
      <c r="H16" s="146">
        <v>75.460959000000003</v>
      </c>
      <c r="I16" s="146">
        <v>0</v>
      </c>
      <c r="J16" s="146">
        <v>19</v>
      </c>
      <c r="K16" s="146">
        <v>90.42</v>
      </c>
      <c r="L16" s="146">
        <v>114.89</v>
      </c>
      <c r="M16" s="146">
        <f t="shared" si="0"/>
        <v>1788.3065193049999</v>
      </c>
      <c r="N16" s="111"/>
      <c r="O16" s="87"/>
    </row>
    <row r="17" spans="1:15" s="81" customFormat="1" x14ac:dyDescent="0.3">
      <c r="A17" s="202"/>
      <c r="B17" s="154" t="s">
        <v>19</v>
      </c>
      <c r="C17" s="148">
        <f t="shared" ref="C17:M17" si="3">SUM(C15:C16)</f>
        <v>51.53</v>
      </c>
      <c r="D17" s="148">
        <f t="shared" si="3"/>
        <v>500.52099999999996</v>
      </c>
      <c r="E17" s="148">
        <f t="shared" si="3"/>
        <v>12.172348</v>
      </c>
      <c r="F17" s="148">
        <f t="shared" si="3"/>
        <v>7.369682000000001</v>
      </c>
      <c r="G17" s="148">
        <f t="shared" si="3"/>
        <v>1268.6068583299998</v>
      </c>
      <c r="H17" s="148">
        <f t="shared" si="3"/>
        <v>123.705412</v>
      </c>
      <c r="I17" s="148">
        <f t="shared" si="3"/>
        <v>0</v>
      </c>
      <c r="J17" s="148">
        <f t="shared" si="3"/>
        <v>54</v>
      </c>
      <c r="K17" s="148">
        <f t="shared" si="3"/>
        <v>124.49000000000001</v>
      </c>
      <c r="L17" s="148">
        <f t="shared" si="3"/>
        <v>189.1</v>
      </c>
      <c r="M17" s="148">
        <f t="shared" si="3"/>
        <v>2331.4953003299997</v>
      </c>
      <c r="N17" s="111"/>
      <c r="O17" s="87"/>
    </row>
    <row r="18" spans="1:15" s="75" customFormat="1" x14ac:dyDescent="0.3">
      <c r="A18" s="196" t="s">
        <v>24</v>
      </c>
      <c r="B18" s="151" t="s">
        <v>21</v>
      </c>
      <c r="C18" s="100">
        <v>9731</v>
      </c>
      <c r="D18" s="100">
        <v>58754</v>
      </c>
      <c r="E18" s="100">
        <v>36909</v>
      </c>
      <c r="F18" s="100">
        <v>9415</v>
      </c>
      <c r="G18" s="100">
        <v>790338</v>
      </c>
      <c r="H18" s="100">
        <v>141817</v>
      </c>
      <c r="I18" s="100">
        <v>4790</v>
      </c>
      <c r="J18" s="100">
        <v>130668</v>
      </c>
      <c r="K18" s="100">
        <v>48815</v>
      </c>
      <c r="L18" s="100">
        <v>58617</v>
      </c>
      <c r="M18" s="100">
        <f t="shared" si="0"/>
        <v>1289854</v>
      </c>
      <c r="N18" s="81">
        <f>M18/1000000</f>
        <v>1.2898540000000001</v>
      </c>
      <c r="O18" s="81">
        <f>M18/M20%</f>
        <v>47.65968170074904</v>
      </c>
    </row>
    <row r="19" spans="1:15" s="75" customFormat="1" x14ac:dyDescent="0.3">
      <c r="A19" s="196"/>
      <c r="B19" s="152" t="s">
        <v>22</v>
      </c>
      <c r="C19" s="100">
        <v>5481</v>
      </c>
      <c r="D19" s="100">
        <v>27804</v>
      </c>
      <c r="E19" s="100">
        <v>88042</v>
      </c>
      <c r="F19" s="100">
        <v>3371</v>
      </c>
      <c r="G19" s="100">
        <v>856248</v>
      </c>
      <c r="H19" s="100">
        <v>288892</v>
      </c>
      <c r="I19" s="100">
        <v>4790</v>
      </c>
      <c r="J19" s="100">
        <v>7811</v>
      </c>
      <c r="K19" s="100">
        <v>58585</v>
      </c>
      <c r="L19" s="100">
        <v>75506</v>
      </c>
      <c r="M19" s="100">
        <f t="shared" si="0"/>
        <v>1416530</v>
      </c>
      <c r="N19" s="111"/>
      <c r="O19" s="87"/>
    </row>
    <row r="20" spans="1:15" s="75" customFormat="1" x14ac:dyDescent="0.3">
      <c r="A20" s="196"/>
      <c r="B20" s="153" t="s">
        <v>19</v>
      </c>
      <c r="C20" s="135">
        <f t="shared" ref="C20:M20" si="4">SUM(C18:C19)</f>
        <v>15212</v>
      </c>
      <c r="D20" s="135">
        <f t="shared" si="4"/>
        <v>86558</v>
      </c>
      <c r="E20" s="135">
        <f t="shared" si="4"/>
        <v>124951</v>
      </c>
      <c r="F20" s="135">
        <f t="shared" si="4"/>
        <v>12786</v>
      </c>
      <c r="G20" s="135">
        <f t="shared" si="4"/>
        <v>1646586</v>
      </c>
      <c r="H20" s="135">
        <f t="shared" si="4"/>
        <v>430709</v>
      </c>
      <c r="I20" s="135">
        <f t="shared" si="4"/>
        <v>9580</v>
      </c>
      <c r="J20" s="135">
        <f t="shared" si="4"/>
        <v>138479</v>
      </c>
      <c r="K20" s="135">
        <f t="shared" si="4"/>
        <v>107400</v>
      </c>
      <c r="L20" s="135">
        <f t="shared" si="4"/>
        <v>134123</v>
      </c>
      <c r="M20" s="135">
        <f t="shared" si="4"/>
        <v>2706384</v>
      </c>
      <c r="N20" s="81">
        <f>M20/1000000</f>
        <v>2.7063839999999999</v>
      </c>
      <c r="O20" s="87"/>
    </row>
    <row r="21" spans="1:15" s="75" customFormat="1" x14ac:dyDescent="0.3">
      <c r="A21" s="204" t="s">
        <v>243</v>
      </c>
      <c r="B21" s="152" t="s">
        <v>240</v>
      </c>
      <c r="C21" s="100">
        <v>6</v>
      </c>
      <c r="D21" s="99">
        <v>12</v>
      </c>
      <c r="E21" s="100">
        <v>2</v>
      </c>
      <c r="F21" s="100">
        <v>1</v>
      </c>
      <c r="G21" s="100">
        <v>194</v>
      </c>
      <c r="H21" s="100">
        <v>1</v>
      </c>
      <c r="I21" s="100">
        <v>0</v>
      </c>
      <c r="J21" s="100">
        <v>0</v>
      </c>
      <c r="K21" s="100" t="s">
        <v>263</v>
      </c>
      <c r="L21" s="100">
        <v>8</v>
      </c>
      <c r="M21" s="100">
        <f t="shared" si="0"/>
        <v>224</v>
      </c>
      <c r="N21" s="111"/>
      <c r="O21" s="87"/>
    </row>
    <row r="22" spans="1:15" s="75" customFormat="1" x14ac:dyDescent="0.3">
      <c r="A22" s="205"/>
      <c r="B22" s="152" t="s">
        <v>241</v>
      </c>
      <c r="C22" s="100">
        <v>0</v>
      </c>
      <c r="D22" s="99">
        <v>0</v>
      </c>
      <c r="E22" s="100">
        <v>0</v>
      </c>
      <c r="F22" s="100">
        <v>1</v>
      </c>
      <c r="G22" s="149">
        <v>1536</v>
      </c>
      <c r="H22" s="100">
        <v>23</v>
      </c>
      <c r="I22" s="100">
        <v>0</v>
      </c>
      <c r="J22" s="100">
        <v>1787</v>
      </c>
      <c r="K22" s="100">
        <v>119</v>
      </c>
      <c r="L22" s="100">
        <v>577</v>
      </c>
      <c r="M22" s="100">
        <f t="shared" si="0"/>
        <v>4043</v>
      </c>
      <c r="N22" s="111"/>
      <c r="O22" s="87"/>
    </row>
    <row r="23" spans="1:15" s="75" customFormat="1" x14ac:dyDescent="0.3">
      <c r="A23" s="205"/>
      <c r="B23" s="152" t="s">
        <v>242</v>
      </c>
      <c r="C23" s="100">
        <v>1094</v>
      </c>
      <c r="D23" s="99">
        <v>2055</v>
      </c>
      <c r="E23" s="100">
        <v>20</v>
      </c>
      <c r="F23" s="100">
        <v>152</v>
      </c>
      <c r="G23" s="100">
        <v>7097</v>
      </c>
      <c r="H23" s="100">
        <v>1115</v>
      </c>
      <c r="I23" s="100">
        <v>0</v>
      </c>
      <c r="J23" s="100">
        <v>49095</v>
      </c>
      <c r="K23" s="100">
        <v>7959</v>
      </c>
      <c r="L23" s="100">
        <v>11723</v>
      </c>
      <c r="M23" s="100">
        <f t="shared" si="0"/>
        <v>80310</v>
      </c>
      <c r="N23" s="111"/>
      <c r="O23" s="87"/>
    </row>
    <row r="24" spans="1:15" s="75" customFormat="1" ht="27.6" x14ac:dyDescent="0.3">
      <c r="A24" s="206"/>
      <c r="B24" s="152" t="s">
        <v>244</v>
      </c>
      <c r="C24" s="146">
        <f>16000000/1000000</f>
        <v>16</v>
      </c>
      <c r="D24" s="150">
        <f>16106083/1000000</f>
        <v>16.106083000000002</v>
      </c>
      <c r="E24" s="146">
        <f>200000/1000000</f>
        <v>0.2</v>
      </c>
      <c r="F24" s="146">
        <v>1.2</v>
      </c>
      <c r="G24" s="146">
        <v>90.320167999999995</v>
      </c>
      <c r="H24" s="146">
        <v>6.5947570000000004</v>
      </c>
      <c r="I24" s="146">
        <v>0</v>
      </c>
      <c r="J24" s="146">
        <v>418.76255900000001</v>
      </c>
      <c r="K24" s="146">
        <v>80</v>
      </c>
      <c r="L24" s="146">
        <v>147.97999999999999</v>
      </c>
      <c r="M24" s="146">
        <f t="shared" si="0"/>
        <v>777.16356700000006</v>
      </c>
      <c r="N24" s="112"/>
      <c r="O24" s="162">
        <f>M24/85</f>
        <v>9.1431007882352944</v>
      </c>
    </row>
    <row r="25" spans="1:15" s="81" customFormat="1" x14ac:dyDescent="0.3">
      <c r="A25" s="203" t="s">
        <v>25</v>
      </c>
      <c r="B25" s="155" t="s">
        <v>21</v>
      </c>
      <c r="C25" s="146">
        <v>40.033000000000001</v>
      </c>
      <c r="D25" s="147">
        <v>195</v>
      </c>
      <c r="E25" s="146">
        <v>9</v>
      </c>
      <c r="F25" s="146">
        <v>203</v>
      </c>
      <c r="G25" s="146">
        <v>17795.216710000001</v>
      </c>
      <c r="H25" s="146">
        <v>2821.548358</v>
      </c>
      <c r="I25" s="146">
        <v>0</v>
      </c>
      <c r="J25" s="146">
        <v>1103</v>
      </c>
      <c r="K25" s="146">
        <v>284</v>
      </c>
      <c r="L25" s="146">
        <v>1298.76</v>
      </c>
      <c r="M25" s="146">
        <f t="shared" si="0"/>
        <v>23749.558067999998</v>
      </c>
      <c r="N25" s="161">
        <f>M25/1000</f>
        <v>23.749558067999999</v>
      </c>
      <c r="O25" s="162">
        <f>M25/85</f>
        <v>279.40656550588233</v>
      </c>
    </row>
    <row r="26" spans="1:15" s="81" customFormat="1" x14ac:dyDescent="0.3">
      <c r="A26" s="203"/>
      <c r="B26" s="144" t="s">
        <v>22</v>
      </c>
      <c r="C26" s="146">
        <v>58</v>
      </c>
      <c r="D26" s="147">
        <v>833</v>
      </c>
      <c r="E26" s="146">
        <v>16</v>
      </c>
      <c r="F26" s="146">
        <v>67.5</v>
      </c>
      <c r="G26" s="146">
        <v>37021.831202000001</v>
      </c>
      <c r="H26" s="146">
        <v>4410.4800939999996</v>
      </c>
      <c r="I26" s="146">
        <v>0</v>
      </c>
      <c r="J26" s="146">
        <v>514</v>
      </c>
      <c r="K26" s="146">
        <v>326</v>
      </c>
      <c r="L26" s="146">
        <v>1796.6780000000001</v>
      </c>
      <c r="M26" s="146">
        <f t="shared" si="0"/>
        <v>45043.489296</v>
      </c>
      <c r="N26" s="111"/>
      <c r="O26" s="162"/>
    </row>
    <row r="27" spans="1:15" s="81" customFormat="1" x14ac:dyDescent="0.3">
      <c r="A27" s="203"/>
      <c r="B27" s="156" t="s">
        <v>19</v>
      </c>
      <c r="C27" s="148">
        <f t="shared" ref="C27:M27" si="5">SUM(C25:C26)</f>
        <v>98.033000000000001</v>
      </c>
      <c r="D27" s="148">
        <f t="shared" si="5"/>
        <v>1028</v>
      </c>
      <c r="E27" s="148">
        <f t="shared" si="5"/>
        <v>25</v>
      </c>
      <c r="F27" s="148">
        <f t="shared" si="5"/>
        <v>270.5</v>
      </c>
      <c r="G27" s="148">
        <f t="shared" si="5"/>
        <v>54817.047912000002</v>
      </c>
      <c r="H27" s="148">
        <f t="shared" si="5"/>
        <v>7232.0284519999996</v>
      </c>
      <c r="I27" s="148">
        <f t="shared" si="5"/>
        <v>0</v>
      </c>
      <c r="J27" s="148">
        <f t="shared" si="5"/>
        <v>1617</v>
      </c>
      <c r="K27" s="148">
        <f t="shared" si="5"/>
        <v>610</v>
      </c>
      <c r="L27" s="148">
        <f t="shared" si="5"/>
        <v>3095.4380000000001</v>
      </c>
      <c r="M27" s="148">
        <f t="shared" si="5"/>
        <v>68793.047363999998</v>
      </c>
      <c r="N27" s="161">
        <f>M27/1000</f>
        <v>68.793047364000003</v>
      </c>
      <c r="O27" s="162">
        <f>M27/85</f>
        <v>809.32996898823524</v>
      </c>
    </row>
    <row r="28" spans="1:15" s="75" customFormat="1" x14ac:dyDescent="0.3">
      <c r="A28" s="196" t="s">
        <v>26</v>
      </c>
      <c r="B28" s="151" t="s">
        <v>21</v>
      </c>
      <c r="C28" s="100">
        <v>1837</v>
      </c>
      <c r="D28" s="99">
        <v>74813.440000000002</v>
      </c>
      <c r="E28" s="100">
        <v>1156</v>
      </c>
      <c r="F28" s="100">
        <v>13265</v>
      </c>
      <c r="G28" s="100">
        <v>1347696</v>
      </c>
      <c r="H28" s="100">
        <v>224792</v>
      </c>
      <c r="I28" s="100">
        <v>0</v>
      </c>
      <c r="J28" s="100">
        <v>81573</v>
      </c>
      <c r="K28" s="100">
        <v>26863</v>
      </c>
      <c r="L28" s="100">
        <v>107822</v>
      </c>
      <c r="M28" s="100">
        <f t="shared" si="0"/>
        <v>1879817.44</v>
      </c>
      <c r="N28" s="161">
        <f>M28/1000000</f>
        <v>1.8798174399999998</v>
      </c>
      <c r="O28" s="87"/>
    </row>
    <row r="29" spans="1:15" s="75" customFormat="1" x14ac:dyDescent="0.3">
      <c r="A29" s="196"/>
      <c r="B29" s="152" t="s">
        <v>22</v>
      </c>
      <c r="C29" s="100">
        <v>3053</v>
      </c>
      <c r="D29" s="99">
        <v>546310.56000000006</v>
      </c>
      <c r="E29" s="100">
        <v>1600</v>
      </c>
      <c r="F29" s="100">
        <v>6010</v>
      </c>
      <c r="G29" s="100">
        <v>2260846</v>
      </c>
      <c r="H29" s="100">
        <v>339850</v>
      </c>
      <c r="I29" s="100">
        <v>0</v>
      </c>
      <c r="J29" s="100">
        <v>38364</v>
      </c>
      <c r="K29" s="100">
        <v>30347</v>
      </c>
      <c r="L29" s="100">
        <v>112434</v>
      </c>
      <c r="M29" s="100">
        <f t="shared" si="0"/>
        <v>3338814.56</v>
      </c>
      <c r="N29" s="161"/>
      <c r="O29" s="87"/>
    </row>
    <row r="30" spans="1:15" s="75" customFormat="1" x14ac:dyDescent="0.3">
      <c r="A30" s="196"/>
      <c r="B30" s="153" t="s">
        <v>19</v>
      </c>
      <c r="C30" s="135">
        <f t="shared" ref="C30:M30" si="6">SUM(C28:C29)</f>
        <v>4890</v>
      </c>
      <c r="D30" s="135">
        <f t="shared" si="6"/>
        <v>621124</v>
      </c>
      <c r="E30" s="135">
        <f t="shared" si="6"/>
        <v>2756</v>
      </c>
      <c r="F30" s="135">
        <f t="shared" si="6"/>
        <v>19275</v>
      </c>
      <c r="G30" s="135">
        <f t="shared" si="6"/>
        <v>3608542</v>
      </c>
      <c r="H30" s="135">
        <f t="shared" si="6"/>
        <v>564642</v>
      </c>
      <c r="I30" s="135">
        <f t="shared" si="6"/>
        <v>0</v>
      </c>
      <c r="J30" s="135">
        <f t="shared" si="6"/>
        <v>119937</v>
      </c>
      <c r="K30" s="135">
        <f t="shared" si="6"/>
        <v>57210</v>
      </c>
      <c r="L30" s="135">
        <f t="shared" si="6"/>
        <v>220256</v>
      </c>
      <c r="M30" s="135">
        <f t="shared" si="6"/>
        <v>5218632</v>
      </c>
      <c r="N30" s="161">
        <f>M30/1000000</f>
        <v>5.2186320000000004</v>
      </c>
      <c r="O30" s="87"/>
    </row>
    <row r="31" spans="1:15" s="75" customFormat="1" hidden="1" x14ac:dyDescent="0.3">
      <c r="A31" s="196" t="s">
        <v>27</v>
      </c>
      <c r="B31" s="151" t="s">
        <v>21</v>
      </c>
      <c r="C31" s="100">
        <v>0</v>
      </c>
      <c r="D31" s="99">
        <v>0</v>
      </c>
      <c r="E31" s="100">
        <v>0</v>
      </c>
      <c r="F31" s="100">
        <v>0</v>
      </c>
      <c r="G31" s="100">
        <v>0</v>
      </c>
      <c r="H31" s="100">
        <v>0</v>
      </c>
      <c r="I31" s="100">
        <v>0</v>
      </c>
      <c r="J31" s="100">
        <v>0</v>
      </c>
      <c r="K31" s="100">
        <v>0</v>
      </c>
      <c r="L31" s="100">
        <v>0</v>
      </c>
      <c r="M31" s="100">
        <f t="shared" si="0"/>
        <v>0</v>
      </c>
      <c r="N31" s="111"/>
      <c r="O31" s="87"/>
    </row>
    <row r="32" spans="1:15" s="75" customFormat="1" hidden="1" x14ac:dyDescent="0.3">
      <c r="A32" s="196"/>
      <c r="B32" s="152" t="s">
        <v>22</v>
      </c>
      <c r="C32" s="100">
        <v>0</v>
      </c>
      <c r="D32" s="99">
        <v>0</v>
      </c>
      <c r="E32" s="100">
        <v>0</v>
      </c>
      <c r="F32" s="100">
        <v>0</v>
      </c>
      <c r="G32" s="100">
        <v>0</v>
      </c>
      <c r="H32" s="100">
        <v>0</v>
      </c>
      <c r="I32" s="100">
        <v>0</v>
      </c>
      <c r="J32" s="100">
        <v>0</v>
      </c>
      <c r="K32" s="100">
        <v>0</v>
      </c>
      <c r="L32" s="100">
        <v>0</v>
      </c>
      <c r="M32" s="100">
        <f t="shared" si="0"/>
        <v>0</v>
      </c>
      <c r="N32" s="111"/>
      <c r="O32" s="87"/>
    </row>
    <row r="33" spans="1:15" s="75" customFormat="1" hidden="1" x14ac:dyDescent="0.3">
      <c r="A33" s="196"/>
      <c r="B33" s="157" t="s">
        <v>19</v>
      </c>
      <c r="C33" s="100">
        <v>0</v>
      </c>
      <c r="D33" s="99">
        <v>0</v>
      </c>
      <c r="E33" s="100">
        <v>0</v>
      </c>
      <c r="F33" s="100">
        <v>0</v>
      </c>
      <c r="G33" s="100">
        <v>0</v>
      </c>
      <c r="H33" s="100">
        <v>0</v>
      </c>
      <c r="I33" s="100">
        <v>0</v>
      </c>
      <c r="J33" s="100">
        <v>0</v>
      </c>
      <c r="K33" s="100">
        <v>0</v>
      </c>
      <c r="L33" s="100">
        <v>0</v>
      </c>
      <c r="M33" s="100">
        <f t="shared" si="0"/>
        <v>0</v>
      </c>
      <c r="N33" s="111"/>
      <c r="O33" s="87"/>
    </row>
    <row r="34" spans="1:15" s="81" customFormat="1" hidden="1" x14ac:dyDescent="0.3">
      <c r="A34" s="207" t="s">
        <v>28</v>
      </c>
      <c r="B34" s="155" t="s">
        <v>21</v>
      </c>
      <c r="C34" s="100">
        <v>0</v>
      </c>
      <c r="D34" s="99">
        <v>0</v>
      </c>
      <c r="E34" s="100">
        <v>0</v>
      </c>
      <c r="F34" s="100">
        <v>0</v>
      </c>
      <c r="G34" s="100">
        <v>0</v>
      </c>
      <c r="H34" s="100">
        <v>0</v>
      </c>
      <c r="I34" s="100">
        <v>0</v>
      </c>
      <c r="J34" s="100">
        <v>0</v>
      </c>
      <c r="K34" s="100">
        <v>0</v>
      </c>
      <c r="L34" s="100">
        <v>0</v>
      </c>
      <c r="M34" s="100">
        <f t="shared" si="0"/>
        <v>0</v>
      </c>
      <c r="N34" s="111"/>
      <c r="O34" s="87"/>
    </row>
    <row r="35" spans="1:15" s="81" customFormat="1" hidden="1" x14ac:dyDescent="0.3">
      <c r="A35" s="207"/>
      <c r="B35" s="144" t="s">
        <v>22</v>
      </c>
      <c r="C35" s="100">
        <v>0</v>
      </c>
      <c r="D35" s="99">
        <v>0</v>
      </c>
      <c r="E35" s="100">
        <v>0</v>
      </c>
      <c r="F35" s="100">
        <v>0</v>
      </c>
      <c r="G35" s="100">
        <v>0</v>
      </c>
      <c r="H35" s="100">
        <v>0</v>
      </c>
      <c r="I35" s="100">
        <v>0</v>
      </c>
      <c r="J35" s="100">
        <v>0</v>
      </c>
      <c r="K35" s="100">
        <v>0</v>
      </c>
      <c r="L35" s="100">
        <v>0</v>
      </c>
      <c r="M35" s="100">
        <f t="shared" si="0"/>
        <v>0</v>
      </c>
      <c r="N35" s="111"/>
      <c r="O35" s="87"/>
    </row>
    <row r="36" spans="1:15" s="81" customFormat="1" hidden="1" x14ac:dyDescent="0.3">
      <c r="A36" s="207"/>
      <c r="B36" s="158" t="s">
        <v>19</v>
      </c>
      <c r="C36" s="100">
        <v>0</v>
      </c>
      <c r="D36" s="99">
        <v>0</v>
      </c>
      <c r="E36" s="100">
        <v>0</v>
      </c>
      <c r="F36" s="100">
        <v>0</v>
      </c>
      <c r="G36" s="100">
        <v>0</v>
      </c>
      <c r="H36" s="100">
        <v>0</v>
      </c>
      <c r="I36" s="100">
        <v>0</v>
      </c>
      <c r="J36" s="100">
        <v>0</v>
      </c>
      <c r="K36" s="100">
        <v>0</v>
      </c>
      <c r="L36" s="100">
        <v>0</v>
      </c>
      <c r="M36" s="100">
        <f t="shared" si="0"/>
        <v>0</v>
      </c>
      <c r="N36" s="111"/>
      <c r="O36" s="87"/>
    </row>
    <row r="37" spans="1:15" s="87" customFormat="1" hidden="1" x14ac:dyDescent="0.3">
      <c r="A37" s="208" t="s">
        <v>29</v>
      </c>
      <c r="B37" s="159" t="s">
        <v>21</v>
      </c>
      <c r="C37" s="100">
        <v>0</v>
      </c>
      <c r="D37" s="99">
        <v>0</v>
      </c>
      <c r="E37" s="100">
        <v>0</v>
      </c>
      <c r="F37" s="100">
        <v>0</v>
      </c>
      <c r="G37" s="100">
        <v>0</v>
      </c>
      <c r="H37" s="100">
        <v>0</v>
      </c>
      <c r="I37" s="100">
        <v>0</v>
      </c>
      <c r="J37" s="100">
        <v>0</v>
      </c>
      <c r="K37" s="100">
        <v>0</v>
      </c>
      <c r="L37" s="100">
        <v>0</v>
      </c>
      <c r="M37" s="100">
        <f t="shared" si="0"/>
        <v>0</v>
      </c>
      <c r="N37" s="111"/>
    </row>
    <row r="38" spans="1:15" s="87" customFormat="1" hidden="1" x14ac:dyDescent="0.3">
      <c r="A38" s="208"/>
      <c r="B38" s="100" t="s">
        <v>22</v>
      </c>
      <c r="C38" s="100">
        <v>0</v>
      </c>
      <c r="D38" s="99">
        <v>0</v>
      </c>
      <c r="E38" s="100">
        <v>0</v>
      </c>
      <c r="F38" s="100">
        <v>0</v>
      </c>
      <c r="G38" s="100">
        <v>0</v>
      </c>
      <c r="H38" s="100">
        <v>0</v>
      </c>
      <c r="I38" s="100">
        <v>0</v>
      </c>
      <c r="J38" s="100">
        <v>0</v>
      </c>
      <c r="K38" s="100">
        <v>0</v>
      </c>
      <c r="L38" s="100">
        <v>0</v>
      </c>
      <c r="M38" s="100">
        <f t="shared" si="0"/>
        <v>0</v>
      </c>
      <c r="N38" s="111"/>
    </row>
    <row r="39" spans="1:15" s="87" customFormat="1" hidden="1" x14ac:dyDescent="0.3">
      <c r="A39" s="208"/>
      <c r="B39" s="160" t="s">
        <v>19</v>
      </c>
      <c r="C39" s="100">
        <v>0</v>
      </c>
      <c r="D39" s="99">
        <v>0</v>
      </c>
      <c r="E39" s="100">
        <v>0</v>
      </c>
      <c r="F39" s="100">
        <v>0</v>
      </c>
      <c r="G39" s="100">
        <v>0</v>
      </c>
      <c r="H39" s="100">
        <v>0</v>
      </c>
      <c r="I39" s="100">
        <v>0</v>
      </c>
      <c r="J39" s="100">
        <v>0</v>
      </c>
      <c r="K39" s="100">
        <v>0</v>
      </c>
      <c r="L39" s="100">
        <v>0</v>
      </c>
      <c r="M39" s="100">
        <f t="shared" si="0"/>
        <v>0</v>
      </c>
      <c r="N39" s="111"/>
    </row>
    <row r="40" spans="1:15" s="87" customFormat="1" x14ac:dyDescent="0.3">
      <c r="A40" s="203" t="s">
        <v>245</v>
      </c>
      <c r="B40" s="151" t="s">
        <v>21</v>
      </c>
      <c r="C40" s="100">
        <v>0</v>
      </c>
      <c r="D40" s="99">
        <v>0</v>
      </c>
      <c r="E40" s="100">
        <v>0</v>
      </c>
      <c r="F40" s="100">
        <v>10167</v>
      </c>
      <c r="G40" s="100">
        <v>487578</v>
      </c>
      <c r="H40" s="100">
        <v>0</v>
      </c>
      <c r="I40" s="100">
        <v>0</v>
      </c>
      <c r="J40" s="100">
        <v>143062</v>
      </c>
      <c r="K40" s="100">
        <v>5834</v>
      </c>
      <c r="L40" s="100">
        <v>56711</v>
      </c>
      <c r="M40" s="100">
        <f t="shared" si="0"/>
        <v>703352</v>
      </c>
    </row>
    <row r="41" spans="1:15" s="87" customFormat="1" x14ac:dyDescent="0.3">
      <c r="A41" s="203"/>
      <c r="B41" s="152" t="s">
        <v>22</v>
      </c>
      <c r="C41" s="100">
        <v>0</v>
      </c>
      <c r="D41" s="99">
        <v>0</v>
      </c>
      <c r="E41" s="100">
        <v>0</v>
      </c>
      <c r="F41" s="100">
        <v>5833</v>
      </c>
      <c r="G41" s="100">
        <v>1681957</v>
      </c>
      <c r="H41" s="100">
        <v>0</v>
      </c>
      <c r="I41" s="100">
        <v>0</v>
      </c>
      <c r="J41" s="100">
        <v>30698</v>
      </c>
      <c r="K41" s="100">
        <v>21566</v>
      </c>
      <c r="L41" s="100">
        <v>63830</v>
      </c>
      <c r="M41" s="100">
        <f t="shared" si="0"/>
        <v>1803884</v>
      </c>
    </row>
    <row r="42" spans="1:15" s="87" customFormat="1" x14ac:dyDescent="0.3">
      <c r="A42" s="203"/>
      <c r="B42" s="153" t="s">
        <v>19</v>
      </c>
      <c r="C42" s="135">
        <f t="shared" ref="C42:M42" si="7">SUM(C40:C41)</f>
        <v>0</v>
      </c>
      <c r="D42" s="135">
        <f t="shared" si="7"/>
        <v>0</v>
      </c>
      <c r="E42" s="135">
        <f t="shared" si="7"/>
        <v>0</v>
      </c>
      <c r="F42" s="135">
        <f t="shared" si="7"/>
        <v>16000</v>
      </c>
      <c r="G42" s="135">
        <f t="shared" si="7"/>
        <v>2169535</v>
      </c>
      <c r="H42" s="135">
        <f t="shared" si="7"/>
        <v>0</v>
      </c>
      <c r="I42" s="135">
        <f t="shared" si="7"/>
        <v>0</v>
      </c>
      <c r="J42" s="135">
        <f t="shared" si="7"/>
        <v>173760</v>
      </c>
      <c r="K42" s="135">
        <f t="shared" si="7"/>
        <v>27400</v>
      </c>
      <c r="L42" s="135">
        <f t="shared" si="7"/>
        <v>120541</v>
      </c>
      <c r="M42" s="135">
        <f t="shared" si="7"/>
        <v>2507236</v>
      </c>
      <c r="N42" s="81">
        <f>M42/1000000</f>
        <v>2.5072359999999998</v>
      </c>
    </row>
    <row r="43" spans="1:15" s="75" customFormat="1" ht="13.2" customHeight="1" x14ac:dyDescent="0.3">
      <c r="A43" s="209" t="s">
        <v>246</v>
      </c>
      <c r="B43" s="152" t="s">
        <v>21</v>
      </c>
      <c r="C43" s="100">
        <v>0</v>
      </c>
      <c r="D43" s="99"/>
      <c r="E43" s="100">
        <v>0</v>
      </c>
      <c r="F43" s="100">
        <v>10167</v>
      </c>
      <c r="G43" s="100">
        <v>1304939</v>
      </c>
      <c r="H43" s="100">
        <v>0</v>
      </c>
      <c r="I43" s="100">
        <v>0</v>
      </c>
      <c r="J43" s="100">
        <v>295840</v>
      </c>
      <c r="K43" s="100">
        <v>5834</v>
      </c>
      <c r="L43" s="100">
        <v>61653</v>
      </c>
      <c r="M43" s="100">
        <f t="shared" si="0"/>
        <v>1678433</v>
      </c>
      <c r="N43" s="81">
        <f>M43/1000000</f>
        <v>1.6784330000000001</v>
      </c>
      <c r="O43" s="87"/>
    </row>
    <row r="44" spans="1:15" s="75" customFormat="1" x14ac:dyDescent="0.3">
      <c r="A44" s="209"/>
      <c r="B44" s="152" t="s">
        <v>22</v>
      </c>
      <c r="C44" s="100">
        <v>0</v>
      </c>
      <c r="D44" s="99"/>
      <c r="E44" s="100">
        <v>0</v>
      </c>
      <c r="F44" s="100">
        <v>5833</v>
      </c>
      <c r="G44" s="100">
        <v>2278340</v>
      </c>
      <c r="H44" s="100">
        <v>0</v>
      </c>
      <c r="I44" s="100">
        <v>0</v>
      </c>
      <c r="J44" s="100">
        <v>230751</v>
      </c>
      <c r="K44" s="100">
        <v>21566</v>
      </c>
      <c r="L44" s="100">
        <v>68748</v>
      </c>
      <c r="M44" s="100">
        <f t="shared" si="0"/>
        <v>2605238</v>
      </c>
      <c r="N44" s="111"/>
      <c r="O44" s="87"/>
    </row>
    <row r="45" spans="1:15" s="75" customFormat="1" x14ac:dyDescent="0.3">
      <c r="A45" s="209"/>
      <c r="B45" s="153" t="s">
        <v>19</v>
      </c>
      <c r="C45" s="135">
        <f t="shared" ref="C45:M45" si="8">SUM(C43:C44)</f>
        <v>0</v>
      </c>
      <c r="D45" s="135">
        <f t="shared" si="8"/>
        <v>0</v>
      </c>
      <c r="E45" s="135">
        <f t="shared" si="8"/>
        <v>0</v>
      </c>
      <c r="F45" s="135">
        <f t="shared" si="8"/>
        <v>16000</v>
      </c>
      <c r="G45" s="135">
        <f t="shared" si="8"/>
        <v>3583279</v>
      </c>
      <c r="H45" s="135">
        <f t="shared" si="8"/>
        <v>0</v>
      </c>
      <c r="I45" s="135">
        <f t="shared" si="8"/>
        <v>0</v>
      </c>
      <c r="J45" s="135">
        <f t="shared" si="8"/>
        <v>526591</v>
      </c>
      <c r="K45" s="135">
        <f t="shared" si="8"/>
        <v>27400</v>
      </c>
      <c r="L45" s="135">
        <f t="shared" si="8"/>
        <v>130401</v>
      </c>
      <c r="M45" s="135">
        <f t="shared" si="8"/>
        <v>4283671</v>
      </c>
      <c r="N45" s="81">
        <f>M45/1000000</f>
        <v>4.283671</v>
      </c>
      <c r="O45" s="87"/>
    </row>
    <row r="46" spans="1:15" s="90" customFormat="1" x14ac:dyDescent="0.3">
      <c r="A46" s="199" t="s">
        <v>31</v>
      </c>
      <c r="B46" s="200"/>
      <c r="C46" s="100">
        <v>861</v>
      </c>
      <c r="D46" s="99">
        <v>3576</v>
      </c>
      <c r="E46" s="100">
        <v>949</v>
      </c>
      <c r="F46" s="100">
        <v>458</v>
      </c>
      <c r="G46" s="100">
        <v>24335</v>
      </c>
      <c r="H46" s="100">
        <v>6610</v>
      </c>
      <c r="I46" s="100">
        <v>0</v>
      </c>
      <c r="J46" s="100">
        <v>29764</v>
      </c>
      <c r="K46" s="100">
        <v>6141</v>
      </c>
      <c r="L46" s="100">
        <v>50108</v>
      </c>
      <c r="M46" s="100">
        <f t="shared" si="0"/>
        <v>122802</v>
      </c>
      <c r="N46" s="111"/>
      <c r="O46" s="87"/>
    </row>
    <row r="47" spans="1:15" s="90" customFormat="1" x14ac:dyDescent="0.3">
      <c r="A47" s="199" t="s">
        <v>32</v>
      </c>
      <c r="B47" s="200"/>
      <c r="C47" s="100">
        <v>800</v>
      </c>
      <c r="D47" s="99">
        <v>3576</v>
      </c>
      <c r="E47" s="100">
        <v>937</v>
      </c>
      <c r="F47" s="100">
        <v>458</v>
      </c>
      <c r="G47" s="100">
        <v>22705</v>
      </c>
      <c r="H47" s="100">
        <v>6381</v>
      </c>
      <c r="I47" s="100">
        <v>16</v>
      </c>
      <c r="J47" s="100">
        <v>29774</v>
      </c>
      <c r="K47" s="100">
        <v>5960</v>
      </c>
      <c r="L47" s="100">
        <v>49370</v>
      </c>
      <c r="M47" s="100">
        <f t="shared" si="0"/>
        <v>119977</v>
      </c>
      <c r="N47" s="111"/>
      <c r="O47" s="87"/>
    </row>
    <row r="48" spans="1:15" s="91" customFormat="1" x14ac:dyDescent="0.3">
      <c r="A48" s="199" t="s">
        <v>33</v>
      </c>
      <c r="B48" s="200"/>
      <c r="C48" s="100">
        <v>66930</v>
      </c>
      <c r="D48" s="99">
        <v>284440</v>
      </c>
      <c r="E48" s="100">
        <v>36312</v>
      </c>
      <c r="F48" s="100">
        <v>56974</v>
      </c>
      <c r="G48" s="100">
        <v>998473</v>
      </c>
      <c r="H48" s="100">
        <v>709744</v>
      </c>
      <c r="I48" s="100">
        <v>0</v>
      </c>
      <c r="J48" s="100">
        <v>96823</v>
      </c>
      <c r="K48" s="100">
        <v>1321649</v>
      </c>
      <c r="L48" s="100">
        <v>307861</v>
      </c>
      <c r="M48" s="100">
        <f t="shared" si="0"/>
        <v>3879206</v>
      </c>
      <c r="N48" s="81">
        <f>M48/1000000</f>
        <v>3.8792059999999999</v>
      </c>
      <c r="O48" s="87"/>
    </row>
    <row r="49" spans="1:15" s="92" customFormat="1" x14ac:dyDescent="0.3">
      <c r="A49" s="192" t="s">
        <v>34</v>
      </c>
      <c r="B49" s="193"/>
      <c r="C49" s="146">
        <v>544</v>
      </c>
      <c r="D49" s="147">
        <v>1825.46</v>
      </c>
      <c r="E49" s="146">
        <v>742</v>
      </c>
      <c r="F49" s="146">
        <v>124</v>
      </c>
      <c r="G49" s="146">
        <v>5459.4028470000003</v>
      </c>
      <c r="H49" s="146">
        <v>1675.4444720000001</v>
      </c>
      <c r="I49" s="146">
        <v>20</v>
      </c>
      <c r="J49" s="146">
        <v>1745</v>
      </c>
      <c r="K49" s="146">
        <v>2714</v>
      </c>
      <c r="L49" s="146">
        <v>531</v>
      </c>
      <c r="M49" s="146">
        <f t="shared" si="0"/>
        <v>15380.307319</v>
      </c>
      <c r="N49" s="111"/>
      <c r="O49" s="162">
        <f>M49/85</f>
        <v>180.94479198823529</v>
      </c>
    </row>
    <row r="50" spans="1:15" s="93" customFormat="1" x14ac:dyDescent="0.3">
      <c r="A50" s="194" t="s">
        <v>35</v>
      </c>
      <c r="B50" s="195" t="s">
        <v>36</v>
      </c>
      <c r="C50" s="100">
        <v>0</v>
      </c>
      <c r="D50" s="99">
        <v>867</v>
      </c>
      <c r="E50" s="100">
        <v>50</v>
      </c>
      <c r="F50" s="100">
        <v>12</v>
      </c>
      <c r="G50" s="100">
        <v>504</v>
      </c>
      <c r="H50" s="100">
        <v>277</v>
      </c>
      <c r="I50" s="100">
        <v>17</v>
      </c>
      <c r="J50" s="100">
        <v>2</v>
      </c>
      <c r="K50" s="100">
        <v>73</v>
      </c>
      <c r="L50" s="100">
        <v>110</v>
      </c>
      <c r="M50" s="100">
        <f t="shared" si="0"/>
        <v>1912</v>
      </c>
      <c r="N50" s="111"/>
      <c r="O50" s="87"/>
    </row>
    <row r="51" spans="1:15" s="75" customFormat="1" x14ac:dyDescent="0.3">
      <c r="A51" s="196" t="s">
        <v>37</v>
      </c>
      <c r="B51" s="76" t="s">
        <v>36</v>
      </c>
      <c r="C51" s="100">
        <v>0</v>
      </c>
      <c r="D51" s="99">
        <v>2900</v>
      </c>
      <c r="E51" s="100">
        <v>687</v>
      </c>
      <c r="F51" s="100">
        <v>780</v>
      </c>
      <c r="G51" s="100">
        <v>8041</v>
      </c>
      <c r="H51" s="100">
        <v>8968</v>
      </c>
      <c r="I51" s="100">
        <v>0</v>
      </c>
      <c r="J51" s="100">
        <v>25</v>
      </c>
      <c r="K51" s="100">
        <v>1991</v>
      </c>
      <c r="L51" s="100">
        <v>0</v>
      </c>
      <c r="M51" s="100">
        <f t="shared" si="0"/>
        <v>23392</v>
      </c>
      <c r="N51" s="111"/>
      <c r="O51" s="87"/>
    </row>
    <row r="52" spans="1:15" s="75" customFormat="1" x14ac:dyDescent="0.3">
      <c r="A52" s="196"/>
      <c r="B52" s="77" t="s">
        <v>38</v>
      </c>
      <c r="C52" s="100">
        <v>0</v>
      </c>
      <c r="D52" s="99">
        <v>7375</v>
      </c>
      <c r="E52" s="100">
        <v>655</v>
      </c>
      <c r="F52" s="100">
        <v>608</v>
      </c>
      <c r="G52" s="100">
        <v>8853</v>
      </c>
      <c r="H52" s="100">
        <v>8863</v>
      </c>
      <c r="I52" s="100">
        <v>0</v>
      </c>
      <c r="J52" s="100">
        <v>55</v>
      </c>
      <c r="K52" s="100">
        <v>2470</v>
      </c>
      <c r="L52" s="100">
        <v>0</v>
      </c>
      <c r="M52" s="100">
        <f t="shared" si="0"/>
        <v>28879</v>
      </c>
      <c r="N52" s="111"/>
      <c r="O52" s="87"/>
    </row>
    <row r="53" spans="1:15" s="75" customFormat="1" x14ac:dyDescent="0.3">
      <c r="A53" s="196"/>
      <c r="B53" s="78" t="s">
        <v>19</v>
      </c>
      <c r="C53" s="135">
        <f t="shared" ref="C53:M53" si="9">SUM(C51:C52)</f>
        <v>0</v>
      </c>
      <c r="D53" s="135">
        <f t="shared" si="9"/>
        <v>10275</v>
      </c>
      <c r="E53" s="135">
        <f t="shared" si="9"/>
        <v>1342</v>
      </c>
      <c r="F53" s="135">
        <f t="shared" si="9"/>
        <v>1388</v>
      </c>
      <c r="G53" s="135">
        <f t="shared" si="9"/>
        <v>16894</v>
      </c>
      <c r="H53" s="135">
        <f t="shared" si="9"/>
        <v>17831</v>
      </c>
      <c r="I53" s="135">
        <f t="shared" si="9"/>
        <v>0</v>
      </c>
      <c r="J53" s="135">
        <f t="shared" si="9"/>
        <v>80</v>
      </c>
      <c r="K53" s="135">
        <f t="shared" si="9"/>
        <v>4461</v>
      </c>
      <c r="L53" s="135">
        <f t="shared" si="9"/>
        <v>0</v>
      </c>
      <c r="M53" s="135">
        <f t="shared" si="9"/>
        <v>52271</v>
      </c>
      <c r="N53" s="112">
        <f>M51/M53%</f>
        <v>44.75139178511985</v>
      </c>
      <c r="O53" s="87"/>
    </row>
    <row r="54" spans="1:15" s="75" customFormat="1" x14ac:dyDescent="0.3">
      <c r="A54" s="197" t="s">
        <v>39</v>
      </c>
      <c r="B54" s="76" t="s">
        <v>21</v>
      </c>
      <c r="C54" s="100">
        <v>0</v>
      </c>
      <c r="D54" s="99">
        <v>0</v>
      </c>
      <c r="E54" s="100">
        <v>0</v>
      </c>
      <c r="F54" s="100">
        <v>0</v>
      </c>
      <c r="G54" s="100">
        <v>21563</v>
      </c>
      <c r="H54" s="100">
        <v>0</v>
      </c>
      <c r="I54" s="100">
        <v>0</v>
      </c>
      <c r="J54" s="100">
        <v>58</v>
      </c>
      <c r="K54" s="100">
        <v>55</v>
      </c>
      <c r="L54" s="100">
        <v>0</v>
      </c>
      <c r="M54" s="100">
        <f t="shared" si="0"/>
        <v>21676</v>
      </c>
      <c r="N54" s="111"/>
      <c r="O54" s="87"/>
    </row>
    <row r="55" spans="1:15" s="75" customFormat="1" x14ac:dyDescent="0.3">
      <c r="A55" s="197"/>
      <c r="B55" s="77" t="s">
        <v>22</v>
      </c>
      <c r="C55" s="100">
        <v>0</v>
      </c>
      <c r="D55" s="99">
        <v>0</v>
      </c>
      <c r="E55" s="100">
        <v>0</v>
      </c>
      <c r="F55" s="100">
        <v>0</v>
      </c>
      <c r="G55" s="100">
        <v>2174</v>
      </c>
      <c r="H55" s="100">
        <v>0</v>
      </c>
      <c r="I55" s="100">
        <v>0</v>
      </c>
      <c r="J55" s="100">
        <v>0</v>
      </c>
      <c r="K55" s="100">
        <v>38</v>
      </c>
      <c r="L55" s="100">
        <v>0</v>
      </c>
      <c r="M55" s="100">
        <f t="shared" si="0"/>
        <v>2212</v>
      </c>
      <c r="N55" s="111"/>
      <c r="O55" s="87"/>
    </row>
    <row r="56" spans="1:15" s="75" customFormat="1" x14ac:dyDescent="0.3">
      <c r="A56" s="197"/>
      <c r="B56" s="78" t="s">
        <v>19</v>
      </c>
      <c r="C56" s="135">
        <f t="shared" ref="C56:M56" si="10">SUM(C54:C55)</f>
        <v>0</v>
      </c>
      <c r="D56" s="135">
        <f t="shared" si="10"/>
        <v>0</v>
      </c>
      <c r="E56" s="135">
        <f t="shared" si="10"/>
        <v>0</v>
      </c>
      <c r="F56" s="135">
        <f t="shared" si="10"/>
        <v>0</v>
      </c>
      <c r="G56" s="135">
        <f t="shared" si="10"/>
        <v>23737</v>
      </c>
      <c r="H56" s="135">
        <f t="shared" si="10"/>
        <v>0</v>
      </c>
      <c r="I56" s="135">
        <f t="shared" si="10"/>
        <v>0</v>
      </c>
      <c r="J56" s="135">
        <f t="shared" si="10"/>
        <v>58</v>
      </c>
      <c r="K56" s="135">
        <f t="shared" si="10"/>
        <v>93</v>
      </c>
      <c r="L56" s="135">
        <f t="shared" si="10"/>
        <v>0</v>
      </c>
      <c r="M56" s="135">
        <f t="shared" si="10"/>
        <v>23888</v>
      </c>
      <c r="N56" s="111"/>
      <c r="O56" s="87"/>
    </row>
    <row r="57" spans="1:15" s="75" customFormat="1" x14ac:dyDescent="0.3">
      <c r="A57" s="196" t="s">
        <v>235</v>
      </c>
      <c r="B57" s="76" t="s">
        <v>21</v>
      </c>
      <c r="C57" s="100">
        <v>31</v>
      </c>
      <c r="D57" s="99">
        <v>1243</v>
      </c>
      <c r="E57" s="100">
        <v>894</v>
      </c>
      <c r="F57" s="100">
        <v>95</v>
      </c>
      <c r="G57" s="100">
        <v>3153</v>
      </c>
      <c r="H57" s="100">
        <v>8442</v>
      </c>
      <c r="I57" s="100">
        <v>0</v>
      </c>
      <c r="J57" s="100">
        <v>3005</v>
      </c>
      <c r="K57" s="100">
        <v>1066</v>
      </c>
      <c r="L57" s="100">
        <v>675</v>
      </c>
      <c r="M57" s="100">
        <f t="shared" si="0"/>
        <v>18604</v>
      </c>
      <c r="N57" s="111"/>
      <c r="O57" s="87"/>
    </row>
    <row r="58" spans="1:15" s="75" customFormat="1" x14ac:dyDescent="0.3">
      <c r="A58" s="196"/>
      <c r="B58" s="77" t="s">
        <v>22</v>
      </c>
      <c r="C58" s="100">
        <v>0</v>
      </c>
      <c r="D58" s="99">
        <v>0</v>
      </c>
      <c r="E58" s="100">
        <v>0</v>
      </c>
      <c r="F58" s="100">
        <v>0</v>
      </c>
      <c r="G58" s="100">
        <v>0</v>
      </c>
      <c r="H58" s="100">
        <v>1770</v>
      </c>
      <c r="I58" s="100">
        <v>0</v>
      </c>
      <c r="J58" s="100">
        <v>0</v>
      </c>
      <c r="K58" s="100">
        <v>467</v>
      </c>
      <c r="L58" s="100">
        <v>675</v>
      </c>
      <c r="M58" s="100">
        <f t="shared" si="0"/>
        <v>2912</v>
      </c>
      <c r="N58" s="111"/>
      <c r="O58" s="87"/>
    </row>
    <row r="59" spans="1:15" s="75" customFormat="1" ht="14.4" thickBot="1" x14ac:dyDescent="0.35">
      <c r="A59" s="198"/>
      <c r="B59" s="94" t="s">
        <v>19</v>
      </c>
      <c r="C59" s="135">
        <f t="shared" ref="C59:M59" si="11">SUM(C57:C58)</f>
        <v>31</v>
      </c>
      <c r="D59" s="135">
        <f t="shared" si="11"/>
        <v>1243</v>
      </c>
      <c r="E59" s="135">
        <f t="shared" si="11"/>
        <v>894</v>
      </c>
      <c r="F59" s="135">
        <f t="shared" si="11"/>
        <v>95</v>
      </c>
      <c r="G59" s="135">
        <f t="shared" si="11"/>
        <v>3153</v>
      </c>
      <c r="H59" s="135">
        <f t="shared" si="11"/>
        <v>10212</v>
      </c>
      <c r="I59" s="135">
        <f t="shared" si="11"/>
        <v>0</v>
      </c>
      <c r="J59" s="135">
        <f t="shared" si="11"/>
        <v>3005</v>
      </c>
      <c r="K59" s="135">
        <f t="shared" si="11"/>
        <v>1533</v>
      </c>
      <c r="L59" s="135">
        <f t="shared" si="11"/>
        <v>1350</v>
      </c>
      <c r="M59" s="135">
        <f t="shared" si="11"/>
        <v>21516</v>
      </c>
      <c r="N59" s="111"/>
      <c r="O59" s="87"/>
    </row>
    <row r="60" spans="1:15" x14ac:dyDescent="0.3">
      <c r="A60" s="95" t="s">
        <v>266</v>
      </c>
      <c r="K60" s="77"/>
    </row>
    <row r="61" spans="1:15" x14ac:dyDescent="0.3">
      <c r="A61" s="95" t="s">
        <v>267</v>
      </c>
    </row>
  </sheetData>
  <mergeCells count="25">
    <mergeCell ref="A57:A59"/>
    <mergeCell ref="A47:B47"/>
    <mergeCell ref="A48:B48"/>
    <mergeCell ref="A49:B49"/>
    <mergeCell ref="A50:B50"/>
    <mergeCell ref="A51:A53"/>
    <mergeCell ref="A54:A56"/>
    <mergeCell ref="A46:B46"/>
    <mergeCell ref="A12:A14"/>
    <mergeCell ref="A15:A17"/>
    <mergeCell ref="A18:A20"/>
    <mergeCell ref="A21:A24"/>
    <mergeCell ref="A25:A27"/>
    <mergeCell ref="A28:A30"/>
    <mergeCell ref="A31:A33"/>
    <mergeCell ref="A34:A36"/>
    <mergeCell ref="A37:A39"/>
    <mergeCell ref="A40:A42"/>
    <mergeCell ref="A43:A45"/>
    <mergeCell ref="A8:A11"/>
    <mergeCell ref="A2:B2"/>
    <mergeCell ref="A4:B4"/>
    <mergeCell ref="A5:B5"/>
    <mergeCell ref="A6:B6"/>
    <mergeCell ref="A7:B7"/>
  </mergeCells>
  <printOptions horizontalCentered="1" verticalCentered="1"/>
  <pageMargins left="0.2" right="0.21" top="0.2" bottom="0.16" header="0.17" footer="0.16"/>
  <pageSetup paperSize="9" scale="77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10</vt:i4>
      </vt:variant>
    </vt:vector>
  </HeadingPairs>
  <TitlesOfParts>
    <vt:vector size="17" baseType="lpstr">
      <vt:lpstr>Graphs for presentation</vt:lpstr>
      <vt:lpstr>1.RSP Districts </vt:lpstr>
      <vt:lpstr>2. Overall com progres Dec 11</vt:lpstr>
      <vt:lpstr>Overall com progres Sep11(4Ref)</vt:lpstr>
      <vt:lpstr>Figs for ppt</vt:lpstr>
      <vt:lpstr>Overall commulative progres (2)</vt:lpstr>
      <vt:lpstr>3. Overall com progres Jun(ref)</vt:lpstr>
      <vt:lpstr>'1.RSP Districts '!Print_Area</vt:lpstr>
      <vt:lpstr>'2. Overall com progres Dec 11'!Print_Area</vt:lpstr>
      <vt:lpstr>'3. Overall com progres Jun(ref)'!Print_Area</vt:lpstr>
      <vt:lpstr>'Overall com progres Sep11(4Ref)'!Print_Area</vt:lpstr>
      <vt:lpstr>'Overall commulative progres (2)'!Print_Area</vt:lpstr>
      <vt:lpstr>'1.RSP Districts '!Print_Titles</vt:lpstr>
      <vt:lpstr>'2. Overall com progres Dec 11'!Print_Titles</vt:lpstr>
      <vt:lpstr>'3. Overall com progres Jun(ref)'!Print_Titles</vt:lpstr>
      <vt:lpstr>'Overall com progres Sep11(4Ref)'!Print_Titles</vt:lpstr>
      <vt:lpstr>'Overall commulative progres (2)'!Print_Titles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Elitebook</cp:lastModifiedBy>
  <cp:lastPrinted>2012-03-22T14:15:03Z</cp:lastPrinted>
  <dcterms:created xsi:type="dcterms:W3CDTF">2011-06-02T11:20:26Z</dcterms:created>
  <dcterms:modified xsi:type="dcterms:W3CDTF">2015-12-03T06:31:18Z</dcterms:modified>
</cp:coreProperties>
</file>