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9416" windowHeight="7692" firstSheet="1" activeTab="1"/>
  </bookViews>
  <sheets>
    <sheet name="Graphs for presentation" sheetId="10" state="hidden" r:id="rId1"/>
    <sheet name="1.RSP Districts " sheetId="2" r:id="rId2"/>
    <sheet name="2. Overall com progres March 13" sheetId="5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1" hidden="1">'1.RSP Districts '!$A$9:$T$225</definedName>
    <definedName name="_xlnm._FilterDatabase" localSheetId="2" hidden="1">'2. Overall com progres March 13'!#REF!</definedName>
    <definedName name="_xlnm.Print_Area" localSheetId="1">'1.RSP Districts '!$A$1:$R$224</definedName>
    <definedName name="_xlnm.Print_Area" localSheetId="2">'2. Overall com progres March 13'!$A$1:$M$54</definedName>
    <definedName name="_xlnm.Print_Titles" localSheetId="1">'1.RSP Districts '!$1:$3</definedName>
    <definedName name="_xlnm.Print_Titles" localSheetId="2">'2. Overall com progres March 13'!$1:$3</definedName>
  </definedNames>
  <calcPr calcId="145621"/>
</workbook>
</file>

<file path=xl/calcChain.xml><?xml version="1.0" encoding="utf-8"?>
<calcChain xmlns="http://schemas.openxmlformats.org/spreadsheetml/2006/main">
  <c r="R42" i="5" l="1"/>
  <c r="R41" i="5"/>
  <c r="R27" i="5"/>
  <c r="R26" i="5"/>
  <c r="R25" i="5"/>
  <c r="R24" i="5"/>
  <c r="R17" i="5"/>
  <c r="R16" i="5"/>
  <c r="R15" i="5"/>
  <c r="O11" i="5"/>
  <c r="N12" i="5"/>
  <c r="E35" i="10"/>
  <c r="G7" i="5" l="1"/>
  <c r="L42" i="5" l="1"/>
  <c r="L41" i="5"/>
  <c r="L40" i="5"/>
  <c r="O39" i="5"/>
  <c r="L39" i="5"/>
  <c r="L37" i="5"/>
  <c r="L38" i="5"/>
  <c r="L35" i="5"/>
  <c r="L34" i="5"/>
  <c r="L25" i="5"/>
  <c r="L26" i="5"/>
  <c r="L16" i="5" l="1"/>
  <c r="L15" i="5"/>
  <c r="P16" i="5"/>
  <c r="Q9" i="5"/>
  <c r="Q12" i="5"/>
  <c r="P7" i="5"/>
  <c r="P6" i="5"/>
  <c r="L99" i="2"/>
  <c r="T99" i="2"/>
  <c r="K9" i="5" l="1"/>
  <c r="K8" i="5"/>
  <c r="I218" i="2"/>
  <c r="I212" i="2"/>
  <c r="I211" i="2"/>
  <c r="I210" i="2"/>
  <c r="I209" i="2"/>
  <c r="I208" i="2"/>
  <c r="I207" i="2"/>
  <c r="I206" i="2"/>
  <c r="I205" i="2"/>
  <c r="I204" i="2"/>
  <c r="I7" i="2"/>
  <c r="I217" i="2" s="1"/>
  <c r="I40" i="2"/>
  <c r="I76" i="2"/>
  <c r="I181" i="2"/>
  <c r="I223" i="2" s="1"/>
  <c r="I197" i="2"/>
  <c r="I224" i="2" s="1"/>
  <c r="I152" i="2"/>
  <c r="I221" i="2" s="1"/>
  <c r="H181" i="2"/>
  <c r="L119" i="2"/>
  <c r="I219" i="2" l="1"/>
  <c r="F14" i="5"/>
  <c r="I33" i="5"/>
  <c r="I30" i="5"/>
  <c r="I27" i="5"/>
  <c r="L52" i="5"/>
  <c r="K52" i="5"/>
  <c r="J52" i="5"/>
  <c r="I52" i="5"/>
  <c r="H52" i="5"/>
  <c r="G52" i="5"/>
  <c r="F52" i="5"/>
  <c r="E52" i="5"/>
  <c r="D52" i="5"/>
  <c r="C52" i="5"/>
  <c r="L49" i="5"/>
  <c r="K49" i="5"/>
  <c r="J49" i="5"/>
  <c r="I49" i="5"/>
  <c r="H49" i="5"/>
  <c r="G49" i="5"/>
  <c r="F49" i="5"/>
  <c r="E49" i="5"/>
  <c r="D49" i="5"/>
  <c r="L46" i="5"/>
  <c r="K46" i="5"/>
  <c r="J46" i="5"/>
  <c r="I46" i="5"/>
  <c r="H46" i="5"/>
  <c r="G46" i="5"/>
  <c r="F46" i="5"/>
  <c r="E46" i="5"/>
  <c r="D46" i="5"/>
  <c r="C46" i="5"/>
  <c r="L36" i="5"/>
  <c r="K36" i="5"/>
  <c r="J36" i="5"/>
  <c r="I36" i="5"/>
  <c r="H36" i="5"/>
  <c r="G36" i="5"/>
  <c r="F36" i="5"/>
  <c r="E36" i="5"/>
  <c r="D36" i="5"/>
  <c r="L33" i="5"/>
  <c r="K33" i="5"/>
  <c r="J33" i="5"/>
  <c r="H33" i="5"/>
  <c r="G33" i="5"/>
  <c r="F33" i="5"/>
  <c r="E33" i="5"/>
  <c r="D33" i="5"/>
  <c r="L30" i="5"/>
  <c r="K30" i="5"/>
  <c r="J30" i="5"/>
  <c r="H30" i="5"/>
  <c r="G30" i="5"/>
  <c r="F30" i="5"/>
  <c r="E30" i="5"/>
  <c r="D30" i="5"/>
  <c r="L27" i="5"/>
  <c r="K27" i="5"/>
  <c r="J27" i="5"/>
  <c r="H27" i="5"/>
  <c r="G27" i="5"/>
  <c r="F27" i="5"/>
  <c r="E27" i="5"/>
  <c r="D27" i="5"/>
  <c r="L20" i="5"/>
  <c r="K20" i="5"/>
  <c r="J20" i="5"/>
  <c r="I20" i="5"/>
  <c r="H20" i="5"/>
  <c r="G20" i="5"/>
  <c r="F20" i="5"/>
  <c r="E20" i="5"/>
  <c r="D20" i="5"/>
  <c r="C17" i="5"/>
  <c r="L17" i="5"/>
  <c r="K17" i="5"/>
  <c r="J17" i="5"/>
  <c r="I17" i="5"/>
  <c r="H17" i="5"/>
  <c r="G17" i="5"/>
  <c r="F17" i="5"/>
  <c r="E17" i="5"/>
  <c r="D17" i="5"/>
  <c r="L14" i="5"/>
  <c r="O14" i="5" s="1"/>
  <c r="K14" i="5"/>
  <c r="J14" i="5"/>
  <c r="I14" i="5"/>
  <c r="H14" i="5"/>
  <c r="G14" i="5"/>
  <c r="E14" i="5"/>
  <c r="D14" i="5"/>
  <c r="L11" i="5"/>
  <c r="K11" i="5"/>
  <c r="J11" i="5"/>
  <c r="I11" i="5"/>
  <c r="H11" i="5"/>
  <c r="G11" i="5"/>
  <c r="F11" i="5"/>
  <c r="E11" i="5"/>
  <c r="D11" i="5"/>
  <c r="C11" i="5"/>
  <c r="F31" i="2" l="1"/>
  <c r="P169" i="2" l="1"/>
  <c r="P167" i="2"/>
  <c r="P166" i="2"/>
  <c r="P164" i="2"/>
  <c r="P162" i="2"/>
  <c r="P160" i="2"/>
  <c r="P158" i="2"/>
  <c r="P156" i="2"/>
  <c r="L169" i="2"/>
  <c r="L167" i="2"/>
  <c r="L166" i="2"/>
  <c r="L164" i="2"/>
  <c r="L162" i="2"/>
  <c r="L160" i="2"/>
  <c r="L158" i="2"/>
  <c r="L156" i="2"/>
  <c r="E169" i="2"/>
  <c r="E167" i="2"/>
  <c r="E166" i="2"/>
  <c r="E164" i="2"/>
  <c r="E162" i="2"/>
  <c r="E160" i="2"/>
  <c r="E158" i="2"/>
  <c r="E156" i="2"/>
  <c r="P180" i="2"/>
  <c r="P179" i="2"/>
  <c r="P178" i="2"/>
  <c r="P177" i="2"/>
  <c r="P176" i="2"/>
  <c r="P174" i="2"/>
  <c r="P50" i="2"/>
  <c r="L180" i="2"/>
  <c r="L179" i="2"/>
  <c r="L178" i="2"/>
  <c r="L177" i="2"/>
  <c r="L176" i="2"/>
  <c r="L174" i="2"/>
  <c r="L50" i="2"/>
  <c r="I102" i="2" l="1"/>
  <c r="I220" i="2" l="1"/>
  <c r="Q168" i="2"/>
  <c r="Q167" i="2"/>
  <c r="Q163" i="2"/>
  <c r="Q160" i="2"/>
  <c r="Q159" i="2"/>
  <c r="Q156" i="2"/>
  <c r="Q130" i="2"/>
  <c r="Q129" i="2"/>
  <c r="Q126" i="2"/>
  <c r="Q125" i="2"/>
  <c r="Q122" i="2"/>
  <c r="Q121" i="2"/>
  <c r="Q118" i="2"/>
  <c r="Q117" i="2"/>
  <c r="Q114" i="2"/>
  <c r="O208" i="2"/>
  <c r="Q110" i="2"/>
  <c r="O152" i="2"/>
  <c r="O221" i="2" s="1"/>
  <c r="Q106" i="2"/>
  <c r="Q98" i="2"/>
  <c r="Q95" i="2"/>
  <c r="O209" i="2"/>
  <c r="Q90" i="2"/>
  <c r="Q87" i="2"/>
  <c r="Q86" i="2"/>
  <c r="O210" i="2"/>
  <c r="O102" i="2"/>
  <c r="O220" i="2" s="1"/>
  <c r="Q72" i="2"/>
  <c r="Q68" i="2"/>
  <c r="Q64" i="2"/>
  <c r="Q60" i="2"/>
  <c r="Q57" i="2"/>
  <c r="Q56" i="2"/>
  <c r="Q52" i="2"/>
  <c r="Q48" i="2"/>
  <c r="O205" i="2"/>
  <c r="Q19" i="2"/>
  <c r="Q20" i="2"/>
  <c r="Q27" i="2"/>
  <c r="Q32" i="2"/>
  <c r="Q35" i="2"/>
  <c r="Q24" i="2"/>
  <c r="M168" i="2"/>
  <c r="M161" i="2"/>
  <c r="M160" i="2"/>
  <c r="K171" i="2"/>
  <c r="K222" i="2" s="1"/>
  <c r="M149" i="2"/>
  <c r="M144" i="2"/>
  <c r="M140" i="2"/>
  <c r="M137" i="2"/>
  <c r="M136" i="2"/>
  <c r="M129" i="2"/>
  <c r="M128" i="2"/>
  <c r="M124" i="2"/>
  <c r="M121" i="2"/>
  <c r="M120" i="2"/>
  <c r="M117" i="2"/>
  <c r="K208" i="2"/>
  <c r="M112" i="2"/>
  <c r="M109" i="2"/>
  <c r="K152" i="2"/>
  <c r="K221" i="2" s="1"/>
  <c r="M98" i="2"/>
  <c r="M94" i="2"/>
  <c r="M90" i="2"/>
  <c r="M87" i="2"/>
  <c r="M86" i="2"/>
  <c r="K210" i="2"/>
  <c r="M73" i="2"/>
  <c r="M69" i="2"/>
  <c r="M58" i="2"/>
  <c r="M49" i="2"/>
  <c r="M46" i="2"/>
  <c r="K211" i="2"/>
  <c r="M68" i="2"/>
  <c r="M64" i="2"/>
  <c r="K206" i="2"/>
  <c r="M48" i="2"/>
  <c r="M32" i="2"/>
  <c r="M20" i="2"/>
  <c r="F163" i="2"/>
  <c r="D207" i="2"/>
  <c r="F149" i="2"/>
  <c r="F148" i="2"/>
  <c r="F144" i="2"/>
  <c r="F133" i="2"/>
  <c r="F132" i="2"/>
  <c r="F129" i="2"/>
  <c r="F128" i="2"/>
  <c r="F125" i="2"/>
  <c r="F124" i="2"/>
  <c r="F121" i="2"/>
  <c r="F120" i="2"/>
  <c r="F116" i="2"/>
  <c r="F112" i="2"/>
  <c r="F101" i="2"/>
  <c r="F96" i="2"/>
  <c r="F93" i="2"/>
  <c r="F91" i="2"/>
  <c r="F88" i="2"/>
  <c r="F87" i="2"/>
  <c r="F83" i="2"/>
  <c r="F80" i="2"/>
  <c r="F81" i="2"/>
  <c r="F92" i="2"/>
  <c r="F97" i="2"/>
  <c r="F99" i="2"/>
  <c r="D209" i="2"/>
  <c r="F86" i="2"/>
  <c r="F51" i="2"/>
  <c r="F59" i="2"/>
  <c r="F62" i="2"/>
  <c r="F67" i="2"/>
  <c r="D206" i="2"/>
  <c r="F74" i="2"/>
  <c r="G45" i="2"/>
  <c r="G51" i="2"/>
  <c r="F52" i="2"/>
  <c r="G58" i="2"/>
  <c r="G63" i="2"/>
  <c r="G70" i="2"/>
  <c r="F90" i="2"/>
  <c r="F98" i="2"/>
  <c r="F95" i="2"/>
  <c r="F69" i="2"/>
  <c r="F65" i="2"/>
  <c r="F57" i="2"/>
  <c r="F49" i="2"/>
  <c r="F46" i="2"/>
  <c r="F43" i="2"/>
  <c r="F73" i="2"/>
  <c r="E7" i="2"/>
  <c r="E217" i="2" s="1"/>
  <c r="D7" i="2"/>
  <c r="D217" i="2" s="1"/>
  <c r="F32" i="2"/>
  <c r="F28" i="2"/>
  <c r="F24" i="2"/>
  <c r="F20" i="2"/>
  <c r="F12" i="2"/>
  <c r="C152" i="2"/>
  <c r="C221" i="2" s="1"/>
  <c r="J152" i="2"/>
  <c r="J221" i="2" s="1"/>
  <c r="E152" i="2"/>
  <c r="M43" i="5"/>
  <c r="M39" i="5"/>
  <c r="N39" i="5" s="1"/>
  <c r="M38" i="5"/>
  <c r="C36" i="5"/>
  <c r="M23" i="5"/>
  <c r="M8" i="5"/>
  <c r="Q164" i="2"/>
  <c r="N166" i="2"/>
  <c r="N164" i="2"/>
  <c r="N158" i="2"/>
  <c r="N156" i="2"/>
  <c r="Q186" i="2"/>
  <c r="Q59" i="2"/>
  <c r="Q55" i="2"/>
  <c r="L197" i="2"/>
  <c r="L224" i="2" s="1"/>
  <c r="M67" i="2"/>
  <c r="N60" i="2"/>
  <c r="N55" i="2"/>
  <c r="M47" i="2"/>
  <c r="H195" i="2"/>
  <c r="H186" i="2"/>
  <c r="H74" i="2"/>
  <c r="H70" i="2"/>
  <c r="H69" i="2"/>
  <c r="H67" i="2"/>
  <c r="H66" i="2"/>
  <c r="H64" i="2"/>
  <c r="H63" i="2"/>
  <c r="H60" i="2"/>
  <c r="H59" i="2"/>
  <c r="H58" i="2"/>
  <c r="H57" i="2"/>
  <c r="H55" i="2"/>
  <c r="H52" i="2"/>
  <c r="H51" i="2"/>
  <c r="H49" i="2"/>
  <c r="H47" i="2"/>
  <c r="H45" i="2"/>
  <c r="H43" i="2"/>
  <c r="H94" i="2"/>
  <c r="P76" i="2"/>
  <c r="Q101" i="2"/>
  <c r="N101" i="2"/>
  <c r="M101" i="2"/>
  <c r="H101" i="2"/>
  <c r="H99" i="2"/>
  <c r="H84" i="2"/>
  <c r="H80" i="2"/>
  <c r="G99" i="2"/>
  <c r="Q105" i="2"/>
  <c r="P206" i="2"/>
  <c r="H105" i="2"/>
  <c r="H71" i="2"/>
  <c r="H56" i="2"/>
  <c r="G105" i="2"/>
  <c r="Q34" i="2"/>
  <c r="Q28" i="2"/>
  <c r="Q21" i="2"/>
  <c r="M38" i="2"/>
  <c r="M35" i="2"/>
  <c r="N35" i="2"/>
  <c r="N34" i="2"/>
  <c r="M33" i="2"/>
  <c r="N27" i="2"/>
  <c r="M24" i="2"/>
  <c r="M21" i="2"/>
  <c r="N19" i="2"/>
  <c r="M17" i="2"/>
  <c r="H38" i="2"/>
  <c r="H35" i="2"/>
  <c r="H34" i="2"/>
  <c r="H33" i="2"/>
  <c r="H28" i="2"/>
  <c r="H27" i="2"/>
  <c r="H24" i="2"/>
  <c r="H22" i="2"/>
  <c r="H21" i="2"/>
  <c r="H19" i="2"/>
  <c r="H18" i="2"/>
  <c r="H17" i="2"/>
  <c r="H12" i="2"/>
  <c r="G35" i="2"/>
  <c r="F34" i="2"/>
  <c r="F19" i="2"/>
  <c r="E40" i="2"/>
  <c r="E218" i="2" s="1"/>
  <c r="Q96" i="2"/>
  <c r="Q91" i="2"/>
  <c r="Q88" i="2"/>
  <c r="M96" i="2"/>
  <c r="N95" i="2"/>
  <c r="N91" i="2"/>
  <c r="M88" i="2"/>
  <c r="N86" i="2"/>
  <c r="H96" i="2"/>
  <c r="H95" i="2"/>
  <c r="H93" i="2"/>
  <c r="H91" i="2"/>
  <c r="H88" i="2"/>
  <c r="H87" i="2"/>
  <c r="H86" i="2"/>
  <c r="H83" i="2"/>
  <c r="H81" i="2"/>
  <c r="G95" i="2"/>
  <c r="G87" i="2"/>
  <c r="H149" i="2"/>
  <c r="H148" i="2"/>
  <c r="H147" i="2"/>
  <c r="H145" i="2"/>
  <c r="H143" i="2"/>
  <c r="H137" i="2"/>
  <c r="H136" i="2"/>
  <c r="H135" i="2"/>
  <c r="H132" i="2"/>
  <c r="H130" i="2"/>
  <c r="H128" i="2"/>
  <c r="H127" i="2"/>
  <c r="H125" i="2"/>
  <c r="H121" i="2"/>
  <c r="H118" i="2"/>
  <c r="H117" i="2"/>
  <c r="H116" i="2"/>
  <c r="H115" i="2"/>
  <c r="H114" i="2"/>
  <c r="G10" i="2"/>
  <c r="G6" i="2"/>
  <c r="F6" i="2"/>
  <c r="F10" i="2"/>
  <c r="M6" i="2"/>
  <c r="M10" i="2"/>
  <c r="M15" i="2"/>
  <c r="M62" i="2"/>
  <c r="M65" i="2"/>
  <c r="D197" i="2"/>
  <c r="D224" i="2" s="1"/>
  <c r="G180" i="2"/>
  <c r="F179" i="2"/>
  <c r="G178" i="2"/>
  <c r="E181" i="2"/>
  <c r="G177" i="2"/>
  <c r="G176" i="2"/>
  <c r="D40" i="2"/>
  <c r="D218" i="2" s="1"/>
  <c r="H209" i="2"/>
  <c r="H207" i="2"/>
  <c r="H204" i="2"/>
  <c r="Q180" i="2"/>
  <c r="Q179" i="2"/>
  <c r="Q178" i="2"/>
  <c r="Q177" i="2"/>
  <c r="Q176" i="2"/>
  <c r="P181" i="2"/>
  <c r="P223" i="2" s="1"/>
  <c r="Q174" i="2"/>
  <c r="N178" i="2"/>
  <c r="N177" i="2"/>
  <c r="M176" i="2"/>
  <c r="M174" i="2"/>
  <c r="H223" i="2"/>
  <c r="H7" i="2"/>
  <c r="H217" i="2" s="1"/>
  <c r="P208" i="2"/>
  <c r="P203" i="2"/>
  <c r="L209" i="2"/>
  <c r="I6" i="5" s="1"/>
  <c r="L203" i="2"/>
  <c r="C6" i="5" s="1"/>
  <c r="L207" i="2"/>
  <c r="E211" i="2"/>
  <c r="K5" i="5" s="1"/>
  <c r="E209" i="2"/>
  <c r="I5" i="5" s="1"/>
  <c r="E207" i="2"/>
  <c r="G5" i="5" s="1"/>
  <c r="E205" i="2"/>
  <c r="E5" i="5" s="1"/>
  <c r="G13" i="2"/>
  <c r="G14" i="2"/>
  <c r="G23" i="2"/>
  <c r="G25" i="2"/>
  <c r="G26" i="2"/>
  <c r="N26" i="2"/>
  <c r="L208" i="2"/>
  <c r="H6" i="5" s="1"/>
  <c r="E208" i="2"/>
  <c r="H5" i="5" s="1"/>
  <c r="P207" i="2"/>
  <c r="P171" i="2"/>
  <c r="P7" i="2"/>
  <c r="P217" i="2" s="1"/>
  <c r="L7" i="2"/>
  <c r="L217" i="2" s="1"/>
  <c r="E197" i="2"/>
  <c r="E224" i="2" s="1"/>
  <c r="C22" i="10" s="1"/>
  <c r="Q195" i="2"/>
  <c r="Q170" i="2"/>
  <c r="Q169" i="2"/>
  <c r="Q166" i="2"/>
  <c r="Q165" i="2"/>
  <c r="Q162" i="2"/>
  <c r="Q161" i="2"/>
  <c r="Q158" i="2"/>
  <c r="Q157" i="2"/>
  <c r="Q155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2" i="2"/>
  <c r="Q131" i="2"/>
  <c r="Q128" i="2"/>
  <c r="Q127" i="2"/>
  <c r="Q124" i="2"/>
  <c r="Q123" i="2"/>
  <c r="Q120" i="2"/>
  <c r="Q119" i="2"/>
  <c r="Q116" i="2"/>
  <c r="Q115" i="2"/>
  <c r="Q112" i="2"/>
  <c r="Q111" i="2"/>
  <c r="Q108" i="2"/>
  <c r="Q107" i="2"/>
  <c r="Q100" i="2"/>
  <c r="Q97" i="2"/>
  <c r="Q93" i="2"/>
  <c r="Q92" i="2"/>
  <c r="Q89" i="2"/>
  <c r="Q84" i="2"/>
  <c r="Q80" i="2"/>
  <c r="Q79" i="2"/>
  <c r="Q74" i="2"/>
  <c r="Q73" i="2"/>
  <c r="Q71" i="2"/>
  <c r="Q70" i="2"/>
  <c r="Q69" i="2"/>
  <c r="Q67" i="2"/>
  <c r="Q66" i="2"/>
  <c r="Q65" i="2"/>
  <c r="Q63" i="2"/>
  <c r="Q62" i="2"/>
  <c r="Q58" i="2"/>
  <c r="Q51" i="2"/>
  <c r="Q50" i="2"/>
  <c r="Q49" i="2"/>
  <c r="Q47" i="2"/>
  <c r="Q46" i="2"/>
  <c r="Q43" i="2"/>
  <c r="Q38" i="2"/>
  <c r="Q33" i="2"/>
  <c r="Q22" i="2"/>
  <c r="Q17" i="2"/>
  <c r="Q15" i="2"/>
  <c r="Q10" i="2"/>
  <c r="Q6" i="2"/>
  <c r="N195" i="2"/>
  <c r="M195" i="2"/>
  <c r="N186" i="2"/>
  <c r="M186" i="2"/>
  <c r="N170" i="2"/>
  <c r="M170" i="2"/>
  <c r="N169" i="2"/>
  <c r="M169" i="2"/>
  <c r="N168" i="2"/>
  <c r="N167" i="2"/>
  <c r="M167" i="2"/>
  <c r="M166" i="2"/>
  <c r="N165" i="2"/>
  <c r="M165" i="2"/>
  <c r="N163" i="2"/>
  <c r="M163" i="2"/>
  <c r="N162" i="2"/>
  <c r="M162" i="2"/>
  <c r="N161" i="2"/>
  <c r="N160" i="2"/>
  <c r="N159" i="2"/>
  <c r="M159" i="2"/>
  <c r="M158" i="2"/>
  <c r="N157" i="2"/>
  <c r="M157" i="2"/>
  <c r="N155" i="2"/>
  <c r="M155" i="2"/>
  <c r="N151" i="2"/>
  <c r="M151" i="2"/>
  <c r="N150" i="2"/>
  <c r="M150" i="2"/>
  <c r="N149" i="2"/>
  <c r="N148" i="2"/>
  <c r="N147" i="2"/>
  <c r="N146" i="2"/>
  <c r="M146" i="2"/>
  <c r="N145" i="2"/>
  <c r="N144" i="2"/>
  <c r="N143" i="2"/>
  <c r="N142" i="2"/>
  <c r="M142" i="2"/>
  <c r="N141" i="2"/>
  <c r="M141" i="2"/>
  <c r="N140" i="2"/>
  <c r="N139" i="2"/>
  <c r="M139" i="2"/>
  <c r="N138" i="2"/>
  <c r="M138" i="2"/>
  <c r="N137" i="2"/>
  <c r="N136" i="2"/>
  <c r="N135" i="2"/>
  <c r="N134" i="2"/>
  <c r="M134" i="2"/>
  <c r="N133" i="2"/>
  <c r="N132" i="2"/>
  <c r="N131" i="2"/>
  <c r="M131" i="2"/>
  <c r="N130" i="2"/>
  <c r="N129" i="2"/>
  <c r="N128" i="2"/>
  <c r="N127" i="2"/>
  <c r="N126" i="2"/>
  <c r="M126" i="2"/>
  <c r="N125" i="2"/>
  <c r="N124" i="2"/>
  <c r="N123" i="2"/>
  <c r="M123" i="2"/>
  <c r="N122" i="2"/>
  <c r="M122" i="2"/>
  <c r="N121" i="2"/>
  <c r="N120" i="2"/>
  <c r="N119" i="2"/>
  <c r="M119" i="2"/>
  <c r="N118" i="2"/>
  <c r="N117" i="2"/>
  <c r="N116" i="2"/>
  <c r="N115" i="2"/>
  <c r="N114" i="2"/>
  <c r="N113" i="2"/>
  <c r="M113" i="2"/>
  <c r="N112" i="2"/>
  <c r="M111" i="2"/>
  <c r="N110" i="2"/>
  <c r="M110" i="2"/>
  <c r="N109" i="2"/>
  <c r="N108" i="2"/>
  <c r="M108" i="2"/>
  <c r="N107" i="2"/>
  <c r="M107" i="2"/>
  <c r="N106" i="2"/>
  <c r="M106" i="2"/>
  <c r="N105" i="2"/>
  <c r="N100" i="2"/>
  <c r="M100" i="2"/>
  <c r="N99" i="2"/>
  <c r="N98" i="2"/>
  <c r="N97" i="2"/>
  <c r="M97" i="2"/>
  <c r="N96" i="2"/>
  <c r="N94" i="2"/>
  <c r="N93" i="2"/>
  <c r="M93" i="2"/>
  <c r="N92" i="2"/>
  <c r="M92" i="2"/>
  <c r="M91" i="2"/>
  <c r="N90" i="2"/>
  <c r="N89" i="2"/>
  <c r="M89" i="2"/>
  <c r="N87" i="2"/>
  <c r="N82" i="2"/>
  <c r="M82" i="2"/>
  <c r="N81" i="2"/>
  <c r="M81" i="2"/>
  <c r="N80" i="2"/>
  <c r="N79" i="2"/>
  <c r="M79" i="2"/>
  <c r="N73" i="2"/>
  <c r="N72" i="2"/>
  <c r="M72" i="2"/>
  <c r="N70" i="2"/>
  <c r="M70" i="2"/>
  <c r="N69" i="2"/>
  <c r="N68" i="2"/>
  <c r="N65" i="2"/>
  <c r="N64" i="2"/>
  <c r="N63" i="2"/>
  <c r="M63" i="2"/>
  <c r="N62" i="2"/>
  <c r="N58" i="2"/>
  <c r="N57" i="2"/>
  <c r="M57" i="2"/>
  <c r="M55" i="2"/>
  <c r="N52" i="2"/>
  <c r="N51" i="2"/>
  <c r="M51" i="2"/>
  <c r="N49" i="2"/>
  <c r="N48" i="2"/>
  <c r="N47" i="2"/>
  <c r="N46" i="2"/>
  <c r="N43" i="2"/>
  <c r="M43" i="2"/>
  <c r="N38" i="2"/>
  <c r="N33" i="2"/>
  <c r="N32" i="2"/>
  <c r="N24" i="2"/>
  <c r="N21" i="2"/>
  <c r="N20" i="2"/>
  <c r="N18" i="2"/>
  <c r="N17" i="2"/>
  <c r="N15" i="2"/>
  <c r="N10" i="2"/>
  <c r="N6" i="2"/>
  <c r="G196" i="2"/>
  <c r="G195" i="2"/>
  <c r="G194" i="2"/>
  <c r="G192" i="2"/>
  <c r="G188" i="2"/>
  <c r="G187" i="2"/>
  <c r="G186" i="2"/>
  <c r="G185" i="2"/>
  <c r="G184" i="2"/>
  <c r="G175" i="2"/>
  <c r="G170" i="2"/>
  <c r="G168" i="2"/>
  <c r="G165" i="2"/>
  <c r="G163" i="2"/>
  <c r="G161" i="2"/>
  <c r="G159" i="2"/>
  <c r="G157" i="2"/>
  <c r="G155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1" i="2"/>
  <c r="G100" i="2"/>
  <c r="G98" i="2"/>
  <c r="G97" i="2"/>
  <c r="G96" i="2"/>
  <c r="G94" i="2"/>
  <c r="G93" i="2"/>
  <c r="G92" i="2"/>
  <c r="G91" i="2"/>
  <c r="G90" i="2"/>
  <c r="G89" i="2"/>
  <c r="G88" i="2"/>
  <c r="G84" i="2"/>
  <c r="G83" i="2"/>
  <c r="G82" i="2"/>
  <c r="G81" i="2"/>
  <c r="G80" i="2"/>
  <c r="G79" i="2"/>
  <c r="G75" i="2"/>
  <c r="G74" i="2"/>
  <c r="G73" i="2"/>
  <c r="G72" i="2"/>
  <c r="G69" i="2"/>
  <c r="G68" i="2"/>
  <c r="G67" i="2"/>
  <c r="G66" i="2"/>
  <c r="G65" i="2"/>
  <c r="G64" i="2"/>
  <c r="G62" i="2"/>
  <c r="G61" i="2"/>
  <c r="G60" i="2"/>
  <c r="G59" i="2"/>
  <c r="G57" i="2"/>
  <c r="G56" i="2"/>
  <c r="G55" i="2"/>
  <c r="G54" i="2"/>
  <c r="G53" i="2"/>
  <c r="G52" i="2"/>
  <c r="G49" i="2"/>
  <c r="G48" i="2"/>
  <c r="G47" i="2"/>
  <c r="G46" i="2"/>
  <c r="G44" i="2"/>
  <c r="G43" i="2"/>
  <c r="G39" i="2"/>
  <c r="G38" i="2"/>
  <c r="G37" i="2"/>
  <c r="G36" i="2"/>
  <c r="G34" i="2"/>
  <c r="G33" i="2"/>
  <c r="G32" i="2"/>
  <c r="G31" i="2"/>
  <c r="G30" i="2"/>
  <c r="G29" i="2"/>
  <c r="G28" i="2"/>
  <c r="G24" i="2"/>
  <c r="G22" i="2"/>
  <c r="G21" i="2"/>
  <c r="G20" i="2"/>
  <c r="G19" i="2"/>
  <c r="G18" i="2"/>
  <c r="G17" i="2"/>
  <c r="G16" i="2"/>
  <c r="G15" i="2"/>
  <c r="G12" i="2"/>
  <c r="G11" i="2"/>
  <c r="F195" i="2"/>
  <c r="F186" i="2"/>
  <c r="F170" i="2"/>
  <c r="F168" i="2"/>
  <c r="F165" i="2"/>
  <c r="F161" i="2"/>
  <c r="F157" i="2"/>
  <c r="F151" i="2"/>
  <c r="F150" i="2"/>
  <c r="F147" i="2"/>
  <c r="F145" i="2"/>
  <c r="F143" i="2"/>
  <c r="F142" i="2"/>
  <c r="F140" i="2"/>
  <c r="F139" i="2"/>
  <c r="F138" i="2"/>
  <c r="F137" i="2"/>
  <c r="F136" i="2"/>
  <c r="F135" i="2"/>
  <c r="F131" i="2"/>
  <c r="F130" i="2"/>
  <c r="F127" i="2"/>
  <c r="F126" i="2"/>
  <c r="F123" i="2"/>
  <c r="F122" i="2"/>
  <c r="F119" i="2"/>
  <c r="F114" i="2"/>
  <c r="F110" i="2"/>
  <c r="F109" i="2"/>
  <c r="F107" i="2"/>
  <c r="F106" i="2"/>
  <c r="F84" i="2"/>
  <c r="F79" i="2"/>
  <c r="F72" i="2"/>
  <c r="F70" i="2"/>
  <c r="F68" i="2"/>
  <c r="F66" i="2"/>
  <c r="F64" i="2"/>
  <c r="F60" i="2"/>
  <c r="F56" i="2"/>
  <c r="F55" i="2"/>
  <c r="F48" i="2"/>
  <c r="F38" i="2"/>
  <c r="F35" i="2"/>
  <c r="F33" i="2"/>
  <c r="F22" i="2"/>
  <c r="F21" i="2"/>
  <c r="F18" i="2"/>
  <c r="F17" i="2"/>
  <c r="F15" i="2"/>
  <c r="A171" i="2"/>
  <c r="A222" i="2" s="1"/>
  <c r="C8" i="10" s="1"/>
  <c r="A152" i="2"/>
  <c r="A221" i="2" s="1"/>
  <c r="C14" i="5"/>
  <c r="J171" i="2"/>
  <c r="C171" i="2"/>
  <c r="C222" i="2" s="1"/>
  <c r="B20" i="10" s="1"/>
  <c r="M148" i="2"/>
  <c r="M147" i="2"/>
  <c r="M145" i="2"/>
  <c r="M143" i="2"/>
  <c r="M135" i="2"/>
  <c r="M132" i="2"/>
  <c r="M130" i="2"/>
  <c r="M127" i="2"/>
  <c r="M125" i="2"/>
  <c r="M118" i="2"/>
  <c r="F118" i="2"/>
  <c r="F117" i="2"/>
  <c r="M116" i="2"/>
  <c r="M115" i="2"/>
  <c r="F115" i="2"/>
  <c r="M114" i="2"/>
  <c r="M80" i="2"/>
  <c r="M34" i="2"/>
  <c r="M19" i="2"/>
  <c r="M18" i="2"/>
  <c r="A181" i="2"/>
  <c r="A223" i="2" s="1"/>
  <c r="C9" i="10" s="1"/>
  <c r="A102" i="2"/>
  <c r="A220" i="2" s="1"/>
  <c r="C6" i="10" s="1"/>
  <c r="A76" i="2"/>
  <c r="A219" i="2" s="1"/>
  <c r="C5" i="10" s="1"/>
  <c r="C102" i="2"/>
  <c r="C220" i="2" s="1"/>
  <c r="B18" i="10" s="1"/>
  <c r="J76" i="2"/>
  <c r="J219" i="2" s="1"/>
  <c r="C29" i="10" s="1"/>
  <c r="C76" i="2"/>
  <c r="C219" i="2" s="1"/>
  <c r="B17" i="10" s="1"/>
  <c r="C211" i="2"/>
  <c r="C20" i="5"/>
  <c r="C30" i="5"/>
  <c r="C33" i="5"/>
  <c r="A208" i="2"/>
  <c r="H4" i="5" s="1"/>
  <c r="C3" i="10"/>
  <c r="B3" i="10"/>
  <c r="K7" i="2"/>
  <c r="O212" i="2"/>
  <c r="O206" i="2"/>
  <c r="O204" i="2"/>
  <c r="K212" i="2"/>
  <c r="K205" i="2"/>
  <c r="K203" i="2"/>
  <c r="D208" i="2"/>
  <c r="O197" i="2"/>
  <c r="K197" i="2"/>
  <c r="O181" i="2"/>
  <c r="O223" i="2" s="1"/>
  <c r="K181" i="2"/>
  <c r="K223" i="2" s="1"/>
  <c r="K102" i="2"/>
  <c r="K220" i="2" s="1"/>
  <c r="O76" i="2"/>
  <c r="O219" i="2" s="1"/>
  <c r="O40" i="2"/>
  <c r="O218" i="2" s="1"/>
  <c r="K40" i="2"/>
  <c r="K218" i="2" s="1"/>
  <c r="J40" i="2"/>
  <c r="J218" i="2" s="1"/>
  <c r="C28" i="10" s="1"/>
  <c r="O7" i="2"/>
  <c r="O217" i="2" s="1"/>
  <c r="J7" i="2"/>
  <c r="C7" i="2"/>
  <c r="F182" i="2"/>
  <c r="R224" i="2"/>
  <c r="B10" i="10" s="1"/>
  <c r="R223" i="2"/>
  <c r="B9" i="10" s="1"/>
  <c r="R222" i="2"/>
  <c r="B8" i="10" s="1"/>
  <c r="R221" i="2"/>
  <c r="R220" i="2"/>
  <c r="B6" i="10" s="1"/>
  <c r="R219" i="2"/>
  <c r="B5" i="10" s="1"/>
  <c r="R218" i="2"/>
  <c r="B4" i="10" s="1"/>
  <c r="A197" i="2"/>
  <c r="A224" i="2" s="1"/>
  <c r="C10" i="10" s="1"/>
  <c r="J197" i="2"/>
  <c r="J224" i="2" s="1"/>
  <c r="C34" i="10" s="1"/>
  <c r="C197" i="2"/>
  <c r="C224" i="2" s="1"/>
  <c r="B22" i="10" s="1"/>
  <c r="A40" i="2"/>
  <c r="A218" i="2" s="1"/>
  <c r="C4" i="10" s="1"/>
  <c r="C40" i="2"/>
  <c r="C218" i="2" s="1"/>
  <c r="B16" i="10" s="1"/>
  <c r="C207" i="2"/>
  <c r="C204" i="2"/>
  <c r="J207" i="2"/>
  <c r="J204" i="2"/>
  <c r="J211" i="2"/>
  <c r="A212" i="2"/>
  <c r="L4" i="5" s="1"/>
  <c r="A211" i="2"/>
  <c r="K4" i="5" s="1"/>
  <c r="A210" i="2"/>
  <c r="J4" i="5" s="1"/>
  <c r="A209" i="2"/>
  <c r="I4" i="5" s="1"/>
  <c r="A207" i="2"/>
  <c r="G4" i="5" s="1"/>
  <c r="A206" i="2"/>
  <c r="F4" i="5" s="1"/>
  <c r="A205" i="2"/>
  <c r="E4" i="5" s="1"/>
  <c r="A204" i="2"/>
  <c r="D4" i="5" s="1"/>
  <c r="A203" i="2"/>
  <c r="C4" i="5" s="1"/>
  <c r="J209" i="2"/>
  <c r="J208" i="2"/>
  <c r="C208" i="2"/>
  <c r="C206" i="2"/>
  <c r="J212" i="2"/>
  <c r="C212" i="2"/>
  <c r="J205" i="2"/>
  <c r="C205" i="2"/>
  <c r="J210" i="2"/>
  <c r="C203" i="2"/>
  <c r="J203" i="2"/>
  <c r="J206" i="2"/>
  <c r="C209" i="2"/>
  <c r="C210" i="2"/>
  <c r="J181" i="2"/>
  <c r="J223" i="2" s="1"/>
  <c r="C33" i="10" s="1"/>
  <c r="C181" i="2"/>
  <c r="J102" i="2"/>
  <c r="J220" i="2" s="1"/>
  <c r="C30" i="10" s="1"/>
  <c r="A7" i="2"/>
  <c r="R217" i="2" s="1"/>
  <c r="N176" i="2"/>
  <c r="M177" i="2"/>
  <c r="M15" i="5"/>
  <c r="M21" i="5"/>
  <c r="M12" i="5"/>
  <c r="M22" i="5"/>
  <c r="M9" i="5"/>
  <c r="M28" i="5"/>
  <c r="N28" i="5" s="1"/>
  <c r="M37" i="5"/>
  <c r="M24" i="5"/>
  <c r="M41" i="5"/>
  <c r="O41" i="5" s="1"/>
  <c r="M10" i="5"/>
  <c r="M29" i="5"/>
  <c r="Q18" i="2"/>
  <c r="M19" i="5"/>
  <c r="M35" i="5"/>
  <c r="M40" i="5"/>
  <c r="M44" i="5"/>
  <c r="M50" i="5"/>
  <c r="M31" i="5"/>
  <c r="M45" i="5"/>
  <c r="M51" i="5"/>
  <c r="M48" i="5"/>
  <c r="F105" i="2"/>
  <c r="N56" i="2"/>
  <c r="E210" i="2"/>
  <c r="J5" i="5" s="1"/>
  <c r="G86" i="2"/>
  <c r="L205" i="2"/>
  <c r="E6" i="5" s="1"/>
  <c r="M18" i="5"/>
  <c r="G71" i="2"/>
  <c r="E206" i="2"/>
  <c r="F5" i="5" s="1"/>
  <c r="F71" i="2"/>
  <c r="M47" i="5"/>
  <c r="M99" i="2"/>
  <c r="M13" i="5"/>
  <c r="M25" i="5"/>
  <c r="M32" i="5"/>
  <c r="M27" i="2"/>
  <c r="L40" i="2"/>
  <c r="L218" i="2" s="1"/>
  <c r="E212" i="2"/>
  <c r="L5" i="5" s="1"/>
  <c r="E102" i="2"/>
  <c r="E220" i="2" s="1"/>
  <c r="Q81" i="2"/>
  <c r="F27" i="2"/>
  <c r="G27" i="2"/>
  <c r="M22" i="2"/>
  <c r="N22" i="2"/>
  <c r="M164" i="2"/>
  <c r="L171" i="2"/>
  <c r="L222" i="2" s="1"/>
  <c r="D32" i="10" s="1"/>
  <c r="M178" i="2"/>
  <c r="N174" i="2"/>
  <c r="M179" i="2"/>
  <c r="N179" i="2"/>
  <c r="N180" i="2"/>
  <c r="M180" i="2"/>
  <c r="L181" i="2"/>
  <c r="L223" i="2" s="1"/>
  <c r="F180" i="2"/>
  <c r="F174" i="2"/>
  <c r="G174" i="2"/>
  <c r="M16" i="5"/>
  <c r="M26" i="5"/>
  <c r="M34" i="5"/>
  <c r="C49" i="5"/>
  <c r="M42" i="5"/>
  <c r="C27" i="5"/>
  <c r="F176" i="2"/>
  <c r="G179" i="2"/>
  <c r="F177" i="2"/>
  <c r="P204" i="2"/>
  <c r="F178" i="2"/>
  <c r="D181" i="2"/>
  <c r="D223" i="2" s="1"/>
  <c r="M7" i="5"/>
  <c r="O203" i="2"/>
  <c r="O171" i="2"/>
  <c r="O222" i="2" s="1"/>
  <c r="Q109" i="2"/>
  <c r="Q113" i="2"/>
  <c r="Q82" i="2"/>
  <c r="Q83" i="2"/>
  <c r="O211" i="2"/>
  <c r="O207" i="2"/>
  <c r="M156" i="2"/>
  <c r="K209" i="2"/>
  <c r="M52" i="2"/>
  <c r="M56" i="2"/>
  <c r="K207" i="2"/>
  <c r="P212" i="2"/>
  <c r="Q99" i="2"/>
  <c r="Q94" i="2"/>
  <c r="P209" i="2"/>
  <c r="N45" i="2"/>
  <c r="L211" i="2"/>
  <c r="K6" i="5" s="1"/>
  <c r="M45" i="2"/>
  <c r="M59" i="2"/>
  <c r="N59" i="2"/>
  <c r="N66" i="2"/>
  <c r="M66" i="2"/>
  <c r="N74" i="2"/>
  <c r="M74" i="2"/>
  <c r="P211" i="2"/>
  <c r="Q45" i="2"/>
  <c r="P102" i="2"/>
  <c r="P220" i="2" s="1"/>
  <c r="P210" i="2"/>
  <c r="M71" i="2"/>
  <c r="L206" i="2"/>
  <c r="F6" i="5" s="1"/>
  <c r="L212" i="2"/>
  <c r="L6" i="5" s="1"/>
  <c r="M84" i="2"/>
  <c r="P205" i="2"/>
  <c r="L102" i="2"/>
  <c r="N71" i="2"/>
  <c r="P197" i="2"/>
  <c r="N83" i="2"/>
  <c r="L210" i="2"/>
  <c r="J6" i="5" s="1"/>
  <c r="M83" i="2"/>
  <c r="M28" i="2"/>
  <c r="N28" i="2"/>
  <c r="P40" i="2"/>
  <c r="Q12" i="2"/>
  <c r="M105" i="2"/>
  <c r="L152" i="2"/>
  <c r="P152" i="2"/>
  <c r="M60" i="2"/>
  <c r="N67" i="2"/>
  <c r="N84" i="2"/>
  <c r="N88" i="2"/>
  <c r="M95" i="2"/>
  <c r="M12" i="2"/>
  <c r="N12" i="2"/>
  <c r="F155" i="2"/>
  <c r="F159" i="2"/>
  <c r="D152" i="2"/>
  <c r="D221" i="2" s="1"/>
  <c r="F108" i="2"/>
  <c r="F100" i="2"/>
  <c r="F89" i="2"/>
  <c r="F94" i="2"/>
  <c r="F47" i="2"/>
  <c r="D211" i="2"/>
  <c r="F58" i="2"/>
  <c r="F63" i="2"/>
  <c r="F82" i="2"/>
  <c r="D210" i="2"/>
  <c r="D212" i="2"/>
  <c r="D102" i="2"/>
  <c r="D220" i="2" s="1"/>
  <c r="F45" i="2"/>
  <c r="D205" i="2"/>
  <c r="D204" i="2"/>
  <c r="F50" i="2"/>
  <c r="E204" i="2"/>
  <c r="D5" i="5" s="1"/>
  <c r="D76" i="2"/>
  <c r="G50" i="2"/>
  <c r="E76" i="2"/>
  <c r="F167" i="2"/>
  <c r="F169" i="2"/>
  <c r="D171" i="2"/>
  <c r="D222" i="2" s="1"/>
  <c r="F156" i="2"/>
  <c r="G158" i="2"/>
  <c r="H158" i="2" s="1"/>
  <c r="I158" i="2" s="1"/>
  <c r="F162" i="2"/>
  <c r="F166" i="2"/>
  <c r="G166" i="2"/>
  <c r="H166" i="2" s="1"/>
  <c r="I166" i="2" s="1"/>
  <c r="D203" i="2"/>
  <c r="G169" i="2"/>
  <c r="H169" i="2" s="1"/>
  <c r="I169" i="2" s="1"/>
  <c r="G167" i="2"/>
  <c r="H167" i="2" s="1"/>
  <c r="I167" i="2" s="1"/>
  <c r="G160" i="2"/>
  <c r="H160" i="2" s="1"/>
  <c r="I160" i="2" s="1"/>
  <c r="E203" i="2"/>
  <c r="C5" i="5" s="1"/>
  <c r="G156" i="2"/>
  <c r="H156" i="2" s="1"/>
  <c r="G162" i="2"/>
  <c r="H162" i="2" s="1"/>
  <c r="I162" i="2" s="1"/>
  <c r="F164" i="2"/>
  <c r="F160" i="2"/>
  <c r="F158" i="2"/>
  <c r="E171" i="2"/>
  <c r="G164" i="2"/>
  <c r="H164" i="2" s="1"/>
  <c r="I164" i="2" s="1"/>
  <c r="K76" i="2"/>
  <c r="K219" i="2" s="1"/>
  <c r="K204" i="2"/>
  <c r="L76" i="2"/>
  <c r="N50" i="2"/>
  <c r="M50" i="2"/>
  <c r="L204" i="2"/>
  <c r="D6" i="5" s="1"/>
  <c r="H152" i="2" l="1"/>
  <c r="G6" i="5"/>
  <c r="H171" i="2"/>
  <c r="N25" i="5"/>
  <c r="H76" i="2"/>
  <c r="H219" i="2" s="1"/>
  <c r="O25" i="5"/>
  <c r="A217" i="2"/>
  <c r="M27" i="5"/>
  <c r="I156" i="2"/>
  <c r="B7" i="10"/>
  <c r="B11" i="10" s="1"/>
  <c r="G181" i="2"/>
  <c r="Q206" i="2"/>
  <c r="Q204" i="2"/>
  <c r="H102" i="2"/>
  <c r="H220" i="2" s="1"/>
  <c r="H197" i="2"/>
  <c r="H224" i="2" s="1"/>
  <c r="H208" i="2"/>
  <c r="H221" i="2"/>
  <c r="H210" i="2"/>
  <c r="H205" i="2"/>
  <c r="H212" i="2"/>
  <c r="M208" i="2"/>
  <c r="M46" i="5"/>
  <c r="N46" i="5" s="1"/>
  <c r="M36" i="5"/>
  <c r="N36" i="5" s="1"/>
  <c r="F152" i="2"/>
  <c r="C223" i="2"/>
  <c r="B21" i="10" s="1"/>
  <c r="Q209" i="2"/>
  <c r="Q211" i="2"/>
  <c r="Q152" i="2"/>
  <c r="F217" i="2"/>
  <c r="N224" i="2"/>
  <c r="M152" i="2"/>
  <c r="G76" i="2"/>
  <c r="M203" i="2"/>
  <c r="N197" i="2"/>
  <c r="K213" i="2"/>
  <c r="F197" i="2"/>
  <c r="N203" i="2"/>
  <c r="G171" i="2"/>
  <c r="Q40" i="2"/>
  <c r="M102" i="2"/>
  <c r="F224" i="2"/>
  <c r="G197" i="2"/>
  <c r="Q197" i="2"/>
  <c r="M49" i="5"/>
  <c r="N41" i="5"/>
  <c r="N34" i="5"/>
  <c r="M30" i="5"/>
  <c r="N30" i="5" s="1"/>
  <c r="M17" i="5"/>
  <c r="F209" i="2"/>
  <c r="N207" i="2"/>
  <c r="Q207" i="2"/>
  <c r="M76" i="2"/>
  <c r="G224" i="2"/>
  <c r="N181" i="2"/>
  <c r="Q212" i="2"/>
  <c r="E222" i="2"/>
  <c r="C20" i="10" s="1"/>
  <c r="F210" i="2"/>
  <c r="G210" i="2"/>
  <c r="N208" i="2"/>
  <c r="P213" i="2"/>
  <c r="Q210" i="2"/>
  <c r="P221" i="2"/>
  <c r="Q221" i="2" s="1"/>
  <c r="N40" i="2"/>
  <c r="M40" i="2"/>
  <c r="N211" i="2"/>
  <c r="N210" i="2"/>
  <c r="M211" i="2"/>
  <c r="M205" i="2"/>
  <c r="N204" i="2"/>
  <c r="M204" i="2"/>
  <c r="M209" i="2"/>
  <c r="N206" i="2"/>
  <c r="N205" i="2"/>
  <c r="D33" i="10"/>
  <c r="B33" i="10" s="1"/>
  <c r="M223" i="2"/>
  <c r="N218" i="2"/>
  <c r="M218" i="2"/>
  <c r="D28" i="10"/>
  <c r="B28" i="10" s="1"/>
  <c r="F220" i="2"/>
  <c r="C18" i="10"/>
  <c r="A225" i="2"/>
  <c r="Q223" i="2"/>
  <c r="M212" i="2"/>
  <c r="E219" i="2"/>
  <c r="C17" i="10" s="1"/>
  <c r="D34" i="10"/>
  <c r="B34" i="10" s="1"/>
  <c r="M181" i="2"/>
  <c r="Q203" i="2"/>
  <c r="H222" i="2"/>
  <c r="Q220" i="2"/>
  <c r="F208" i="2"/>
  <c r="M222" i="2"/>
  <c r="F76" i="2"/>
  <c r="C7" i="10"/>
  <c r="C11" i="10" s="1"/>
  <c r="G205" i="2"/>
  <c r="J199" i="2"/>
  <c r="G40" i="2"/>
  <c r="F171" i="2"/>
  <c r="P224" i="2"/>
  <c r="H203" i="2"/>
  <c r="M207" i="2"/>
  <c r="N212" i="2"/>
  <c r="N209" i="2"/>
  <c r="O213" i="2"/>
  <c r="Q208" i="2"/>
  <c r="G206" i="2"/>
  <c r="G211" i="2"/>
  <c r="G203" i="2"/>
  <c r="C16" i="10"/>
  <c r="F218" i="2"/>
  <c r="G218" i="2"/>
  <c r="F40" i="2"/>
  <c r="F211" i="2"/>
  <c r="F206" i="2"/>
  <c r="G204" i="2"/>
  <c r="F204" i="2"/>
  <c r="G207" i="2"/>
  <c r="F203" i="2"/>
  <c r="F207" i="2"/>
  <c r="G209" i="2"/>
  <c r="G208" i="2"/>
  <c r="Q217" i="2"/>
  <c r="K224" i="2"/>
  <c r="M224" i="2" s="1"/>
  <c r="M197" i="2"/>
  <c r="Q171" i="2"/>
  <c r="P222" i="2"/>
  <c r="Q222" i="2" s="1"/>
  <c r="F205" i="2"/>
  <c r="C199" i="2"/>
  <c r="G220" i="2"/>
  <c r="K199" i="2"/>
  <c r="A213" i="2"/>
  <c r="M14" i="5"/>
  <c r="F7" i="2"/>
  <c r="L199" i="2"/>
  <c r="N76" i="2"/>
  <c r="Q205" i="2"/>
  <c r="M206" i="2"/>
  <c r="G102" i="2"/>
  <c r="F102" i="2"/>
  <c r="M33" i="5"/>
  <c r="N33" i="5" s="1"/>
  <c r="R225" i="2"/>
  <c r="O199" i="2"/>
  <c r="O224" i="2"/>
  <c r="O225" i="2" s="1"/>
  <c r="H206" i="2"/>
  <c r="H211" i="2"/>
  <c r="D219" i="2"/>
  <c r="D199" i="2"/>
  <c r="N152" i="2"/>
  <c r="L221" i="2"/>
  <c r="N102" i="2"/>
  <c r="L220" i="2"/>
  <c r="F212" i="2"/>
  <c r="N18" i="5"/>
  <c r="M20" i="5"/>
  <c r="C217" i="2"/>
  <c r="G7" i="2"/>
  <c r="J222" i="2"/>
  <c r="N171" i="2"/>
  <c r="Q181" i="2"/>
  <c r="P199" i="2"/>
  <c r="F181" i="2"/>
  <c r="G152" i="2"/>
  <c r="A199" i="2"/>
  <c r="M171" i="2"/>
  <c r="N223" i="2"/>
  <c r="M210" i="2"/>
  <c r="L219" i="2"/>
  <c r="E199" i="2"/>
  <c r="L213" i="2"/>
  <c r="G212" i="2"/>
  <c r="Q102" i="2"/>
  <c r="E221" i="2"/>
  <c r="P218" i="2"/>
  <c r="E223" i="2"/>
  <c r="M52" i="5"/>
  <c r="O24" i="5"/>
  <c r="N24" i="5"/>
  <c r="N7" i="2"/>
  <c r="J217" i="2"/>
  <c r="K217" i="2"/>
  <c r="M7" i="2"/>
  <c r="Q7" i="2"/>
  <c r="H40" i="2"/>
  <c r="P219" i="2"/>
  <c r="Q219" i="2" s="1"/>
  <c r="Q76" i="2"/>
  <c r="M11" i="5"/>
  <c r="N8" i="5" s="1"/>
  <c r="I171" i="2" l="1"/>
  <c r="I203" i="2"/>
  <c r="I213" i="2" s="1"/>
  <c r="H218" i="2"/>
  <c r="H199" i="2"/>
  <c r="N27" i="5"/>
  <c r="N20" i="5"/>
  <c r="N14" i="5"/>
  <c r="H213" i="2"/>
  <c r="O27" i="5"/>
  <c r="K225" i="2"/>
  <c r="Q199" i="2"/>
  <c r="F222" i="2"/>
  <c r="G219" i="2"/>
  <c r="Q213" i="2"/>
  <c r="G222" i="2"/>
  <c r="M6" i="5"/>
  <c r="N6" i="5" s="1"/>
  <c r="O6" i="5" s="1"/>
  <c r="H225" i="2"/>
  <c r="M5" i="5"/>
  <c r="N217" i="2"/>
  <c r="J225" i="2"/>
  <c r="J213" i="2" s="1"/>
  <c r="N213" i="2" s="1"/>
  <c r="M4" i="5"/>
  <c r="F221" i="2"/>
  <c r="G221" i="2"/>
  <c r="C19" i="10"/>
  <c r="E225" i="2"/>
  <c r="F199" i="2"/>
  <c r="G199" i="2"/>
  <c r="N199" i="2"/>
  <c r="M199" i="2"/>
  <c r="Q224" i="2"/>
  <c r="O18" i="5"/>
  <c r="Q218" i="2"/>
  <c r="P225" i="2"/>
  <c r="Q225" i="2" s="1"/>
  <c r="M213" i="2"/>
  <c r="C32" i="10"/>
  <c r="B32" i="10" s="1"/>
  <c r="N222" i="2"/>
  <c r="D31" i="10"/>
  <c r="N221" i="2"/>
  <c r="M221" i="2"/>
  <c r="M219" i="2"/>
  <c r="L225" i="2"/>
  <c r="N219" i="2"/>
  <c r="D29" i="10"/>
  <c r="G217" i="2"/>
  <c r="C225" i="2"/>
  <c r="C213" i="2" s="1"/>
  <c r="N220" i="2"/>
  <c r="M220" i="2"/>
  <c r="D30" i="10"/>
  <c r="B30" i="10" s="1"/>
  <c r="B19" i="10"/>
  <c r="B23" i="10" s="1"/>
  <c r="C31" i="10"/>
  <c r="F223" i="2"/>
  <c r="C21" i="10"/>
  <c r="G223" i="2"/>
  <c r="D225" i="2"/>
  <c r="D213" i="2" s="1"/>
  <c r="F219" i="2"/>
  <c r="M217" i="2"/>
  <c r="I222" i="2" l="1"/>
  <c r="I225" i="2" s="1"/>
  <c r="I199" i="2"/>
  <c r="B31" i="10"/>
  <c r="C35" i="10"/>
  <c r="N225" i="2"/>
  <c r="M225" i="2"/>
  <c r="D35" i="10"/>
  <c r="B29" i="10"/>
  <c r="E213" i="2"/>
  <c r="G225" i="2"/>
  <c r="F225" i="2"/>
  <c r="C23" i="10"/>
  <c r="C24" i="10" s="1"/>
  <c r="B35" i="10" l="1"/>
  <c r="D36" i="10"/>
  <c r="D37" i="10" s="1"/>
  <c r="F213" i="2"/>
  <c r="G213" i="2"/>
</calcChain>
</file>

<file path=xl/sharedStrings.xml><?xml version="1.0" encoding="utf-8"?>
<sst xmlns="http://schemas.openxmlformats.org/spreadsheetml/2006/main" count="500" uniqueCount="282">
  <si>
    <t>Indicators</t>
  </si>
  <si>
    <t>AJKRSP</t>
  </si>
  <si>
    <t>AKRSP</t>
  </si>
  <si>
    <t>BRSP</t>
  </si>
  <si>
    <t>GBTI</t>
  </si>
  <si>
    <t>NRSP</t>
  </si>
  <si>
    <t>PRSP</t>
  </si>
  <si>
    <t>SGA</t>
  </si>
  <si>
    <t>SRSO</t>
  </si>
  <si>
    <t>SRSP</t>
  </si>
  <si>
    <t>TRDP</t>
  </si>
  <si>
    <t># of rural union councils with RSP presence*</t>
  </si>
  <si>
    <t># of Local Support Organisations (LSOs)</t>
  </si>
  <si>
    <t xml:space="preserve"># of Community Organizations (COs) formed </t>
  </si>
  <si>
    <t xml:space="preserve">Women COs </t>
  </si>
  <si>
    <t>Men COs</t>
  </si>
  <si>
    <t>Mix COs</t>
  </si>
  <si>
    <t xml:space="preserve">Total </t>
  </si>
  <si>
    <t># of COs members</t>
  </si>
  <si>
    <t xml:space="preserve">Women </t>
  </si>
  <si>
    <t xml:space="preserve">Men </t>
  </si>
  <si>
    <t># of community members trained</t>
  </si>
  <si>
    <t>Amount of micro-credit disbursement (Rs. Million)</t>
  </si>
  <si>
    <t xml:space="preserve"># of loans </t>
  </si>
  <si>
    <t># of PPI/CPI Schemes Initiated</t>
  </si>
  <si>
    <t xml:space="preserve"># of PPI/CPI Schemes completed </t>
  </si>
  <si>
    <t xml:space="preserve"># of beneficiary households of initiated CPIs </t>
  </si>
  <si>
    <t xml:space="preserve">Total Cost of initiated CPIs (Rs. Million) </t>
  </si>
  <si>
    <t># of community schools established</t>
  </si>
  <si>
    <t xml:space="preserve">Girls </t>
  </si>
  <si>
    <t># of students enrolled</t>
  </si>
  <si>
    <t xml:space="preserve">Boys </t>
  </si>
  <si>
    <t># of adults Literated or Graduated</t>
  </si>
  <si>
    <t xml:space="preserve">S. No. </t>
  </si>
  <si>
    <t xml:space="preserve">Name of District </t>
  </si>
  <si>
    <t>RSP</t>
  </si>
  <si>
    <t>Total rural HHs in the District (1998 Census)</t>
  </si>
  <si>
    <t>ISLAMABAD</t>
  </si>
  <si>
    <t>ICT</t>
  </si>
  <si>
    <t>Sub Total</t>
  </si>
  <si>
    <t>BALOCHISTAN</t>
  </si>
  <si>
    <t xml:space="preserve">Awaran </t>
  </si>
  <si>
    <t xml:space="preserve">Bolan </t>
  </si>
  <si>
    <t xml:space="preserve">Gawadar </t>
  </si>
  <si>
    <t xml:space="preserve">Jhal Magsi </t>
  </si>
  <si>
    <t>Jaffarabad</t>
  </si>
  <si>
    <t xml:space="preserve">Kallat </t>
  </si>
  <si>
    <t>Kech / Turbat</t>
  </si>
  <si>
    <t>Kharan</t>
  </si>
  <si>
    <t xml:space="preserve">Khuzdar </t>
  </si>
  <si>
    <t>Killa Saifullah</t>
  </si>
  <si>
    <t>Lasbella</t>
  </si>
  <si>
    <t>Mastung</t>
  </si>
  <si>
    <t xml:space="preserve">Panjgoor </t>
  </si>
  <si>
    <t xml:space="preserve">Pishin </t>
  </si>
  <si>
    <t xml:space="preserve">Sherani </t>
  </si>
  <si>
    <t xml:space="preserve">Zhob </t>
  </si>
  <si>
    <t>KHYBER PUKHTUNKHWA (KPK)</t>
  </si>
  <si>
    <t xml:space="preserve">Abbottabad </t>
  </si>
  <si>
    <t>Battagram</t>
  </si>
  <si>
    <t>Buner</t>
  </si>
  <si>
    <t>Buner (overlapping)</t>
  </si>
  <si>
    <t>Charsadda</t>
  </si>
  <si>
    <t>Charsadda (overlapping)</t>
  </si>
  <si>
    <t>Chitral</t>
  </si>
  <si>
    <t>Chitral  (overlapping)</t>
  </si>
  <si>
    <t>Dir Upper</t>
  </si>
  <si>
    <t xml:space="preserve">Hangu </t>
  </si>
  <si>
    <t>Haripur</t>
  </si>
  <si>
    <t>Haripur  (overlapping)</t>
  </si>
  <si>
    <t xml:space="preserve">Karak </t>
  </si>
  <si>
    <t>Kohat</t>
  </si>
  <si>
    <t>Kohistan</t>
  </si>
  <si>
    <t>Malakand P.A</t>
  </si>
  <si>
    <t xml:space="preserve">Mansehra </t>
  </si>
  <si>
    <t xml:space="preserve">Mardan </t>
  </si>
  <si>
    <t>Mardan(overlapping)</t>
  </si>
  <si>
    <t xml:space="preserve">Nowshera </t>
  </si>
  <si>
    <t xml:space="preserve">Peshawar </t>
  </si>
  <si>
    <t>Shangla</t>
  </si>
  <si>
    <t>Swabi</t>
  </si>
  <si>
    <t>Swabi  (overlapping)</t>
  </si>
  <si>
    <t>Swat</t>
  </si>
  <si>
    <t>Swat (overlapping)</t>
  </si>
  <si>
    <t>TOTAL</t>
  </si>
  <si>
    <t>SINDH</t>
  </si>
  <si>
    <t>Badin</t>
  </si>
  <si>
    <t>Dadu</t>
  </si>
  <si>
    <t>Ghotki</t>
  </si>
  <si>
    <t xml:space="preserve">Hyderabad </t>
  </si>
  <si>
    <t>Jacobabad</t>
  </si>
  <si>
    <t>Jamshoro</t>
  </si>
  <si>
    <t xml:space="preserve">Kashmore </t>
  </si>
  <si>
    <t>Khairpur</t>
  </si>
  <si>
    <t xml:space="preserve">Larkana </t>
  </si>
  <si>
    <t>Matiari</t>
  </si>
  <si>
    <t>Mirpur Khas</t>
  </si>
  <si>
    <t>Nausharo Feroz</t>
  </si>
  <si>
    <t>Nawabshah</t>
  </si>
  <si>
    <t xml:space="preserve">Shahdad Kot </t>
  </si>
  <si>
    <t>Sanghar</t>
  </si>
  <si>
    <t>Shikarpur</t>
  </si>
  <si>
    <t xml:space="preserve">Sukkhur </t>
  </si>
  <si>
    <t>Tando Allahyar</t>
  </si>
  <si>
    <t>Tando Muhammad Khan</t>
  </si>
  <si>
    <t>Tharparkar</t>
  </si>
  <si>
    <t xml:space="preserve">Thattha </t>
  </si>
  <si>
    <t>Umer Kot</t>
  </si>
  <si>
    <t>PUNJAB</t>
  </si>
  <si>
    <t>Attock</t>
  </si>
  <si>
    <t>Attock (overlapping)</t>
  </si>
  <si>
    <t>Bahawalnagar</t>
  </si>
  <si>
    <t>Bahawalpur</t>
  </si>
  <si>
    <t>Bhakkar</t>
  </si>
  <si>
    <t>Chakwal</t>
  </si>
  <si>
    <t>D G Khan</t>
  </si>
  <si>
    <t>Faisalabad</t>
  </si>
  <si>
    <t>Gujranwala</t>
  </si>
  <si>
    <t>Gujrat</t>
  </si>
  <si>
    <t xml:space="preserve">Hafiz Abad </t>
  </si>
  <si>
    <t>Jhang</t>
  </si>
  <si>
    <t>Jhelum</t>
  </si>
  <si>
    <t xml:space="preserve">Kasur </t>
  </si>
  <si>
    <t>Khanewal</t>
  </si>
  <si>
    <t>Khanewal (overlapping)</t>
  </si>
  <si>
    <t>Khushab</t>
  </si>
  <si>
    <t>Lahore</t>
  </si>
  <si>
    <t>Layyah</t>
  </si>
  <si>
    <t>Lodhran</t>
  </si>
  <si>
    <t>Mandi Bahauddin</t>
  </si>
  <si>
    <t>Mianwali</t>
  </si>
  <si>
    <t>Multan</t>
  </si>
  <si>
    <t>Multan (overlapping)</t>
  </si>
  <si>
    <t>Muzaffargarh</t>
  </si>
  <si>
    <t>Muzaffargarh (overlapping)</t>
  </si>
  <si>
    <t>Narrowal</t>
  </si>
  <si>
    <t>Okara</t>
  </si>
  <si>
    <t>Pakpattan</t>
  </si>
  <si>
    <t>Pakpattan (overlapping)</t>
  </si>
  <si>
    <t>Rahim Yar Khan</t>
  </si>
  <si>
    <t>Rajanpur</t>
  </si>
  <si>
    <t>Rawalpindi</t>
  </si>
  <si>
    <t>Sahiwal</t>
  </si>
  <si>
    <t>Sahiwal (overlapping)</t>
  </si>
  <si>
    <t>Sargodha</t>
  </si>
  <si>
    <t>Sheikhupura</t>
  </si>
  <si>
    <t>Sialkot</t>
  </si>
  <si>
    <t>Toba Tek Singh</t>
  </si>
  <si>
    <t>Toba Tek Singh (overlapping)</t>
  </si>
  <si>
    <t>Vehari</t>
  </si>
  <si>
    <t>AZAD JAMMU AND KASHMIR (AJK)</t>
  </si>
  <si>
    <t>Bagh</t>
  </si>
  <si>
    <t>Kotli</t>
  </si>
  <si>
    <t>Kotli (overlapping)</t>
  </si>
  <si>
    <t>Muzuffarabad</t>
  </si>
  <si>
    <t>Muzuffarabad (overlapping)</t>
  </si>
  <si>
    <t>Neelum</t>
  </si>
  <si>
    <t>Neelum (overlapping)</t>
  </si>
  <si>
    <t>Poonch (Rawalakot)</t>
  </si>
  <si>
    <t>Bhimber</t>
  </si>
  <si>
    <t>Sudhnoti</t>
  </si>
  <si>
    <t>Mirpur</t>
  </si>
  <si>
    <t>GILGIT-BALTISTAN (GB)</t>
  </si>
  <si>
    <t>Astore</t>
  </si>
  <si>
    <t>Ghanche</t>
  </si>
  <si>
    <t>Ghizer</t>
  </si>
  <si>
    <t>Gilgit</t>
  </si>
  <si>
    <t>Hunza-Nagar</t>
  </si>
  <si>
    <t>Skardu</t>
  </si>
  <si>
    <t>Kurram Agency</t>
  </si>
  <si>
    <t>T.A.Adj Peshawar Distt</t>
  </si>
  <si>
    <t xml:space="preserve">G. Total </t>
  </si>
  <si>
    <t xml:space="preserve">RSP-wise Summary of Coverage/Outreach  </t>
  </si>
  <si>
    <t xml:space="preserve">Balochistan </t>
  </si>
  <si>
    <t xml:space="preserve">Sindh </t>
  </si>
  <si>
    <t xml:space="preserve">Punjab </t>
  </si>
  <si>
    <t>Forward Kahuta</t>
  </si>
  <si>
    <t xml:space="preserve">Hattian </t>
  </si>
  <si>
    <t>Bagh (overlapping)</t>
  </si>
  <si>
    <t>Hattian (overlapping)</t>
  </si>
  <si>
    <t>Barkhan</t>
  </si>
  <si>
    <t>Chaqhi</t>
  </si>
  <si>
    <t>Dera Bugti</t>
  </si>
  <si>
    <t>Harnai</t>
  </si>
  <si>
    <t>Killa Abdullah</t>
  </si>
  <si>
    <t>Kohlu</t>
  </si>
  <si>
    <t>Loralai</t>
  </si>
  <si>
    <t>Musa Khel</t>
  </si>
  <si>
    <t>Naseerabad</t>
  </si>
  <si>
    <t>Noshki</t>
  </si>
  <si>
    <t>Sibi</t>
  </si>
  <si>
    <t>Washuk</t>
  </si>
  <si>
    <t>Ziarat</t>
  </si>
  <si>
    <t>Quetta</t>
  </si>
  <si>
    <t xml:space="preserve">Khyber Agency </t>
  </si>
  <si>
    <t>Mohmand Agency</t>
  </si>
  <si>
    <t xml:space="preserve">North Waziristan Agency </t>
  </si>
  <si>
    <t xml:space="preserve">Orakzai Agency </t>
  </si>
  <si>
    <t xml:space="preserve">South Waziristan Agency </t>
  </si>
  <si>
    <t>T.A.Adj Lakki Marwat Distt</t>
  </si>
  <si>
    <t>T.A.Adj Bannu Distt</t>
  </si>
  <si>
    <t>T.A..Adj D.I.Khan Distt</t>
  </si>
  <si>
    <t>T.A.Adj Kohat Distt</t>
  </si>
  <si>
    <t>T.A.Adj Tank Distt</t>
  </si>
  <si>
    <t xml:space="preserve">Bajaur Agency </t>
  </si>
  <si>
    <t>Diamir</t>
  </si>
  <si>
    <t>Banu</t>
  </si>
  <si>
    <t>Dir Lower</t>
  </si>
  <si>
    <t>D.I.Khan</t>
  </si>
  <si>
    <t>Tank</t>
  </si>
  <si>
    <t>Lakki Marwat</t>
  </si>
  <si>
    <t>Karachi</t>
  </si>
  <si>
    <t>Total rural and Peri-Urban UCs in the District</t>
  </si>
  <si>
    <t xml:space="preserve">Number of Districts  </t>
  </si>
  <si>
    <t>Province-wise Summary of RSPs Coverage/Outreach</t>
  </si>
  <si>
    <t>Name of RSP</t>
  </si>
  <si>
    <t>Name of Province/Area</t>
  </si>
  <si>
    <t># of Organized Households</t>
  </si>
  <si>
    <t xml:space="preserve">Grand Total </t>
  </si>
  <si>
    <t># of Traditional Birth Attendants / Health workers Trained</t>
  </si>
  <si>
    <t># of LSOs Managing CIF</t>
  </si>
  <si>
    <t># of VOs Managing CIF</t>
  </si>
  <si>
    <t># of CIF Borrowers</t>
  </si>
  <si>
    <t>Community Investment Fund (CIF)</t>
  </si>
  <si>
    <t xml:space="preserve">Total amount of CIF disbursed (Rs. million) </t>
  </si>
  <si>
    <t># of health micro insurance schemes</t>
  </si>
  <si>
    <t>FEDERALLY ADMINISTERED TRIBAL AREA (FATA)/Frontier Regions (FRs)</t>
  </si>
  <si>
    <t>Islamabad Capital Teritory (ICT)</t>
  </si>
  <si>
    <t>Khyber Pakhtunkhwa (KPK)</t>
  </si>
  <si>
    <t>Azad Jamu and Kashmir (AJK)</t>
  </si>
  <si>
    <t>Gilgit-Baltistan (GB)</t>
  </si>
  <si>
    <t>Federal Adminstrated Tribal Areas (FATA)/Frontier Regions (FRs)</t>
  </si>
  <si>
    <t>Azad Jamu and Kashmir RSP</t>
  </si>
  <si>
    <t>Aga Khan RSP</t>
  </si>
  <si>
    <t>Balochistan RSP</t>
  </si>
  <si>
    <t>Ghazi Baroth Tarqiati Ideara</t>
  </si>
  <si>
    <t>National RSP</t>
  </si>
  <si>
    <t xml:space="preserve">Sindh Graduate Association </t>
  </si>
  <si>
    <t xml:space="preserve">Sindh Rural Support Organisation </t>
  </si>
  <si>
    <t>Sarhad RSP</t>
  </si>
  <si>
    <t>Thardeep Rural Development Programme</t>
  </si>
  <si>
    <t>Lodhran (overlapping)</t>
  </si>
  <si>
    <t>% increase during Qtr</t>
  </si>
  <si>
    <t># of RSP working districts/areas**</t>
  </si>
  <si>
    <t xml:space="preserve">Number of districts/areas having RSPs presence  </t>
  </si>
  <si>
    <t>Number of total districts/areas in the province/area</t>
  </si>
  <si>
    <t>Amount of savings of COs                  (Rs. Million)</t>
  </si>
  <si>
    <t>Chiniot*</t>
  </si>
  <si>
    <t>D G Khan (overlapping)*</t>
  </si>
  <si>
    <t>Nanakana Sahib*</t>
  </si>
  <si>
    <t>Rajanpur (overlapping)*</t>
  </si>
  <si>
    <t>Punjab RSP*</t>
  </si>
  <si>
    <t>* Punjab RSP after restructuring in mid 2011, closed its operation in four districts, Chiniot, Nankana Sahib, DG Khan and Rajanpur.</t>
  </si>
  <si>
    <t>Punjab (Inc ICT)</t>
  </si>
  <si>
    <t>Total</t>
  </si>
  <si>
    <t xml:space="preserve">Total rural union councils </t>
  </si>
  <si>
    <t xml:space="preserve">Number of union councils having RSP presence </t>
  </si>
  <si>
    <t>Total rural HHs in the RSP District (1998 Census)</t>
  </si>
  <si>
    <t>Nowshera (overlapping)</t>
  </si>
  <si>
    <t>Malakand P.A (overlapping)</t>
  </si>
  <si>
    <t>Note: ** The 112 include 110 districts and 2 Federaly Adminstered Tribal Areas.   Punjab RSP after restructuring in mid 2011, closed its operation in four districts, Chiniot, Nankana Sahib, DG Khan and Rajanpur.</t>
  </si>
  <si>
    <t xml:space="preserve"># of beneficiary households of completed CPIs </t>
  </si>
  <si>
    <t xml:space="preserve">Total Cost of completed CPIs (Rs. Million) </t>
  </si>
  <si>
    <t>Poonch (Rawalakot)(overlapping)</t>
  </si>
  <si>
    <t>Sargodha (overlapping)</t>
  </si>
  <si>
    <t xml:space="preserve"># of population insured </t>
  </si>
  <si>
    <t>Union Councils Having RSPs Presence</t>
  </si>
  <si>
    <t>Households Organised</t>
  </si>
  <si>
    <t>Community Orgnisations Formed</t>
  </si>
  <si>
    <t># as of December 2012</t>
  </si>
  <si>
    <t>Number of Revenue Villages Having RSPs Presense (as of December 2012)</t>
  </si>
  <si>
    <t xml:space="preserve">* The total figure for distircts/areas and union councils excludes 24 overlapping districts (presence of multiple RSP) and 534 overlapping union councils </t>
  </si>
  <si>
    <r>
      <t xml:space="preserve">Rural Support Programmes (RSPs) in Pakistan, District-wise RSPs Coverage/Outreach as of March </t>
    </r>
    <r>
      <rPr>
        <b/>
        <sz val="10"/>
        <color indexed="10"/>
        <rFont val="Calibri"/>
        <family val="2"/>
      </rPr>
      <t>2013</t>
    </r>
  </si>
  <si>
    <t># as of March 2013</t>
  </si>
  <si>
    <t>% coverage as of March 2013</t>
  </si>
  <si>
    <t>Number of Revenue Villages Having RSPs Presense (as of March 2013)</t>
  </si>
  <si>
    <r>
      <t>Rural Support Programmes (RSPs) in Pakistan, Cumulative Progress as of March</t>
    </r>
    <r>
      <rPr>
        <b/>
        <sz val="10"/>
        <color indexed="10"/>
        <rFont val="Calibri"/>
        <family val="2"/>
      </rPr>
      <t xml:space="preserve"> 2013</t>
    </r>
  </si>
  <si>
    <t>\</t>
  </si>
  <si>
    <t>Households organised</t>
  </si>
  <si>
    <t>% of households organised</t>
  </si>
  <si>
    <t>Ex rate</t>
  </si>
  <si>
    <t xml:space="preserve">USD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</si>
</sst>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-* #,##0_-;\-* #,##0_-;_-* &quot;-&quot;??_-;_-@_-"/>
    <numFmt numFmtId="165" formatCode="_(* #,##0_);_(* \(#,##0\);_(* &quot;-&quot;??_);_(@_)"/>
    <numFmt numFmtId="166" formatCode="0.0%"/>
    <numFmt numFmtId="167" formatCode="_(* #,##0.0_);_(* \(#,##0.0\);_(* &quot;-&quot;??_);_(@_)"/>
    <numFmt numFmtId="168" formatCode="_(* #,##0.000_);_(* \(#,##0.000\);_(* &quot;-&quot;??_);_(@_)"/>
  </numFmts>
  <fonts count="3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sz val="10"/>
      <color indexed="10"/>
      <name val="Calibri"/>
      <family val="2"/>
    </font>
    <font>
      <sz val="10"/>
      <color indexed="8"/>
      <name val="Calibri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868">
    <xf numFmtId="0" fontId="0" fillId="0" borderId="0"/>
    <xf numFmtId="0" fontId="7" fillId="2" borderId="0" applyNumberFormat="0" applyBorder="0" applyAlignment="0" applyProtection="0"/>
    <xf numFmtId="0" fontId="2" fillId="2" borderId="0" applyNumberFormat="0" applyBorder="0" applyAlignment="0" applyProtection="0"/>
    <xf numFmtId="0" fontId="7" fillId="2" borderId="0" applyNumberFormat="0" applyBorder="0" applyAlignment="0" applyProtection="0"/>
    <xf numFmtId="0" fontId="2" fillId="2" borderId="0" applyNumberFormat="0" applyBorder="0" applyAlignment="0" applyProtection="0"/>
    <xf numFmtId="0" fontId="7" fillId="2" borderId="0" applyNumberFormat="0" applyBorder="0" applyAlignment="0" applyProtection="0"/>
    <xf numFmtId="0" fontId="2" fillId="2" borderId="0" applyNumberFormat="0" applyBorder="0" applyAlignment="0" applyProtection="0"/>
    <xf numFmtId="0" fontId="7" fillId="2" borderId="0" applyNumberFormat="0" applyBorder="0" applyAlignment="0" applyProtection="0"/>
    <xf numFmtId="0" fontId="2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7" fillId="2" borderId="0" applyNumberFormat="0" applyBorder="0" applyAlignment="0" applyProtection="0"/>
    <xf numFmtId="0" fontId="2" fillId="2" borderId="0" applyNumberFormat="0" applyBorder="0" applyAlignment="0" applyProtection="0"/>
    <xf numFmtId="0" fontId="7" fillId="2" borderId="0" applyNumberFormat="0" applyBorder="0" applyAlignment="0" applyProtection="0"/>
    <xf numFmtId="0" fontId="2" fillId="2" borderId="0" applyNumberFormat="0" applyBorder="0" applyAlignment="0" applyProtection="0"/>
    <xf numFmtId="0" fontId="7" fillId="2" borderId="0" applyNumberFormat="0" applyBorder="0" applyAlignment="0" applyProtection="0"/>
    <xf numFmtId="0" fontId="2" fillId="2" borderId="0" applyNumberFormat="0" applyBorder="0" applyAlignment="0" applyProtection="0"/>
    <xf numFmtId="0" fontId="7" fillId="2" borderId="0" applyNumberFormat="0" applyBorder="0" applyAlignment="0" applyProtection="0"/>
    <xf numFmtId="0" fontId="2" fillId="2" borderId="0" applyNumberFormat="0" applyBorder="0" applyAlignment="0" applyProtection="0"/>
    <xf numFmtId="0" fontId="7" fillId="2" borderId="0" applyNumberFormat="0" applyBorder="0" applyAlignment="0" applyProtection="0"/>
    <xf numFmtId="0" fontId="2" fillId="2" borderId="0" applyNumberFormat="0" applyBorder="0" applyAlignment="0" applyProtection="0"/>
    <xf numFmtId="0" fontId="7" fillId="2" borderId="0" applyNumberFormat="0" applyBorder="0" applyAlignment="0" applyProtection="0"/>
    <xf numFmtId="0" fontId="2" fillId="2" borderId="0" applyNumberFormat="0" applyBorder="0" applyAlignment="0" applyProtection="0"/>
    <xf numFmtId="0" fontId="7" fillId="2" borderId="0" applyNumberFormat="0" applyBorder="0" applyAlignment="0" applyProtection="0"/>
    <xf numFmtId="0" fontId="2" fillId="2" borderId="0" applyNumberFormat="0" applyBorder="0" applyAlignment="0" applyProtection="0"/>
    <xf numFmtId="0" fontId="7" fillId="3" borderId="0" applyNumberFormat="0" applyBorder="0" applyAlignment="0" applyProtection="0"/>
    <xf numFmtId="0" fontId="2" fillId="3" borderId="0" applyNumberFormat="0" applyBorder="0" applyAlignment="0" applyProtection="0"/>
    <xf numFmtId="0" fontId="7" fillId="3" borderId="0" applyNumberFormat="0" applyBorder="0" applyAlignment="0" applyProtection="0"/>
    <xf numFmtId="0" fontId="2" fillId="3" borderId="0" applyNumberFormat="0" applyBorder="0" applyAlignment="0" applyProtection="0"/>
    <xf numFmtId="0" fontId="7" fillId="3" borderId="0" applyNumberFormat="0" applyBorder="0" applyAlignment="0" applyProtection="0"/>
    <xf numFmtId="0" fontId="2" fillId="3" borderId="0" applyNumberFormat="0" applyBorder="0" applyAlignment="0" applyProtection="0"/>
    <xf numFmtId="0" fontId="7" fillId="3" borderId="0" applyNumberFormat="0" applyBorder="0" applyAlignment="0" applyProtection="0"/>
    <xf numFmtId="0" fontId="2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7" fillId="3" borderId="0" applyNumberFormat="0" applyBorder="0" applyAlignment="0" applyProtection="0"/>
    <xf numFmtId="0" fontId="2" fillId="3" borderId="0" applyNumberFormat="0" applyBorder="0" applyAlignment="0" applyProtection="0"/>
    <xf numFmtId="0" fontId="7" fillId="3" borderId="0" applyNumberFormat="0" applyBorder="0" applyAlignment="0" applyProtection="0"/>
    <xf numFmtId="0" fontId="2" fillId="3" borderId="0" applyNumberFormat="0" applyBorder="0" applyAlignment="0" applyProtection="0"/>
    <xf numFmtId="0" fontId="7" fillId="3" borderId="0" applyNumberFormat="0" applyBorder="0" applyAlignment="0" applyProtection="0"/>
    <xf numFmtId="0" fontId="2" fillId="3" borderId="0" applyNumberFormat="0" applyBorder="0" applyAlignment="0" applyProtection="0"/>
    <xf numFmtId="0" fontId="7" fillId="3" borderId="0" applyNumberFormat="0" applyBorder="0" applyAlignment="0" applyProtection="0"/>
    <xf numFmtId="0" fontId="2" fillId="3" borderId="0" applyNumberFormat="0" applyBorder="0" applyAlignment="0" applyProtection="0"/>
    <xf numFmtId="0" fontId="7" fillId="3" borderId="0" applyNumberFormat="0" applyBorder="0" applyAlignment="0" applyProtection="0"/>
    <xf numFmtId="0" fontId="2" fillId="3" borderId="0" applyNumberFormat="0" applyBorder="0" applyAlignment="0" applyProtection="0"/>
    <xf numFmtId="0" fontId="7" fillId="3" borderId="0" applyNumberFormat="0" applyBorder="0" applyAlignment="0" applyProtection="0"/>
    <xf numFmtId="0" fontId="2" fillId="3" borderId="0" applyNumberFormat="0" applyBorder="0" applyAlignment="0" applyProtection="0"/>
    <xf numFmtId="0" fontId="7" fillId="3" borderId="0" applyNumberFormat="0" applyBorder="0" applyAlignment="0" applyProtection="0"/>
    <xf numFmtId="0" fontId="2" fillId="3" borderId="0" applyNumberFormat="0" applyBorder="0" applyAlignment="0" applyProtection="0"/>
    <xf numFmtId="0" fontId="7" fillId="4" borderId="0" applyNumberFormat="0" applyBorder="0" applyAlignment="0" applyProtection="0"/>
    <xf numFmtId="0" fontId="2" fillId="4" borderId="0" applyNumberFormat="0" applyBorder="0" applyAlignment="0" applyProtection="0"/>
    <xf numFmtId="0" fontId="7" fillId="4" borderId="0" applyNumberFormat="0" applyBorder="0" applyAlignment="0" applyProtection="0"/>
    <xf numFmtId="0" fontId="2" fillId="4" borderId="0" applyNumberFormat="0" applyBorder="0" applyAlignment="0" applyProtection="0"/>
    <xf numFmtId="0" fontId="7" fillId="4" borderId="0" applyNumberFormat="0" applyBorder="0" applyAlignment="0" applyProtection="0"/>
    <xf numFmtId="0" fontId="2" fillId="4" borderId="0" applyNumberFormat="0" applyBorder="0" applyAlignment="0" applyProtection="0"/>
    <xf numFmtId="0" fontId="7" fillId="4" borderId="0" applyNumberFormat="0" applyBorder="0" applyAlignment="0" applyProtection="0"/>
    <xf numFmtId="0" fontId="2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7" fillId="4" borderId="0" applyNumberFormat="0" applyBorder="0" applyAlignment="0" applyProtection="0"/>
    <xf numFmtId="0" fontId="2" fillId="4" borderId="0" applyNumberFormat="0" applyBorder="0" applyAlignment="0" applyProtection="0"/>
    <xf numFmtId="0" fontId="7" fillId="4" borderId="0" applyNumberFormat="0" applyBorder="0" applyAlignment="0" applyProtection="0"/>
    <xf numFmtId="0" fontId="2" fillId="4" borderId="0" applyNumberFormat="0" applyBorder="0" applyAlignment="0" applyProtection="0"/>
    <xf numFmtId="0" fontId="7" fillId="4" borderId="0" applyNumberFormat="0" applyBorder="0" applyAlignment="0" applyProtection="0"/>
    <xf numFmtId="0" fontId="2" fillId="4" borderId="0" applyNumberFormat="0" applyBorder="0" applyAlignment="0" applyProtection="0"/>
    <xf numFmtId="0" fontId="7" fillId="4" borderId="0" applyNumberFormat="0" applyBorder="0" applyAlignment="0" applyProtection="0"/>
    <xf numFmtId="0" fontId="2" fillId="4" borderId="0" applyNumberFormat="0" applyBorder="0" applyAlignment="0" applyProtection="0"/>
    <xf numFmtId="0" fontId="7" fillId="4" borderId="0" applyNumberFormat="0" applyBorder="0" applyAlignment="0" applyProtection="0"/>
    <xf numFmtId="0" fontId="2" fillId="4" borderId="0" applyNumberFormat="0" applyBorder="0" applyAlignment="0" applyProtection="0"/>
    <xf numFmtId="0" fontId="7" fillId="4" borderId="0" applyNumberFormat="0" applyBorder="0" applyAlignment="0" applyProtection="0"/>
    <xf numFmtId="0" fontId="2" fillId="4" borderId="0" applyNumberFormat="0" applyBorder="0" applyAlignment="0" applyProtection="0"/>
    <xf numFmtId="0" fontId="7" fillId="4" borderId="0" applyNumberFormat="0" applyBorder="0" applyAlignment="0" applyProtection="0"/>
    <xf numFmtId="0" fontId="2" fillId="4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6" borderId="0" applyNumberFormat="0" applyBorder="0" applyAlignment="0" applyProtection="0"/>
    <xf numFmtId="0" fontId="2" fillId="6" borderId="0" applyNumberFormat="0" applyBorder="0" applyAlignment="0" applyProtection="0"/>
    <xf numFmtId="0" fontId="7" fillId="6" borderId="0" applyNumberFormat="0" applyBorder="0" applyAlignment="0" applyProtection="0"/>
    <xf numFmtId="0" fontId="2" fillId="6" borderId="0" applyNumberFormat="0" applyBorder="0" applyAlignment="0" applyProtection="0"/>
    <xf numFmtId="0" fontId="7" fillId="6" borderId="0" applyNumberFormat="0" applyBorder="0" applyAlignment="0" applyProtection="0"/>
    <xf numFmtId="0" fontId="2" fillId="6" borderId="0" applyNumberFormat="0" applyBorder="0" applyAlignment="0" applyProtection="0"/>
    <xf numFmtId="0" fontId="7" fillId="6" borderId="0" applyNumberFormat="0" applyBorder="0" applyAlignment="0" applyProtection="0"/>
    <xf numFmtId="0" fontId="2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7" fillId="6" borderId="0" applyNumberFormat="0" applyBorder="0" applyAlignment="0" applyProtection="0"/>
    <xf numFmtId="0" fontId="2" fillId="6" borderId="0" applyNumberFormat="0" applyBorder="0" applyAlignment="0" applyProtection="0"/>
    <xf numFmtId="0" fontId="7" fillId="6" borderId="0" applyNumberFormat="0" applyBorder="0" applyAlignment="0" applyProtection="0"/>
    <xf numFmtId="0" fontId="2" fillId="6" borderId="0" applyNumberFormat="0" applyBorder="0" applyAlignment="0" applyProtection="0"/>
    <xf numFmtId="0" fontId="7" fillId="6" borderId="0" applyNumberFormat="0" applyBorder="0" applyAlignment="0" applyProtection="0"/>
    <xf numFmtId="0" fontId="2" fillId="6" borderId="0" applyNumberFormat="0" applyBorder="0" applyAlignment="0" applyProtection="0"/>
    <xf numFmtId="0" fontId="7" fillId="6" borderId="0" applyNumberFormat="0" applyBorder="0" applyAlignment="0" applyProtection="0"/>
    <xf numFmtId="0" fontId="2" fillId="6" borderId="0" applyNumberFormat="0" applyBorder="0" applyAlignment="0" applyProtection="0"/>
    <xf numFmtId="0" fontId="7" fillId="6" borderId="0" applyNumberFormat="0" applyBorder="0" applyAlignment="0" applyProtection="0"/>
    <xf numFmtId="0" fontId="2" fillId="6" borderId="0" applyNumberFormat="0" applyBorder="0" applyAlignment="0" applyProtection="0"/>
    <xf numFmtId="0" fontId="7" fillId="6" borderId="0" applyNumberFormat="0" applyBorder="0" applyAlignment="0" applyProtection="0"/>
    <xf numFmtId="0" fontId="2" fillId="6" borderId="0" applyNumberFormat="0" applyBorder="0" applyAlignment="0" applyProtection="0"/>
    <xf numFmtId="0" fontId="7" fillId="6" borderId="0" applyNumberFormat="0" applyBorder="0" applyAlignment="0" applyProtection="0"/>
    <xf numFmtId="0" fontId="2" fillId="6" borderId="0" applyNumberFormat="0" applyBorder="0" applyAlignment="0" applyProtection="0"/>
    <xf numFmtId="0" fontId="7" fillId="7" borderId="0" applyNumberFormat="0" applyBorder="0" applyAlignment="0" applyProtection="0"/>
    <xf numFmtId="0" fontId="2" fillId="7" borderId="0" applyNumberFormat="0" applyBorder="0" applyAlignment="0" applyProtection="0"/>
    <xf numFmtId="0" fontId="7" fillId="7" borderId="0" applyNumberFormat="0" applyBorder="0" applyAlignment="0" applyProtection="0"/>
    <xf numFmtId="0" fontId="2" fillId="7" borderId="0" applyNumberFormat="0" applyBorder="0" applyAlignment="0" applyProtection="0"/>
    <xf numFmtId="0" fontId="7" fillId="7" borderId="0" applyNumberFormat="0" applyBorder="0" applyAlignment="0" applyProtection="0"/>
    <xf numFmtId="0" fontId="2" fillId="7" borderId="0" applyNumberFormat="0" applyBorder="0" applyAlignment="0" applyProtection="0"/>
    <xf numFmtId="0" fontId="7" fillId="7" borderId="0" applyNumberFormat="0" applyBorder="0" applyAlignment="0" applyProtection="0"/>
    <xf numFmtId="0" fontId="2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7" fillId="7" borderId="0" applyNumberFormat="0" applyBorder="0" applyAlignment="0" applyProtection="0"/>
    <xf numFmtId="0" fontId="2" fillId="7" borderId="0" applyNumberFormat="0" applyBorder="0" applyAlignment="0" applyProtection="0"/>
    <xf numFmtId="0" fontId="7" fillId="7" borderId="0" applyNumberFormat="0" applyBorder="0" applyAlignment="0" applyProtection="0"/>
    <xf numFmtId="0" fontId="2" fillId="7" borderId="0" applyNumberFormat="0" applyBorder="0" applyAlignment="0" applyProtection="0"/>
    <xf numFmtId="0" fontId="7" fillId="7" borderId="0" applyNumberFormat="0" applyBorder="0" applyAlignment="0" applyProtection="0"/>
    <xf numFmtId="0" fontId="2" fillId="7" borderId="0" applyNumberFormat="0" applyBorder="0" applyAlignment="0" applyProtection="0"/>
    <xf numFmtId="0" fontId="7" fillId="7" borderId="0" applyNumberFormat="0" applyBorder="0" applyAlignment="0" applyProtection="0"/>
    <xf numFmtId="0" fontId="2" fillId="7" borderId="0" applyNumberFormat="0" applyBorder="0" applyAlignment="0" applyProtection="0"/>
    <xf numFmtId="0" fontId="7" fillId="7" borderId="0" applyNumberFormat="0" applyBorder="0" applyAlignment="0" applyProtection="0"/>
    <xf numFmtId="0" fontId="2" fillId="7" borderId="0" applyNumberFormat="0" applyBorder="0" applyAlignment="0" applyProtection="0"/>
    <xf numFmtId="0" fontId="7" fillId="7" borderId="0" applyNumberFormat="0" applyBorder="0" applyAlignment="0" applyProtection="0"/>
    <xf numFmtId="0" fontId="2" fillId="7" borderId="0" applyNumberFormat="0" applyBorder="0" applyAlignment="0" applyProtection="0"/>
    <xf numFmtId="0" fontId="7" fillId="7" borderId="0" applyNumberFormat="0" applyBorder="0" applyAlignment="0" applyProtection="0"/>
    <xf numFmtId="0" fontId="2" fillId="7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9" borderId="0" applyNumberFormat="0" applyBorder="0" applyAlignment="0" applyProtection="0"/>
    <xf numFmtId="0" fontId="2" fillId="9" borderId="0" applyNumberFormat="0" applyBorder="0" applyAlignment="0" applyProtection="0"/>
    <xf numFmtId="0" fontId="7" fillId="9" borderId="0" applyNumberFormat="0" applyBorder="0" applyAlignment="0" applyProtection="0"/>
    <xf numFmtId="0" fontId="2" fillId="9" borderId="0" applyNumberFormat="0" applyBorder="0" applyAlignment="0" applyProtection="0"/>
    <xf numFmtId="0" fontId="7" fillId="9" borderId="0" applyNumberFormat="0" applyBorder="0" applyAlignment="0" applyProtection="0"/>
    <xf numFmtId="0" fontId="2" fillId="9" borderId="0" applyNumberFormat="0" applyBorder="0" applyAlignment="0" applyProtection="0"/>
    <xf numFmtId="0" fontId="7" fillId="9" borderId="0" applyNumberFormat="0" applyBorder="0" applyAlignment="0" applyProtection="0"/>
    <xf numFmtId="0" fontId="2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7" fillId="9" borderId="0" applyNumberFormat="0" applyBorder="0" applyAlignment="0" applyProtection="0"/>
    <xf numFmtId="0" fontId="2" fillId="9" borderId="0" applyNumberFormat="0" applyBorder="0" applyAlignment="0" applyProtection="0"/>
    <xf numFmtId="0" fontId="7" fillId="9" borderId="0" applyNumberFormat="0" applyBorder="0" applyAlignment="0" applyProtection="0"/>
    <xf numFmtId="0" fontId="2" fillId="9" borderId="0" applyNumberFormat="0" applyBorder="0" applyAlignment="0" applyProtection="0"/>
    <xf numFmtId="0" fontId="7" fillId="9" borderId="0" applyNumberFormat="0" applyBorder="0" applyAlignment="0" applyProtection="0"/>
    <xf numFmtId="0" fontId="2" fillId="9" borderId="0" applyNumberFormat="0" applyBorder="0" applyAlignment="0" applyProtection="0"/>
    <xf numFmtId="0" fontId="7" fillId="9" borderId="0" applyNumberFormat="0" applyBorder="0" applyAlignment="0" applyProtection="0"/>
    <xf numFmtId="0" fontId="2" fillId="9" borderId="0" applyNumberFormat="0" applyBorder="0" applyAlignment="0" applyProtection="0"/>
    <xf numFmtId="0" fontId="7" fillId="9" borderId="0" applyNumberFormat="0" applyBorder="0" applyAlignment="0" applyProtection="0"/>
    <xf numFmtId="0" fontId="2" fillId="9" borderId="0" applyNumberFormat="0" applyBorder="0" applyAlignment="0" applyProtection="0"/>
    <xf numFmtId="0" fontId="7" fillId="9" borderId="0" applyNumberFormat="0" applyBorder="0" applyAlignment="0" applyProtection="0"/>
    <xf numFmtId="0" fontId="2" fillId="9" borderId="0" applyNumberFormat="0" applyBorder="0" applyAlignment="0" applyProtection="0"/>
    <xf numFmtId="0" fontId="7" fillId="9" borderId="0" applyNumberFormat="0" applyBorder="0" applyAlignment="0" applyProtection="0"/>
    <xf numFmtId="0" fontId="2" fillId="9" borderId="0" applyNumberFormat="0" applyBorder="0" applyAlignment="0" applyProtection="0"/>
    <xf numFmtId="0" fontId="7" fillId="10" borderId="0" applyNumberFormat="0" applyBorder="0" applyAlignment="0" applyProtection="0"/>
    <xf numFmtId="0" fontId="2" fillId="10" borderId="0" applyNumberFormat="0" applyBorder="0" applyAlignment="0" applyProtection="0"/>
    <xf numFmtId="0" fontId="7" fillId="10" borderId="0" applyNumberFormat="0" applyBorder="0" applyAlignment="0" applyProtection="0"/>
    <xf numFmtId="0" fontId="2" fillId="10" borderId="0" applyNumberFormat="0" applyBorder="0" applyAlignment="0" applyProtection="0"/>
    <xf numFmtId="0" fontId="7" fillId="10" borderId="0" applyNumberFormat="0" applyBorder="0" applyAlignment="0" applyProtection="0"/>
    <xf numFmtId="0" fontId="2" fillId="10" borderId="0" applyNumberFormat="0" applyBorder="0" applyAlignment="0" applyProtection="0"/>
    <xf numFmtId="0" fontId="7" fillId="10" borderId="0" applyNumberFormat="0" applyBorder="0" applyAlignment="0" applyProtection="0"/>
    <xf numFmtId="0" fontId="2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7" fillId="10" borderId="0" applyNumberFormat="0" applyBorder="0" applyAlignment="0" applyProtection="0"/>
    <xf numFmtId="0" fontId="2" fillId="10" borderId="0" applyNumberFormat="0" applyBorder="0" applyAlignment="0" applyProtection="0"/>
    <xf numFmtId="0" fontId="7" fillId="10" borderId="0" applyNumberFormat="0" applyBorder="0" applyAlignment="0" applyProtection="0"/>
    <xf numFmtId="0" fontId="2" fillId="10" borderId="0" applyNumberFormat="0" applyBorder="0" applyAlignment="0" applyProtection="0"/>
    <xf numFmtId="0" fontId="7" fillId="10" borderId="0" applyNumberFormat="0" applyBorder="0" applyAlignment="0" applyProtection="0"/>
    <xf numFmtId="0" fontId="2" fillId="10" borderId="0" applyNumberFormat="0" applyBorder="0" applyAlignment="0" applyProtection="0"/>
    <xf numFmtId="0" fontId="7" fillId="10" borderId="0" applyNumberFormat="0" applyBorder="0" applyAlignment="0" applyProtection="0"/>
    <xf numFmtId="0" fontId="2" fillId="10" borderId="0" applyNumberFormat="0" applyBorder="0" applyAlignment="0" applyProtection="0"/>
    <xf numFmtId="0" fontId="7" fillId="10" borderId="0" applyNumberFormat="0" applyBorder="0" applyAlignment="0" applyProtection="0"/>
    <xf numFmtId="0" fontId="2" fillId="10" borderId="0" applyNumberFormat="0" applyBorder="0" applyAlignment="0" applyProtection="0"/>
    <xf numFmtId="0" fontId="7" fillId="10" borderId="0" applyNumberFormat="0" applyBorder="0" applyAlignment="0" applyProtection="0"/>
    <xf numFmtId="0" fontId="2" fillId="10" borderId="0" applyNumberFormat="0" applyBorder="0" applyAlignment="0" applyProtection="0"/>
    <xf numFmtId="0" fontId="7" fillId="10" borderId="0" applyNumberFormat="0" applyBorder="0" applyAlignment="0" applyProtection="0"/>
    <xf numFmtId="0" fontId="2" fillId="10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5" borderId="0" applyNumberFormat="0" applyBorder="0" applyAlignment="0" applyProtection="0"/>
    <xf numFmtId="0" fontId="2" fillId="5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8" borderId="0" applyNumberFormat="0" applyBorder="0" applyAlignment="0" applyProtection="0"/>
    <xf numFmtId="0" fontId="2" fillId="8" borderId="0" applyNumberFormat="0" applyBorder="0" applyAlignment="0" applyProtection="0"/>
    <xf numFmtId="0" fontId="7" fillId="11" borderId="0" applyNumberFormat="0" applyBorder="0" applyAlignment="0" applyProtection="0"/>
    <xf numFmtId="0" fontId="2" fillId="11" borderId="0" applyNumberFormat="0" applyBorder="0" applyAlignment="0" applyProtection="0"/>
    <xf numFmtId="0" fontId="7" fillId="11" borderId="0" applyNumberFormat="0" applyBorder="0" applyAlignment="0" applyProtection="0"/>
    <xf numFmtId="0" fontId="2" fillId="11" borderId="0" applyNumberFormat="0" applyBorder="0" applyAlignment="0" applyProtection="0"/>
    <xf numFmtId="0" fontId="7" fillId="11" borderId="0" applyNumberFormat="0" applyBorder="0" applyAlignment="0" applyProtection="0"/>
    <xf numFmtId="0" fontId="2" fillId="11" borderId="0" applyNumberFormat="0" applyBorder="0" applyAlignment="0" applyProtection="0"/>
    <xf numFmtId="0" fontId="7" fillId="11" borderId="0" applyNumberFormat="0" applyBorder="0" applyAlignment="0" applyProtection="0"/>
    <xf numFmtId="0" fontId="2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7" fillId="11" borderId="0" applyNumberFormat="0" applyBorder="0" applyAlignment="0" applyProtection="0"/>
    <xf numFmtId="0" fontId="2" fillId="11" borderId="0" applyNumberFormat="0" applyBorder="0" applyAlignment="0" applyProtection="0"/>
    <xf numFmtId="0" fontId="7" fillId="11" borderId="0" applyNumberFormat="0" applyBorder="0" applyAlignment="0" applyProtection="0"/>
    <xf numFmtId="0" fontId="2" fillId="11" borderId="0" applyNumberFormat="0" applyBorder="0" applyAlignment="0" applyProtection="0"/>
    <xf numFmtId="0" fontId="7" fillId="11" borderId="0" applyNumberFormat="0" applyBorder="0" applyAlignment="0" applyProtection="0"/>
    <xf numFmtId="0" fontId="2" fillId="11" borderId="0" applyNumberFormat="0" applyBorder="0" applyAlignment="0" applyProtection="0"/>
    <xf numFmtId="0" fontId="7" fillId="11" borderId="0" applyNumberFormat="0" applyBorder="0" applyAlignment="0" applyProtection="0"/>
    <xf numFmtId="0" fontId="2" fillId="11" borderId="0" applyNumberFormat="0" applyBorder="0" applyAlignment="0" applyProtection="0"/>
    <xf numFmtId="0" fontId="7" fillId="11" borderId="0" applyNumberFormat="0" applyBorder="0" applyAlignment="0" applyProtection="0"/>
    <xf numFmtId="0" fontId="2" fillId="11" borderId="0" applyNumberFormat="0" applyBorder="0" applyAlignment="0" applyProtection="0"/>
    <xf numFmtId="0" fontId="7" fillId="11" borderId="0" applyNumberFormat="0" applyBorder="0" applyAlignment="0" applyProtection="0"/>
    <xf numFmtId="0" fontId="2" fillId="11" borderId="0" applyNumberFormat="0" applyBorder="0" applyAlignment="0" applyProtection="0"/>
    <xf numFmtId="0" fontId="7" fillId="11" borderId="0" applyNumberFormat="0" applyBorder="0" applyAlignment="0" applyProtection="0"/>
    <xf numFmtId="0" fontId="2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33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6" fillId="23" borderId="7" applyNumberFormat="0" applyFont="0" applyAlignment="0" applyProtection="0"/>
    <xf numFmtId="0" fontId="6" fillId="23" borderId="7" applyNumberFormat="0" applyFont="0" applyAlignment="0" applyProtection="0"/>
    <xf numFmtId="0" fontId="6" fillId="23" borderId="7" applyNumberFormat="0" applyFont="0" applyAlignment="0" applyProtection="0"/>
    <xf numFmtId="0" fontId="6" fillId="23" borderId="7" applyNumberFormat="0" applyFont="0" applyAlignment="0" applyProtection="0"/>
    <xf numFmtId="0" fontId="6" fillId="23" borderId="7" applyNumberFormat="0" applyFont="0" applyAlignment="0" applyProtection="0"/>
    <xf numFmtId="0" fontId="6" fillId="23" borderId="7" applyNumberFormat="0" applyFont="0" applyAlignment="0" applyProtection="0"/>
    <xf numFmtId="0" fontId="6" fillId="23" borderId="7" applyNumberFormat="0" applyFont="0" applyAlignment="0" applyProtection="0"/>
    <xf numFmtId="0" fontId="6" fillId="23" borderId="7" applyNumberFormat="0" applyFont="0" applyAlignment="0" applyProtection="0"/>
    <xf numFmtId="0" fontId="6" fillId="23" borderId="7" applyNumberFormat="0" applyFont="0" applyAlignment="0" applyProtection="0"/>
    <xf numFmtId="0" fontId="6" fillId="23" borderId="7" applyNumberFormat="0" applyFont="0" applyAlignment="0" applyProtection="0"/>
    <xf numFmtId="0" fontId="6" fillId="23" borderId="7" applyNumberFormat="0" applyFont="0" applyAlignment="0" applyProtection="0"/>
    <xf numFmtId="0" fontId="6" fillId="23" borderId="7" applyNumberFormat="0" applyFont="0" applyAlignment="0" applyProtection="0"/>
    <xf numFmtId="0" fontId="6" fillId="23" borderId="7" applyNumberFormat="0" applyFont="0" applyAlignment="0" applyProtection="0"/>
    <xf numFmtId="0" fontId="20" fillId="20" borderId="8" applyNumberFormat="0" applyAlignment="0" applyProtection="0"/>
    <xf numFmtId="0" fontId="20" fillId="20" borderId="8" applyNumberFormat="0" applyAlignment="0" applyProtection="0"/>
    <xf numFmtId="0" fontId="20" fillId="20" borderId="8" applyNumberFormat="0" applyAlignment="0" applyProtection="0"/>
    <xf numFmtId="0" fontId="20" fillId="20" borderId="8" applyNumberFormat="0" applyAlignment="0" applyProtection="0"/>
    <xf numFmtId="0" fontId="20" fillId="20" borderId="8" applyNumberFormat="0" applyAlignment="0" applyProtection="0"/>
    <xf numFmtId="0" fontId="20" fillId="20" borderId="8" applyNumberFormat="0" applyAlignment="0" applyProtection="0"/>
    <xf numFmtId="0" fontId="20" fillId="20" borderId="8" applyNumberFormat="0" applyAlignment="0" applyProtection="0"/>
    <xf numFmtId="0" fontId="20" fillId="20" borderId="8" applyNumberFormat="0" applyAlignment="0" applyProtection="0"/>
    <xf numFmtId="0" fontId="20" fillId="20" borderId="8" applyNumberFormat="0" applyAlignment="0" applyProtection="0"/>
    <xf numFmtId="0" fontId="20" fillId="20" borderId="8" applyNumberFormat="0" applyAlignment="0" applyProtection="0"/>
    <xf numFmtId="0" fontId="20" fillId="20" borderId="8" applyNumberFormat="0" applyAlignment="0" applyProtection="0"/>
    <xf numFmtId="0" fontId="20" fillId="20" borderId="8" applyNumberForma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20">
    <xf numFmtId="0" fontId="0" fillId="0" borderId="0" xfId="0"/>
    <xf numFmtId="0" fontId="24" fillId="0" borderId="0" xfId="0" applyFont="1" applyFill="1"/>
    <xf numFmtId="165" fontId="25" fillId="0" borderId="0" xfId="508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165" fontId="24" fillId="0" borderId="0" xfId="508" applyNumberFormat="1" applyFont="1" applyFill="1" applyAlignment="1">
      <alignment horizontal="center"/>
    </xf>
    <xf numFmtId="0" fontId="25" fillId="0" borderId="0" xfId="0" applyFont="1" applyFill="1"/>
    <xf numFmtId="0" fontId="24" fillId="24" borderId="0" xfId="0" applyFont="1" applyFill="1"/>
    <xf numFmtId="0" fontId="24" fillId="0" borderId="0" xfId="0" applyFont="1" applyFill="1" applyAlignment="1">
      <alignment vertical="center"/>
    </xf>
    <xf numFmtId="0" fontId="25" fillId="0" borderId="0" xfId="0" applyFont="1" applyFill="1" applyAlignment="1">
      <alignment vertical="center"/>
    </xf>
    <xf numFmtId="165" fontId="24" fillId="0" borderId="0" xfId="0" applyNumberFormat="1" applyFont="1" applyFill="1" applyAlignment="1">
      <alignment horizontal="center"/>
    </xf>
    <xf numFmtId="166" fontId="24" fillId="0" borderId="0" xfId="508" applyNumberFormat="1" applyFont="1" applyFill="1"/>
    <xf numFmtId="43" fontId="24" fillId="0" borderId="0" xfId="0" applyNumberFormat="1" applyFont="1" applyFill="1"/>
    <xf numFmtId="165" fontId="24" fillId="0" borderId="0" xfId="508" applyNumberFormat="1" applyFont="1" applyFill="1"/>
    <xf numFmtId="165" fontId="26" fillId="0" borderId="0" xfId="508" applyNumberFormat="1" applyFont="1" applyFill="1" applyAlignment="1">
      <alignment horizontal="center"/>
    </xf>
    <xf numFmtId="0" fontId="27" fillId="0" borderId="0" xfId="0" applyFont="1" applyFill="1"/>
    <xf numFmtId="0" fontId="27" fillId="0" borderId="0" xfId="0" applyFont="1" applyFill="1" applyAlignment="1">
      <alignment horizontal="center"/>
    </xf>
    <xf numFmtId="165" fontId="27" fillId="0" borderId="0" xfId="508" applyNumberFormat="1" applyFont="1" applyFill="1" applyAlignment="1">
      <alignment horizontal="center"/>
    </xf>
    <xf numFmtId="166" fontId="27" fillId="0" borderId="0" xfId="508" applyNumberFormat="1" applyFont="1" applyFill="1" applyAlignment="1">
      <alignment horizontal="center"/>
    </xf>
    <xf numFmtId="165" fontId="26" fillId="24" borderId="10" xfId="508" applyNumberFormat="1" applyFont="1" applyFill="1" applyBorder="1" applyAlignment="1">
      <alignment horizontal="left" vertical="center"/>
    </xf>
    <xf numFmtId="0" fontId="26" fillId="24" borderId="11" xfId="0" applyFont="1" applyFill="1" applyBorder="1" applyAlignment="1">
      <alignment vertical="center"/>
    </xf>
    <xf numFmtId="165" fontId="26" fillId="24" borderId="11" xfId="508" applyNumberFormat="1" applyFont="1" applyFill="1" applyBorder="1" applyAlignment="1">
      <alignment horizontal="center" vertical="center"/>
    </xf>
    <xf numFmtId="166" fontId="26" fillId="24" borderId="11" xfId="508" applyNumberFormat="1" applyFont="1" applyFill="1" applyBorder="1" applyAlignment="1">
      <alignment horizontal="center" vertical="center"/>
    </xf>
    <xf numFmtId="165" fontId="26" fillId="24" borderId="12" xfId="508" applyNumberFormat="1" applyFont="1" applyFill="1" applyBorder="1" applyAlignment="1">
      <alignment horizontal="center" vertical="center"/>
    </xf>
    <xf numFmtId="165" fontId="27" fillId="0" borderId="13" xfId="508" applyNumberFormat="1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vertical="center"/>
    </xf>
    <xf numFmtId="165" fontId="27" fillId="0" borderId="14" xfId="508" applyNumberFormat="1" applyFont="1" applyFill="1" applyBorder="1" applyAlignment="1">
      <alignment horizontal="center" vertical="center"/>
    </xf>
    <xf numFmtId="165" fontId="27" fillId="0" borderId="15" xfId="508" applyNumberFormat="1" applyFont="1" applyFill="1" applyBorder="1" applyAlignment="1">
      <alignment horizontal="center" vertical="center"/>
    </xf>
    <xf numFmtId="10" fontId="27" fillId="0" borderId="16" xfId="508" applyNumberFormat="1" applyFont="1" applyFill="1" applyBorder="1" applyAlignment="1">
      <alignment horizontal="center" vertical="center"/>
    </xf>
    <xf numFmtId="165" fontId="27" fillId="0" borderId="0" xfId="508" applyNumberFormat="1" applyFont="1" applyFill="1" applyBorder="1" applyAlignment="1">
      <alignment horizontal="center" vertical="center"/>
    </xf>
    <xf numFmtId="165" fontId="27" fillId="24" borderId="11" xfId="508" applyNumberFormat="1" applyFont="1" applyFill="1" applyBorder="1" applyAlignment="1">
      <alignment horizontal="center" vertical="center"/>
    </xf>
    <xf numFmtId="165" fontId="27" fillId="0" borderId="17" xfId="508" applyNumberFormat="1" applyFont="1" applyFill="1" applyBorder="1" applyAlignment="1">
      <alignment horizontal="center" vertical="center"/>
    </xf>
    <xf numFmtId="0" fontId="27" fillId="0" borderId="16" xfId="0" applyFont="1" applyFill="1" applyBorder="1" applyAlignment="1">
      <alignment horizontal="center"/>
    </xf>
    <xf numFmtId="0" fontId="27" fillId="0" borderId="16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horizontal="left" vertical="center"/>
    </xf>
    <xf numFmtId="165" fontId="27" fillId="25" borderId="14" xfId="508" applyNumberFormat="1" applyFont="1" applyFill="1" applyBorder="1" applyAlignment="1">
      <alignment horizontal="center" vertical="center"/>
    </xf>
    <xf numFmtId="165" fontId="26" fillId="0" borderId="0" xfId="508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165" fontId="27" fillId="0" borderId="18" xfId="508" applyNumberFormat="1" applyFont="1" applyFill="1" applyBorder="1" applyAlignment="1">
      <alignment horizontal="center" vertical="center"/>
    </xf>
    <xf numFmtId="0" fontId="27" fillId="0" borderId="19" xfId="0" applyFont="1" applyFill="1" applyBorder="1" applyAlignment="1">
      <alignment vertical="center"/>
    </xf>
    <xf numFmtId="165" fontId="27" fillId="0" borderId="19" xfId="508" applyNumberFormat="1" applyFont="1" applyFill="1" applyBorder="1" applyAlignment="1">
      <alignment horizontal="center" vertical="center"/>
    </xf>
    <xf numFmtId="165" fontId="27" fillId="0" borderId="20" xfId="508" applyNumberFormat="1" applyFont="1" applyFill="1" applyBorder="1" applyAlignment="1">
      <alignment horizontal="center" vertical="center"/>
    </xf>
    <xf numFmtId="165" fontId="27" fillId="0" borderId="21" xfId="508" applyNumberFormat="1" applyFont="1" applyFill="1" applyBorder="1" applyAlignment="1">
      <alignment horizontal="center" vertical="center"/>
    </xf>
    <xf numFmtId="0" fontId="27" fillId="0" borderId="22" xfId="0" applyFont="1" applyFill="1" applyBorder="1" applyAlignment="1">
      <alignment horizontal="center" vertical="center"/>
    </xf>
    <xf numFmtId="165" fontId="26" fillId="0" borderId="23" xfId="508" applyNumberFormat="1" applyFont="1" applyFill="1" applyBorder="1" applyAlignment="1">
      <alignment horizontal="center" vertical="center"/>
    </xf>
    <xf numFmtId="0" fontId="26" fillId="0" borderId="24" xfId="0" applyFont="1" applyFill="1" applyBorder="1" applyAlignment="1">
      <alignment horizontal="center" vertical="center"/>
    </xf>
    <xf numFmtId="165" fontId="26" fillId="0" borderId="24" xfId="508" applyNumberFormat="1" applyFont="1" applyFill="1" applyBorder="1" applyAlignment="1">
      <alignment horizontal="center" vertical="center"/>
    </xf>
    <xf numFmtId="165" fontId="27" fillId="0" borderId="24" xfId="508" applyNumberFormat="1" applyFont="1" applyFill="1" applyBorder="1" applyAlignment="1">
      <alignment horizontal="center" vertical="center"/>
    </xf>
    <xf numFmtId="10" fontId="26" fillId="0" borderId="25" xfId="508" applyNumberFormat="1" applyFont="1" applyFill="1" applyBorder="1" applyAlignment="1">
      <alignment horizontal="center" vertical="center"/>
    </xf>
    <xf numFmtId="0" fontId="27" fillId="0" borderId="14" xfId="0" applyFont="1" applyBorder="1"/>
    <xf numFmtId="0" fontId="26" fillId="0" borderId="0" xfId="0" applyFont="1" applyFill="1" applyBorder="1" applyAlignment="1">
      <alignment horizontal="center" vertical="center"/>
    </xf>
    <xf numFmtId="10" fontId="26" fillId="0" borderId="0" xfId="508" applyNumberFormat="1" applyFont="1" applyFill="1" applyBorder="1" applyAlignment="1">
      <alignment horizontal="center" vertical="center"/>
    </xf>
    <xf numFmtId="165" fontId="26" fillId="0" borderId="26" xfId="508" applyNumberFormat="1" applyFont="1" applyFill="1" applyBorder="1"/>
    <xf numFmtId="0" fontId="26" fillId="0" borderId="27" xfId="0" applyFont="1" applyFill="1" applyBorder="1"/>
    <xf numFmtId="165" fontId="26" fillId="0" borderId="28" xfId="508" applyNumberFormat="1" applyFont="1" applyFill="1" applyBorder="1" applyAlignment="1">
      <alignment horizontal="center" vertical="center"/>
    </xf>
    <xf numFmtId="165" fontId="26" fillId="0" borderId="29" xfId="508" applyNumberFormat="1" applyFont="1" applyFill="1" applyBorder="1" applyAlignment="1">
      <alignment horizontal="center" vertical="center"/>
    </xf>
    <xf numFmtId="165" fontId="26" fillId="0" borderId="30" xfId="508" applyNumberFormat="1" applyFont="1" applyFill="1" applyBorder="1" applyAlignment="1">
      <alignment horizontal="center" vertical="center"/>
    </xf>
    <xf numFmtId="165" fontId="26" fillId="0" borderId="31" xfId="508" applyNumberFormat="1" applyFont="1" applyFill="1" applyBorder="1" applyAlignment="1">
      <alignment horizontal="center" vertical="center"/>
    </xf>
    <xf numFmtId="165" fontId="26" fillId="0" borderId="27" xfId="508" applyNumberFormat="1" applyFont="1" applyFill="1" applyBorder="1" applyAlignment="1">
      <alignment horizontal="center" vertical="center"/>
    </xf>
    <xf numFmtId="165" fontId="27" fillId="0" borderId="14" xfId="508" applyNumberFormat="1" applyFont="1" applyFill="1" applyBorder="1" applyAlignment="1">
      <alignment vertical="center"/>
    </xf>
    <xf numFmtId="165" fontId="27" fillId="0" borderId="0" xfId="508" applyNumberFormat="1" applyFont="1" applyFill="1" applyAlignment="1">
      <alignment horizontal="center" vertical="center"/>
    </xf>
    <xf numFmtId="164" fontId="28" fillId="0" borderId="0" xfId="508" applyNumberFormat="1" applyFont="1" applyFill="1" applyBorder="1"/>
    <xf numFmtId="0" fontId="28" fillId="0" borderId="0" xfId="0" applyFont="1"/>
    <xf numFmtId="0" fontId="29" fillId="0" borderId="0" xfId="0" applyFont="1" applyFill="1" applyBorder="1"/>
    <xf numFmtId="0" fontId="29" fillId="0" borderId="0" xfId="0" applyFont="1" applyFill="1" applyBorder="1" applyAlignment="1">
      <alignment horizontal="center"/>
    </xf>
    <xf numFmtId="164" fontId="28" fillId="0" borderId="0" xfId="508" applyNumberFormat="1" applyFont="1"/>
    <xf numFmtId="164" fontId="28" fillId="0" borderId="14" xfId="508" applyNumberFormat="1" applyFont="1" applyBorder="1" applyAlignment="1">
      <alignment horizontal="center" wrapText="1"/>
    </xf>
    <xf numFmtId="164" fontId="28" fillId="0" borderId="14" xfId="508" applyNumberFormat="1" applyFont="1" applyFill="1" applyBorder="1" applyAlignment="1">
      <alignment horizontal="center" wrapText="1"/>
    </xf>
    <xf numFmtId="164" fontId="29" fillId="24" borderId="14" xfId="508" applyNumberFormat="1" applyFont="1" applyFill="1" applyBorder="1" applyAlignment="1">
      <alignment horizontal="center" wrapText="1"/>
    </xf>
    <xf numFmtId="43" fontId="28" fillId="0" borderId="0" xfId="508" applyFont="1"/>
    <xf numFmtId="165" fontId="28" fillId="0" borderId="0" xfId="508" applyNumberFormat="1" applyFont="1"/>
    <xf numFmtId="38" fontId="28" fillId="0" borderId="0" xfId="0" applyNumberFormat="1" applyFont="1"/>
    <xf numFmtId="38" fontId="28" fillId="0" borderId="0" xfId="508" applyNumberFormat="1" applyFont="1"/>
    <xf numFmtId="40" fontId="28" fillId="0" borderId="0" xfId="508" applyNumberFormat="1" applyFont="1"/>
    <xf numFmtId="0" fontId="28" fillId="0" borderId="0" xfId="0" applyFont="1" applyAlignment="1">
      <alignment vertical="center"/>
    </xf>
    <xf numFmtId="164" fontId="29" fillId="24" borderId="32" xfId="508" applyNumberFormat="1" applyFont="1" applyFill="1" applyBorder="1" applyAlignment="1">
      <alignment horizontal="center" wrapText="1"/>
    </xf>
    <xf numFmtId="0" fontId="28" fillId="0" borderId="0" xfId="0" applyFont="1" applyBorder="1"/>
    <xf numFmtId="164" fontId="28" fillId="0" borderId="0" xfId="0" applyNumberFormat="1" applyFont="1"/>
    <xf numFmtId="0" fontId="28" fillId="0" borderId="0" xfId="0" applyFont="1" applyAlignment="1">
      <alignment vertical="top"/>
    </xf>
    <xf numFmtId="165" fontId="28" fillId="0" borderId="14" xfId="508" applyNumberFormat="1" applyFont="1" applyFill="1" applyBorder="1" applyAlignment="1">
      <alignment horizontal="center" vertical="center" wrapText="1"/>
    </xf>
    <xf numFmtId="0" fontId="29" fillId="0" borderId="31" xfId="0" applyFont="1" applyFill="1" applyBorder="1" applyAlignment="1">
      <alignment horizontal="center" vertical="center"/>
    </xf>
    <xf numFmtId="165" fontId="27" fillId="0" borderId="16" xfId="508" applyNumberFormat="1" applyFont="1" applyFill="1" applyBorder="1" applyAlignment="1">
      <alignment horizontal="left" vertical="center"/>
    </xf>
    <xf numFmtId="165" fontId="27" fillId="0" borderId="16" xfId="508" applyNumberFormat="1" applyFont="1" applyFill="1" applyBorder="1" applyAlignment="1">
      <alignment horizontal="center" vertical="center"/>
    </xf>
    <xf numFmtId="9" fontId="26" fillId="0" borderId="0" xfId="508" applyNumberFormat="1" applyFont="1" applyFill="1" applyBorder="1" applyAlignment="1">
      <alignment horizontal="center" vertical="center"/>
    </xf>
    <xf numFmtId="165" fontId="26" fillId="0" borderId="0" xfId="508" applyNumberFormat="1" applyFont="1" applyFill="1" applyAlignment="1">
      <alignment horizontal="left"/>
    </xf>
    <xf numFmtId="165" fontId="27" fillId="0" borderId="0" xfId="508" applyNumberFormat="1" applyFont="1" applyFill="1" applyAlignment="1">
      <alignment horizontal="left"/>
    </xf>
    <xf numFmtId="165" fontId="27" fillId="0" borderId="33" xfId="508" applyNumberFormat="1" applyFont="1" applyFill="1" applyBorder="1" applyAlignment="1">
      <alignment horizontal="left" vertical="center" wrapText="1"/>
    </xf>
    <xf numFmtId="164" fontId="28" fillId="0" borderId="0" xfId="508" applyNumberFormat="1" applyFont="1" applyFill="1"/>
    <xf numFmtId="43" fontId="28" fillId="0" borderId="0" xfId="508" applyFont="1" applyFill="1"/>
    <xf numFmtId="43" fontId="24" fillId="0" borderId="0" xfId="0" applyNumberFormat="1" applyFont="1" applyFill="1" applyAlignment="1">
      <alignment vertical="center"/>
    </xf>
    <xf numFmtId="9" fontId="26" fillId="24" borderId="32" xfId="508" applyNumberFormat="1" applyFont="1" applyFill="1" applyBorder="1" applyAlignment="1">
      <alignment horizontal="center" vertical="center" wrapText="1"/>
    </xf>
    <xf numFmtId="165" fontId="27" fillId="0" borderId="22" xfId="508" applyNumberFormat="1" applyFont="1" applyFill="1" applyBorder="1" applyAlignment="1">
      <alignment horizontal="center" vertical="center"/>
    </xf>
    <xf numFmtId="165" fontId="26" fillId="0" borderId="23" xfId="508" applyNumberFormat="1" applyFont="1" applyFill="1" applyBorder="1" applyAlignment="1">
      <alignment horizontal="center"/>
    </xf>
    <xf numFmtId="0" fontId="27" fillId="0" borderId="24" xfId="0" applyFont="1" applyFill="1" applyBorder="1"/>
    <xf numFmtId="0" fontId="27" fillId="0" borderId="25" xfId="0" applyFont="1" applyFill="1" applyBorder="1" applyAlignment="1">
      <alignment horizontal="center"/>
    </xf>
    <xf numFmtId="0" fontId="27" fillId="0" borderId="13" xfId="0" applyFont="1" applyFill="1" applyBorder="1" applyAlignment="1">
      <alignment vertical="center"/>
    </xf>
    <xf numFmtId="165" fontId="27" fillId="0" borderId="16" xfId="508" applyNumberFormat="1" applyFont="1" applyFill="1" applyBorder="1" applyAlignment="1">
      <alignment vertical="center"/>
    </xf>
    <xf numFmtId="0" fontId="27" fillId="0" borderId="33" xfId="0" applyFont="1" applyFill="1" applyBorder="1" applyAlignment="1">
      <alignment vertical="center"/>
    </xf>
    <xf numFmtId="0" fontId="27" fillId="0" borderId="28" xfId="0" applyFont="1" applyFill="1" applyBorder="1" applyAlignment="1">
      <alignment vertical="center"/>
    </xf>
    <xf numFmtId="165" fontId="27" fillId="0" borderId="28" xfId="508" applyNumberFormat="1" applyFont="1" applyFill="1" applyBorder="1" applyAlignment="1">
      <alignment horizontal="left" vertical="center"/>
    </xf>
    <xf numFmtId="165" fontId="27" fillId="0" borderId="31" xfId="508" applyNumberFormat="1" applyFont="1" applyFill="1" applyBorder="1" applyAlignment="1">
      <alignment horizontal="left" vertical="center" wrapText="1"/>
    </xf>
    <xf numFmtId="43" fontId="0" fillId="0" borderId="0" xfId="0" applyNumberFormat="1"/>
    <xf numFmtId="165" fontId="27" fillId="0" borderId="15" xfId="508" applyNumberFormat="1" applyFont="1" applyFill="1" applyBorder="1" applyAlignment="1">
      <alignment vertical="center"/>
    </xf>
    <xf numFmtId="165" fontId="27" fillId="0" borderId="28" xfId="508" applyNumberFormat="1" applyFont="1" applyFill="1" applyBorder="1" applyAlignment="1">
      <alignment horizontal="center" vertical="center"/>
    </xf>
    <xf numFmtId="0" fontId="28" fillId="0" borderId="0" xfId="0" applyFont="1" applyFill="1"/>
    <xf numFmtId="165" fontId="28" fillId="24" borderId="14" xfId="508" applyNumberFormat="1" applyFont="1" applyFill="1" applyBorder="1" applyAlignment="1">
      <alignment horizontal="center" vertical="center" wrapText="1"/>
    </xf>
    <xf numFmtId="167" fontId="27" fillId="0" borderId="14" xfId="508" applyNumberFormat="1" applyFont="1" applyFill="1" applyBorder="1" applyAlignment="1">
      <alignment horizontal="center" vertical="center"/>
    </xf>
    <xf numFmtId="167" fontId="27" fillId="0" borderId="0" xfId="508" applyNumberFormat="1" applyFont="1" applyFill="1" applyBorder="1" applyAlignment="1">
      <alignment horizontal="center" vertical="center"/>
    </xf>
    <xf numFmtId="167" fontId="27" fillId="24" borderId="11" xfId="508" applyNumberFormat="1" applyFont="1" applyFill="1" applyBorder="1" applyAlignment="1">
      <alignment horizontal="center" vertical="center"/>
    </xf>
    <xf numFmtId="167" fontId="27" fillId="0" borderId="24" xfId="508" applyNumberFormat="1" applyFont="1" applyFill="1" applyBorder="1" applyAlignment="1">
      <alignment horizontal="center" vertical="center"/>
    </xf>
    <xf numFmtId="167" fontId="26" fillId="0" borderId="0" xfId="508" applyNumberFormat="1" applyFont="1" applyFill="1" applyBorder="1" applyAlignment="1">
      <alignment horizontal="center" vertical="center"/>
    </xf>
    <xf numFmtId="167" fontId="27" fillId="0" borderId="28" xfId="508" applyNumberFormat="1" applyFont="1" applyFill="1" applyBorder="1" applyAlignment="1">
      <alignment horizontal="center" vertical="center"/>
    </xf>
    <xf numFmtId="43" fontId="28" fillId="0" borderId="14" xfId="508" applyFont="1" applyFill="1" applyBorder="1" applyAlignment="1">
      <alignment horizontal="center" vertical="center" wrapText="1"/>
    </xf>
    <xf numFmtId="0" fontId="29" fillId="0" borderId="28" xfId="0" applyFont="1" applyFill="1" applyBorder="1" applyAlignment="1">
      <alignment horizontal="center" vertical="center"/>
    </xf>
    <xf numFmtId="167" fontId="28" fillId="0" borderId="14" xfId="508" applyNumberFormat="1" applyFont="1" applyFill="1" applyBorder="1" applyAlignment="1">
      <alignment horizontal="center" vertical="center" wrapText="1"/>
    </xf>
    <xf numFmtId="164" fontId="28" fillId="0" borderId="14" xfId="508" applyNumberFormat="1" applyFont="1" applyBorder="1" applyAlignment="1">
      <alignment horizontal="center" vertical="center" wrapText="1"/>
    </xf>
    <xf numFmtId="164" fontId="28" fillId="0" borderId="14" xfId="508" applyNumberFormat="1" applyFont="1" applyFill="1" applyBorder="1" applyAlignment="1">
      <alignment horizontal="center" vertical="center" wrapText="1"/>
    </xf>
    <xf numFmtId="164" fontId="29" fillId="24" borderId="14" xfId="508" applyNumberFormat="1" applyFont="1" applyFill="1" applyBorder="1" applyAlignment="1">
      <alignment horizontal="center" vertical="center" wrapText="1"/>
    </xf>
    <xf numFmtId="164" fontId="29" fillId="24" borderId="14" xfId="508" applyNumberFormat="1" applyFont="1" applyFill="1" applyBorder="1" applyAlignment="1">
      <alignment horizontal="center" vertical="center"/>
    </xf>
    <xf numFmtId="43" fontId="28" fillId="0" borderId="14" xfId="508" applyFont="1" applyBorder="1" applyAlignment="1">
      <alignment horizontal="center" vertical="center" wrapText="1"/>
    </xf>
    <xf numFmtId="43" fontId="29" fillId="24" borderId="14" xfId="508" applyFont="1" applyFill="1" applyBorder="1" applyAlignment="1">
      <alignment horizontal="center" vertical="center" wrapText="1"/>
    </xf>
    <xf numFmtId="167" fontId="28" fillId="0" borderId="0" xfId="508" applyNumberFormat="1" applyFont="1" applyFill="1"/>
    <xf numFmtId="167" fontId="28" fillId="0" borderId="0" xfId="508" applyNumberFormat="1" applyFont="1"/>
    <xf numFmtId="164" fontId="28" fillId="0" borderId="0" xfId="508" applyNumberFormat="1" applyFont="1" applyFill="1" applyBorder="1" applyAlignment="1">
      <alignment horizontal="center" wrapText="1"/>
    </xf>
    <xf numFmtId="165" fontId="28" fillId="0" borderId="0" xfId="0" applyNumberFormat="1" applyFont="1"/>
    <xf numFmtId="165" fontId="26" fillId="0" borderId="0" xfId="508" applyNumberFormat="1" applyFont="1" applyFill="1" applyBorder="1" applyAlignment="1">
      <alignment horizontal="left" vertical="center"/>
    </xf>
    <xf numFmtId="0" fontId="26" fillId="0" borderId="0" xfId="0" applyFont="1" applyBorder="1"/>
    <xf numFmtId="0" fontId="0" fillId="0" borderId="14" xfId="0" applyBorder="1"/>
    <xf numFmtId="0" fontId="27" fillId="0" borderId="34" xfId="0" applyFont="1" applyFill="1" applyBorder="1" applyAlignment="1">
      <alignment horizontal="left" vertical="center"/>
    </xf>
    <xf numFmtId="43" fontId="0" fillId="0" borderId="0" xfId="508" applyFont="1"/>
    <xf numFmtId="165" fontId="26" fillId="0" borderId="35" xfId="508" applyNumberFormat="1" applyFont="1" applyFill="1" applyBorder="1" applyAlignment="1">
      <alignment vertical="center" wrapText="1"/>
    </xf>
    <xf numFmtId="165" fontId="26" fillId="0" borderId="34" xfId="508" applyNumberFormat="1" applyFont="1" applyFill="1" applyBorder="1" applyAlignment="1">
      <alignment vertical="center" wrapText="1"/>
    </xf>
    <xf numFmtId="165" fontId="27" fillId="0" borderId="14" xfId="508" applyNumberFormat="1" applyFont="1" applyFill="1" applyBorder="1" applyAlignment="1">
      <alignment horizontal="left" vertical="center"/>
    </xf>
    <xf numFmtId="167" fontId="0" fillId="0" borderId="14" xfId="508" applyNumberFormat="1" applyFont="1" applyBorder="1"/>
    <xf numFmtId="165" fontId="0" fillId="0" borderId="14" xfId="508" applyNumberFormat="1" applyFont="1" applyBorder="1"/>
    <xf numFmtId="0" fontId="26" fillId="0" borderId="14" xfId="0" applyFont="1" applyFill="1" applyBorder="1" applyAlignment="1">
      <alignment horizontal="left" vertical="center"/>
    </xf>
    <xf numFmtId="165" fontId="28" fillId="0" borderId="0" xfId="508" applyNumberFormat="1" applyFont="1" applyFill="1" applyBorder="1" applyAlignment="1">
      <alignment horizontal="center" vertical="center" wrapText="1"/>
    </xf>
    <xf numFmtId="0" fontId="24" fillId="26" borderId="0" xfId="0" applyFont="1" applyFill="1" applyAlignment="1">
      <alignment vertical="center"/>
    </xf>
    <xf numFmtId="165" fontId="28" fillId="25" borderId="14" xfId="508" applyNumberFormat="1" applyFont="1" applyFill="1" applyBorder="1" applyAlignment="1">
      <alignment horizontal="center" vertical="center" wrapText="1"/>
    </xf>
    <xf numFmtId="165" fontId="26" fillId="0" borderId="36" xfId="508" applyNumberFormat="1" applyFont="1" applyFill="1" applyBorder="1" applyAlignment="1">
      <alignment horizontal="center" vertical="center"/>
    </xf>
    <xf numFmtId="9" fontId="30" fillId="24" borderId="32" xfId="508" applyNumberFormat="1" applyFont="1" applyFill="1" applyBorder="1" applyAlignment="1">
      <alignment horizontal="center" vertical="center" wrapText="1"/>
    </xf>
    <xf numFmtId="167" fontId="27" fillId="0" borderId="19" xfId="508" applyNumberFormat="1" applyFont="1" applyFill="1" applyBorder="1" applyAlignment="1">
      <alignment horizontal="center" vertical="center"/>
    </xf>
    <xf numFmtId="167" fontId="27" fillId="0" borderId="17" xfId="508" applyNumberFormat="1" applyFont="1" applyFill="1" applyBorder="1" applyAlignment="1">
      <alignment horizontal="center" vertical="center"/>
    </xf>
    <xf numFmtId="167" fontId="27" fillId="0" borderId="29" xfId="508" applyNumberFormat="1" applyFont="1" applyFill="1" applyBorder="1" applyAlignment="1">
      <alignment horizontal="center" vertical="center"/>
    </xf>
    <xf numFmtId="37" fontId="27" fillId="0" borderId="14" xfId="508" applyNumberFormat="1" applyFont="1" applyFill="1" applyBorder="1" applyAlignment="1">
      <alignment horizontal="right" vertical="center"/>
    </xf>
    <xf numFmtId="37" fontId="27" fillId="0" borderId="17" xfId="508" applyNumberFormat="1" applyFont="1" applyFill="1" applyBorder="1" applyAlignment="1">
      <alignment horizontal="right" vertical="center"/>
    </xf>
    <xf numFmtId="37" fontId="27" fillId="0" borderId="20" xfId="508" applyNumberFormat="1" applyFont="1" applyFill="1" applyBorder="1" applyAlignment="1">
      <alignment horizontal="right" vertical="center"/>
    </xf>
    <xf numFmtId="37" fontId="24" fillId="0" borderId="0" xfId="508" applyNumberFormat="1" applyFont="1" applyFill="1" applyAlignment="1">
      <alignment horizontal="right"/>
    </xf>
    <xf numFmtId="164" fontId="28" fillId="0" borderId="14" xfId="508" applyNumberFormat="1" applyFont="1" applyBorder="1"/>
    <xf numFmtId="0" fontId="26" fillId="0" borderId="27" xfId="0" applyFont="1" applyFill="1" applyBorder="1" applyAlignment="1">
      <alignment horizontal="left" vertical="center"/>
    </xf>
    <xf numFmtId="9" fontId="26" fillId="0" borderId="36" xfId="508" applyNumberFormat="1" applyFont="1" applyFill="1" applyBorder="1" applyAlignment="1">
      <alignment horizontal="center" vertical="center"/>
    </xf>
    <xf numFmtId="165" fontId="26" fillId="0" borderId="37" xfId="508" applyNumberFormat="1" applyFont="1" applyFill="1" applyBorder="1" applyAlignment="1">
      <alignment horizontal="center" vertical="center"/>
    </xf>
    <xf numFmtId="0" fontId="27" fillId="0" borderId="19" xfId="0" applyFont="1" applyFill="1" applyBorder="1" applyAlignment="1">
      <alignment horizontal="left" vertical="center"/>
    </xf>
    <xf numFmtId="165" fontId="27" fillId="0" borderId="22" xfId="508" applyNumberFormat="1" applyFont="1" applyFill="1" applyBorder="1" applyAlignment="1">
      <alignment vertical="center"/>
    </xf>
    <xf numFmtId="165" fontId="27" fillId="0" borderId="21" xfId="508" applyNumberFormat="1" applyFont="1" applyFill="1" applyBorder="1" applyAlignment="1">
      <alignment vertical="center"/>
    </xf>
    <xf numFmtId="165" fontId="27" fillId="0" borderId="19" xfId="508" applyNumberFormat="1" applyFont="1" applyFill="1" applyBorder="1" applyAlignment="1">
      <alignment vertical="center"/>
    </xf>
    <xf numFmtId="0" fontId="27" fillId="0" borderId="18" xfId="0" applyFont="1" applyFill="1" applyBorder="1" applyAlignment="1">
      <alignment vertical="center"/>
    </xf>
    <xf numFmtId="167" fontId="27" fillId="0" borderId="38" xfId="508" applyNumberFormat="1" applyFont="1" applyFill="1" applyBorder="1" applyAlignment="1">
      <alignment horizontal="center" vertical="center"/>
    </xf>
    <xf numFmtId="167" fontId="27" fillId="0" borderId="20" xfId="508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/>
    </xf>
    <xf numFmtId="165" fontId="26" fillId="0" borderId="26" xfId="508" applyNumberFormat="1" applyFont="1" applyFill="1" applyBorder="1" applyAlignment="1">
      <alignment horizontal="center" vertical="center"/>
    </xf>
    <xf numFmtId="167" fontId="26" fillId="0" borderId="27" xfId="508" applyNumberFormat="1" applyFont="1" applyFill="1" applyBorder="1" applyAlignment="1">
      <alignment horizontal="center" vertical="center"/>
    </xf>
    <xf numFmtId="165" fontId="26" fillId="0" borderId="39" xfId="508" applyNumberFormat="1" applyFont="1" applyFill="1" applyBorder="1" applyAlignment="1">
      <alignment horizontal="center" vertical="center"/>
    </xf>
    <xf numFmtId="10" fontId="26" fillId="0" borderId="36" xfId="508" applyNumberFormat="1" applyFont="1" applyFill="1" applyBorder="1" applyAlignment="1">
      <alignment horizontal="center" vertical="center"/>
    </xf>
    <xf numFmtId="0" fontId="26" fillId="0" borderId="26" xfId="0" applyFont="1" applyFill="1" applyBorder="1" applyAlignment="1">
      <alignment horizontal="center" vertical="center"/>
    </xf>
    <xf numFmtId="10" fontId="27" fillId="0" borderId="22" xfId="508" applyNumberFormat="1" applyFont="1" applyFill="1" applyBorder="1" applyAlignment="1">
      <alignment horizontal="center" vertical="center"/>
    </xf>
    <xf numFmtId="37" fontId="27" fillId="0" borderId="19" xfId="508" applyNumberFormat="1" applyFont="1" applyFill="1" applyBorder="1" applyAlignment="1">
      <alignment horizontal="right" vertical="center"/>
    </xf>
    <xf numFmtId="165" fontId="31" fillId="0" borderId="14" xfId="508" applyNumberFormat="1" applyFont="1" applyFill="1" applyBorder="1" applyAlignment="1">
      <alignment horizontal="center" vertical="center" wrapText="1"/>
    </xf>
    <xf numFmtId="168" fontId="28" fillId="25" borderId="14" xfId="508" applyNumberFormat="1" applyFont="1" applyFill="1" applyBorder="1" applyAlignment="1">
      <alignment horizontal="center" vertical="center" wrapText="1"/>
    </xf>
    <xf numFmtId="43" fontId="24" fillId="0" borderId="0" xfId="508" applyFont="1" applyFill="1" applyAlignment="1">
      <alignment horizontal="center"/>
    </xf>
    <xf numFmtId="165" fontId="24" fillId="0" borderId="0" xfId="0" applyNumberFormat="1" applyFont="1" applyFill="1" applyAlignment="1">
      <alignment vertical="center"/>
    </xf>
    <xf numFmtId="167" fontId="0" fillId="0" borderId="0" xfId="508" applyNumberFormat="1" applyFont="1"/>
    <xf numFmtId="165" fontId="28" fillId="0" borderId="14" xfId="508" applyNumberFormat="1" applyFont="1" applyFill="1" applyBorder="1" applyAlignment="1">
      <alignment horizontal="center" vertical="center" wrapText="1"/>
    </xf>
    <xf numFmtId="165" fontId="28" fillId="24" borderId="14" xfId="508" applyNumberFormat="1" applyFont="1" applyFill="1" applyBorder="1" applyAlignment="1">
      <alignment horizontal="center" vertical="center" wrapText="1"/>
    </xf>
    <xf numFmtId="0" fontId="29" fillId="28" borderId="28" xfId="0" applyFont="1" applyFill="1" applyBorder="1" applyAlignment="1">
      <alignment horizontal="center" vertical="center"/>
    </xf>
    <xf numFmtId="0" fontId="28" fillId="27" borderId="0" xfId="0" applyFont="1" applyFill="1"/>
    <xf numFmtId="0" fontId="29" fillId="0" borderId="28" xfId="0" applyFont="1" applyFill="1" applyBorder="1" applyAlignment="1">
      <alignment horizontal="center" vertical="center"/>
    </xf>
    <xf numFmtId="164" fontId="28" fillId="0" borderId="0" xfId="0" applyNumberFormat="1" applyFont="1" applyFill="1"/>
    <xf numFmtId="164" fontId="28" fillId="0" borderId="14" xfId="508" applyNumberFormat="1" applyFont="1" applyFill="1" applyBorder="1"/>
    <xf numFmtId="165" fontId="6" fillId="0" borderId="14" xfId="508" applyNumberFormat="1" applyFont="1" applyFill="1" applyBorder="1" applyAlignment="1">
      <alignment vertical="center"/>
    </xf>
    <xf numFmtId="165" fontId="6" fillId="0" borderId="14" xfId="508" applyNumberFormat="1" applyFont="1" applyFill="1" applyBorder="1" applyAlignment="1">
      <alignment horizontal="center" vertical="center"/>
    </xf>
    <xf numFmtId="165" fontId="34" fillId="0" borderId="14" xfId="508" applyNumberFormat="1" applyFont="1" applyBorder="1"/>
    <xf numFmtId="43" fontId="28" fillId="24" borderId="14" xfId="508" applyNumberFormat="1" applyFont="1" applyFill="1" applyBorder="1" applyAlignment="1">
      <alignment horizontal="center" vertical="center" wrapText="1"/>
    </xf>
    <xf numFmtId="0" fontId="26" fillId="24" borderId="11" xfId="0" applyFont="1" applyFill="1" applyBorder="1" applyAlignment="1">
      <alignment horizontal="center" vertical="center"/>
    </xf>
    <xf numFmtId="0" fontId="26" fillId="24" borderId="29" xfId="0" applyFont="1" applyFill="1" applyBorder="1" applyAlignment="1">
      <alignment horizontal="center" vertical="center"/>
    </xf>
    <xf numFmtId="37" fontId="26" fillId="24" borderId="35" xfId="508" applyNumberFormat="1" applyFont="1" applyFill="1" applyBorder="1" applyAlignment="1">
      <alignment horizontal="center" vertical="center" wrapText="1"/>
    </xf>
    <xf numFmtId="0" fontId="26" fillId="24" borderId="40" xfId="0" applyFont="1" applyFill="1" applyBorder="1" applyAlignment="1">
      <alignment horizontal="center" vertical="center" wrapText="1"/>
    </xf>
    <xf numFmtId="37" fontId="30" fillId="24" borderId="35" xfId="508" applyNumberFormat="1" applyFont="1" applyFill="1" applyBorder="1" applyAlignment="1">
      <alignment horizontal="center" vertical="center" wrapText="1"/>
    </xf>
    <xf numFmtId="0" fontId="30" fillId="24" borderId="40" xfId="0" applyFont="1" applyFill="1" applyBorder="1" applyAlignment="1">
      <alignment horizontal="center" vertical="center" wrapText="1"/>
    </xf>
    <xf numFmtId="0" fontId="26" fillId="0" borderId="24" xfId="0" applyFont="1" applyFill="1" applyBorder="1" applyAlignment="1">
      <alignment horizontal="left" vertical="center"/>
    </xf>
    <xf numFmtId="37" fontId="26" fillId="0" borderId="24" xfId="508" applyNumberFormat="1" applyFont="1" applyFill="1" applyBorder="1" applyAlignment="1">
      <alignment horizontal="right" vertical="center"/>
    </xf>
    <xf numFmtId="165" fontId="26" fillId="24" borderId="33" xfId="508" applyNumberFormat="1" applyFont="1" applyFill="1" applyBorder="1" applyAlignment="1">
      <alignment horizontal="center" vertical="center" wrapText="1"/>
    </xf>
    <xf numFmtId="165" fontId="26" fillId="24" borderId="41" xfId="508" applyNumberFormat="1" applyFont="1" applyFill="1" applyBorder="1" applyAlignment="1">
      <alignment horizontal="center" vertical="center" wrapText="1"/>
    </xf>
    <xf numFmtId="165" fontId="26" fillId="24" borderId="28" xfId="508" applyNumberFormat="1" applyFont="1" applyFill="1" applyBorder="1" applyAlignment="1">
      <alignment horizontal="center" vertical="center" wrapText="1"/>
    </xf>
    <xf numFmtId="165" fontId="26" fillId="24" borderId="32" xfId="508" applyNumberFormat="1" applyFont="1" applyFill="1" applyBorder="1" applyAlignment="1">
      <alignment horizontal="center" vertical="center" wrapText="1"/>
    </xf>
    <xf numFmtId="43" fontId="26" fillId="24" borderId="31" xfId="508" applyNumberFormat="1" applyFont="1" applyFill="1" applyBorder="1" applyAlignment="1">
      <alignment horizontal="center" vertical="center" wrapText="1"/>
    </xf>
    <xf numFmtId="43" fontId="26" fillId="24" borderId="42" xfId="508" applyNumberFormat="1" applyFont="1" applyFill="1" applyBorder="1" applyAlignment="1">
      <alignment horizontal="center" vertical="center" wrapText="1"/>
    </xf>
    <xf numFmtId="164" fontId="29" fillId="0" borderId="18" xfId="508" applyNumberFormat="1" applyFont="1" applyFill="1" applyBorder="1" applyAlignment="1">
      <alignment horizontal="left" vertical="top" wrapText="1"/>
    </xf>
    <xf numFmtId="164" fontId="29" fillId="0" borderId="43" xfId="508" applyNumberFormat="1" applyFont="1" applyFill="1" applyBorder="1" applyAlignment="1">
      <alignment horizontal="left" vertical="top" wrapText="1"/>
    </xf>
    <xf numFmtId="164" fontId="29" fillId="0" borderId="44" xfId="508" applyNumberFormat="1" applyFont="1" applyFill="1" applyBorder="1" applyAlignment="1">
      <alignment horizontal="left" vertical="top" wrapText="1"/>
    </xf>
    <xf numFmtId="38" fontId="26" fillId="0" borderId="13" xfId="508" applyNumberFormat="1" applyFont="1" applyBorder="1" applyAlignment="1">
      <alignment horizontal="left" vertical="top" wrapText="1"/>
    </xf>
    <xf numFmtId="164" fontId="29" fillId="0" borderId="13" xfId="508" applyNumberFormat="1" applyFont="1" applyBorder="1" applyAlignment="1">
      <alignment horizontal="left" vertical="top" wrapText="1"/>
    </xf>
    <xf numFmtId="164" fontId="29" fillId="0" borderId="41" xfId="508" applyNumberFormat="1" applyFont="1" applyBorder="1" applyAlignment="1">
      <alignment horizontal="left" vertical="top" wrapText="1"/>
    </xf>
    <xf numFmtId="38" fontId="26" fillId="0" borderId="13" xfId="508" applyNumberFormat="1" applyFont="1" applyFill="1" applyBorder="1" applyAlignment="1">
      <alignment horizontal="left" vertical="top" wrapText="1"/>
    </xf>
    <xf numFmtId="40" fontId="29" fillId="25" borderId="13" xfId="508" applyNumberFormat="1" applyFont="1" applyFill="1" applyBorder="1" applyAlignment="1">
      <alignment horizontal="left" vertical="center" wrapText="1"/>
    </xf>
    <xf numFmtId="40" fontId="29" fillId="25" borderId="14" xfId="508" applyNumberFormat="1" applyFont="1" applyFill="1" applyBorder="1" applyAlignment="1">
      <alignment horizontal="left" vertical="center" wrapText="1"/>
    </xf>
    <xf numFmtId="0" fontId="29" fillId="0" borderId="13" xfId="0" applyFont="1" applyBorder="1" applyAlignment="1">
      <alignment horizontal="left" vertical="center" wrapText="1"/>
    </xf>
    <xf numFmtId="0" fontId="29" fillId="0" borderId="14" xfId="0" applyFont="1" applyBorder="1" applyAlignment="1">
      <alignment horizontal="left" vertical="center" wrapText="1"/>
    </xf>
    <xf numFmtId="0" fontId="29" fillId="0" borderId="33" xfId="0" applyFont="1" applyFill="1" applyBorder="1" applyAlignment="1">
      <alignment horizontal="center" vertical="center"/>
    </xf>
    <xf numFmtId="0" fontId="29" fillId="0" borderId="28" xfId="0" applyFont="1" applyFill="1" applyBorder="1" applyAlignment="1">
      <alignment horizontal="center" vertical="center"/>
    </xf>
    <xf numFmtId="164" fontId="29" fillId="0" borderId="14" xfId="508" applyNumberFormat="1" applyFont="1" applyFill="1" applyBorder="1" applyAlignment="1">
      <alignment horizontal="left"/>
    </xf>
    <xf numFmtId="164" fontId="29" fillId="0" borderId="13" xfId="508" applyNumberFormat="1" applyFont="1" applyFill="1" applyBorder="1" applyAlignment="1">
      <alignment horizontal="left"/>
    </xf>
    <xf numFmtId="164" fontId="26" fillId="0" borderId="13" xfId="508" applyNumberFormat="1" applyFont="1" applyBorder="1" applyAlignment="1">
      <alignment horizontal="left" vertical="top" wrapText="1"/>
    </xf>
    <xf numFmtId="38" fontId="29" fillId="0" borderId="13" xfId="0" applyNumberFormat="1" applyFont="1" applyFill="1" applyBorder="1" applyAlignment="1">
      <alignment horizontal="left" vertical="center" wrapText="1"/>
    </xf>
    <xf numFmtId="38" fontId="29" fillId="0" borderId="14" xfId="0" applyNumberFormat="1" applyFont="1" applyFill="1" applyBorder="1" applyAlignment="1">
      <alignment horizontal="left" vertical="center" wrapText="1"/>
    </xf>
    <xf numFmtId="40" fontId="29" fillId="0" borderId="13" xfId="508" applyNumberFormat="1" applyFont="1" applyFill="1" applyBorder="1" applyAlignment="1">
      <alignment horizontal="left" vertical="center" wrapText="1"/>
    </xf>
    <xf numFmtId="40" fontId="29" fillId="0" borderId="14" xfId="508" applyNumberFormat="1" applyFont="1" applyFill="1" applyBorder="1" applyAlignment="1">
      <alignment horizontal="left" vertical="center" wrapText="1"/>
    </xf>
    <xf numFmtId="38" fontId="29" fillId="25" borderId="13" xfId="0" applyNumberFormat="1" applyFont="1" applyFill="1" applyBorder="1" applyAlignment="1">
      <alignment horizontal="left" vertical="center" wrapText="1"/>
    </xf>
    <xf numFmtId="38" fontId="29" fillId="25" borderId="14" xfId="0" applyNumberFormat="1" applyFont="1" applyFill="1" applyBorder="1" applyAlignment="1">
      <alignment horizontal="left" vertical="center" wrapText="1"/>
    </xf>
    <xf numFmtId="164" fontId="29" fillId="0" borderId="13" xfId="508" applyNumberFormat="1" applyFont="1" applyFill="1" applyBorder="1" applyAlignment="1">
      <alignment horizontal="left" vertical="top" wrapText="1"/>
    </xf>
    <xf numFmtId="43" fontId="29" fillId="0" borderId="13" xfId="508" applyFont="1" applyBorder="1" applyAlignment="1">
      <alignment horizontal="left" vertical="top" wrapText="1"/>
    </xf>
  </cellXfs>
  <cellStyles count="868">
    <cellStyle name="20% - Accent1 10" xfId="1"/>
    <cellStyle name="20% - Accent1 10 2" xfId="2"/>
    <cellStyle name="20% - Accent1 11" xfId="3"/>
    <cellStyle name="20% - Accent1 11 2" xfId="4"/>
    <cellStyle name="20% - Accent1 12" xfId="5"/>
    <cellStyle name="20% - Accent1 12 2" xfId="6"/>
    <cellStyle name="20% - Accent1 13" xfId="7"/>
    <cellStyle name="20% - Accent1 13 2" xfId="8"/>
    <cellStyle name="20% - Accent1 2" xfId="9"/>
    <cellStyle name="20% - Accent1 2 2" xfId="10"/>
    <cellStyle name="20% - Accent1 2 2 2" xfId="11"/>
    <cellStyle name="20% - Accent1 2 3" xfId="12"/>
    <cellStyle name="20% - Accent1 3" xfId="13"/>
    <cellStyle name="20% - Accent1 3 2" xfId="14"/>
    <cellStyle name="20% - Accent1 4" xfId="15"/>
    <cellStyle name="20% - Accent1 4 2" xfId="16"/>
    <cellStyle name="20% - Accent1 5" xfId="17"/>
    <cellStyle name="20% - Accent1 5 2" xfId="18"/>
    <cellStyle name="20% - Accent1 6" xfId="19"/>
    <cellStyle name="20% - Accent1 6 2" xfId="20"/>
    <cellStyle name="20% - Accent1 7" xfId="21"/>
    <cellStyle name="20% - Accent1 7 2" xfId="22"/>
    <cellStyle name="20% - Accent1 8" xfId="23"/>
    <cellStyle name="20% - Accent1 8 2" xfId="24"/>
    <cellStyle name="20% - Accent1 9" xfId="25"/>
    <cellStyle name="20% - Accent1 9 2" xfId="26"/>
    <cellStyle name="20% - Accent2 10" xfId="27"/>
    <cellStyle name="20% - Accent2 10 2" xfId="28"/>
    <cellStyle name="20% - Accent2 11" xfId="29"/>
    <cellStyle name="20% - Accent2 11 2" xfId="30"/>
    <cellStyle name="20% - Accent2 12" xfId="31"/>
    <cellStyle name="20% - Accent2 12 2" xfId="32"/>
    <cellStyle name="20% - Accent2 13" xfId="33"/>
    <cellStyle name="20% - Accent2 13 2" xfId="34"/>
    <cellStyle name="20% - Accent2 2" xfId="35"/>
    <cellStyle name="20% - Accent2 2 2" xfId="36"/>
    <cellStyle name="20% - Accent2 2 2 2" xfId="37"/>
    <cellStyle name="20% - Accent2 2 3" xfId="38"/>
    <cellStyle name="20% - Accent2 3" xfId="39"/>
    <cellStyle name="20% - Accent2 3 2" xfId="40"/>
    <cellStyle name="20% - Accent2 4" xfId="41"/>
    <cellStyle name="20% - Accent2 4 2" xfId="42"/>
    <cellStyle name="20% - Accent2 5" xfId="43"/>
    <cellStyle name="20% - Accent2 5 2" xfId="44"/>
    <cellStyle name="20% - Accent2 6" xfId="45"/>
    <cellStyle name="20% - Accent2 6 2" xfId="46"/>
    <cellStyle name="20% - Accent2 7" xfId="47"/>
    <cellStyle name="20% - Accent2 7 2" xfId="48"/>
    <cellStyle name="20% - Accent2 8" xfId="49"/>
    <cellStyle name="20% - Accent2 8 2" xfId="50"/>
    <cellStyle name="20% - Accent2 9" xfId="51"/>
    <cellStyle name="20% - Accent2 9 2" xfId="52"/>
    <cellStyle name="20% - Accent3 10" xfId="53"/>
    <cellStyle name="20% - Accent3 10 2" xfId="54"/>
    <cellStyle name="20% - Accent3 11" xfId="55"/>
    <cellStyle name="20% - Accent3 11 2" xfId="56"/>
    <cellStyle name="20% - Accent3 12" xfId="57"/>
    <cellStyle name="20% - Accent3 12 2" xfId="58"/>
    <cellStyle name="20% - Accent3 13" xfId="59"/>
    <cellStyle name="20% - Accent3 13 2" xfId="60"/>
    <cellStyle name="20% - Accent3 2" xfId="61"/>
    <cellStyle name="20% - Accent3 2 2" xfId="62"/>
    <cellStyle name="20% - Accent3 2 2 2" xfId="63"/>
    <cellStyle name="20% - Accent3 2 3" xfId="64"/>
    <cellStyle name="20% - Accent3 3" xfId="65"/>
    <cellStyle name="20% - Accent3 3 2" xfId="66"/>
    <cellStyle name="20% - Accent3 4" xfId="67"/>
    <cellStyle name="20% - Accent3 4 2" xfId="68"/>
    <cellStyle name="20% - Accent3 5" xfId="69"/>
    <cellStyle name="20% - Accent3 5 2" xfId="70"/>
    <cellStyle name="20% - Accent3 6" xfId="71"/>
    <cellStyle name="20% - Accent3 6 2" xfId="72"/>
    <cellStyle name="20% - Accent3 7" xfId="73"/>
    <cellStyle name="20% - Accent3 7 2" xfId="74"/>
    <cellStyle name="20% - Accent3 8" xfId="75"/>
    <cellStyle name="20% - Accent3 8 2" xfId="76"/>
    <cellStyle name="20% - Accent3 9" xfId="77"/>
    <cellStyle name="20% - Accent3 9 2" xfId="78"/>
    <cellStyle name="20% - Accent4 10" xfId="79"/>
    <cellStyle name="20% - Accent4 10 2" xfId="80"/>
    <cellStyle name="20% - Accent4 11" xfId="81"/>
    <cellStyle name="20% - Accent4 11 2" xfId="82"/>
    <cellStyle name="20% - Accent4 12" xfId="83"/>
    <cellStyle name="20% - Accent4 12 2" xfId="84"/>
    <cellStyle name="20% - Accent4 13" xfId="85"/>
    <cellStyle name="20% - Accent4 13 2" xfId="86"/>
    <cellStyle name="20% - Accent4 2" xfId="87"/>
    <cellStyle name="20% - Accent4 2 2" xfId="88"/>
    <cellStyle name="20% - Accent4 2 2 2" xfId="89"/>
    <cellStyle name="20% - Accent4 2 3" xfId="90"/>
    <cellStyle name="20% - Accent4 3" xfId="91"/>
    <cellStyle name="20% - Accent4 3 2" xfId="92"/>
    <cellStyle name="20% - Accent4 4" xfId="93"/>
    <cellStyle name="20% - Accent4 4 2" xfId="94"/>
    <cellStyle name="20% - Accent4 5" xfId="95"/>
    <cellStyle name="20% - Accent4 5 2" xfId="96"/>
    <cellStyle name="20% - Accent4 6" xfId="97"/>
    <cellStyle name="20% - Accent4 6 2" xfId="98"/>
    <cellStyle name="20% - Accent4 7" xfId="99"/>
    <cellStyle name="20% - Accent4 7 2" xfId="100"/>
    <cellStyle name="20% - Accent4 8" xfId="101"/>
    <cellStyle name="20% - Accent4 8 2" xfId="102"/>
    <cellStyle name="20% - Accent4 9" xfId="103"/>
    <cellStyle name="20% - Accent4 9 2" xfId="104"/>
    <cellStyle name="20% - Accent5 10" xfId="105"/>
    <cellStyle name="20% - Accent5 10 2" xfId="106"/>
    <cellStyle name="20% - Accent5 11" xfId="107"/>
    <cellStyle name="20% - Accent5 11 2" xfId="108"/>
    <cellStyle name="20% - Accent5 12" xfId="109"/>
    <cellStyle name="20% - Accent5 12 2" xfId="110"/>
    <cellStyle name="20% - Accent5 13" xfId="111"/>
    <cellStyle name="20% - Accent5 13 2" xfId="112"/>
    <cellStyle name="20% - Accent5 2" xfId="113"/>
    <cellStyle name="20% - Accent5 2 2" xfId="114"/>
    <cellStyle name="20% - Accent5 2 2 2" xfId="115"/>
    <cellStyle name="20% - Accent5 2 3" xfId="116"/>
    <cellStyle name="20% - Accent5 3" xfId="117"/>
    <cellStyle name="20% - Accent5 3 2" xfId="118"/>
    <cellStyle name="20% - Accent5 4" xfId="119"/>
    <cellStyle name="20% - Accent5 4 2" xfId="120"/>
    <cellStyle name="20% - Accent5 5" xfId="121"/>
    <cellStyle name="20% - Accent5 5 2" xfId="122"/>
    <cellStyle name="20% - Accent5 6" xfId="123"/>
    <cellStyle name="20% - Accent5 6 2" xfId="124"/>
    <cellStyle name="20% - Accent5 7" xfId="125"/>
    <cellStyle name="20% - Accent5 7 2" xfId="126"/>
    <cellStyle name="20% - Accent5 8" xfId="127"/>
    <cellStyle name="20% - Accent5 8 2" xfId="128"/>
    <cellStyle name="20% - Accent5 9" xfId="129"/>
    <cellStyle name="20% - Accent5 9 2" xfId="130"/>
    <cellStyle name="20% - Accent6 10" xfId="131"/>
    <cellStyle name="20% - Accent6 10 2" xfId="132"/>
    <cellStyle name="20% - Accent6 11" xfId="133"/>
    <cellStyle name="20% - Accent6 11 2" xfId="134"/>
    <cellStyle name="20% - Accent6 12" xfId="135"/>
    <cellStyle name="20% - Accent6 12 2" xfId="136"/>
    <cellStyle name="20% - Accent6 13" xfId="137"/>
    <cellStyle name="20% - Accent6 13 2" xfId="138"/>
    <cellStyle name="20% - Accent6 2" xfId="139"/>
    <cellStyle name="20% - Accent6 2 2" xfId="140"/>
    <cellStyle name="20% - Accent6 2 2 2" xfId="141"/>
    <cellStyle name="20% - Accent6 2 3" xfId="142"/>
    <cellStyle name="20% - Accent6 3" xfId="143"/>
    <cellStyle name="20% - Accent6 3 2" xfId="144"/>
    <cellStyle name="20% - Accent6 4" xfId="145"/>
    <cellStyle name="20% - Accent6 4 2" xfId="146"/>
    <cellStyle name="20% - Accent6 5" xfId="147"/>
    <cellStyle name="20% - Accent6 5 2" xfId="148"/>
    <cellStyle name="20% - Accent6 6" xfId="149"/>
    <cellStyle name="20% - Accent6 6 2" xfId="150"/>
    <cellStyle name="20% - Accent6 7" xfId="151"/>
    <cellStyle name="20% - Accent6 7 2" xfId="152"/>
    <cellStyle name="20% - Accent6 8" xfId="153"/>
    <cellStyle name="20% - Accent6 8 2" xfId="154"/>
    <cellStyle name="20% - Accent6 9" xfId="155"/>
    <cellStyle name="20% - Accent6 9 2" xfId="156"/>
    <cellStyle name="40% - Accent1 10" xfId="157"/>
    <cellStyle name="40% - Accent1 10 2" xfId="158"/>
    <cellStyle name="40% - Accent1 11" xfId="159"/>
    <cellStyle name="40% - Accent1 11 2" xfId="160"/>
    <cellStyle name="40% - Accent1 12" xfId="161"/>
    <cellStyle name="40% - Accent1 12 2" xfId="162"/>
    <cellStyle name="40% - Accent1 13" xfId="163"/>
    <cellStyle name="40% - Accent1 13 2" xfId="164"/>
    <cellStyle name="40% - Accent1 2" xfId="165"/>
    <cellStyle name="40% - Accent1 2 2" xfId="166"/>
    <cellStyle name="40% - Accent1 2 2 2" xfId="167"/>
    <cellStyle name="40% - Accent1 2 3" xfId="168"/>
    <cellStyle name="40% - Accent1 3" xfId="169"/>
    <cellStyle name="40% - Accent1 3 2" xfId="170"/>
    <cellStyle name="40% - Accent1 4" xfId="171"/>
    <cellStyle name="40% - Accent1 4 2" xfId="172"/>
    <cellStyle name="40% - Accent1 5" xfId="173"/>
    <cellStyle name="40% - Accent1 5 2" xfId="174"/>
    <cellStyle name="40% - Accent1 6" xfId="175"/>
    <cellStyle name="40% - Accent1 6 2" xfId="176"/>
    <cellStyle name="40% - Accent1 7" xfId="177"/>
    <cellStyle name="40% - Accent1 7 2" xfId="178"/>
    <cellStyle name="40% - Accent1 8" xfId="179"/>
    <cellStyle name="40% - Accent1 8 2" xfId="180"/>
    <cellStyle name="40% - Accent1 9" xfId="181"/>
    <cellStyle name="40% - Accent1 9 2" xfId="182"/>
    <cellStyle name="40% - Accent2 10" xfId="183"/>
    <cellStyle name="40% - Accent2 10 2" xfId="184"/>
    <cellStyle name="40% - Accent2 11" xfId="185"/>
    <cellStyle name="40% - Accent2 11 2" xfId="186"/>
    <cellStyle name="40% - Accent2 12" xfId="187"/>
    <cellStyle name="40% - Accent2 12 2" xfId="188"/>
    <cellStyle name="40% - Accent2 13" xfId="189"/>
    <cellStyle name="40% - Accent2 13 2" xfId="190"/>
    <cellStyle name="40% - Accent2 2" xfId="191"/>
    <cellStyle name="40% - Accent2 2 2" xfId="192"/>
    <cellStyle name="40% - Accent2 2 2 2" xfId="193"/>
    <cellStyle name="40% - Accent2 2 3" xfId="194"/>
    <cellStyle name="40% - Accent2 3" xfId="195"/>
    <cellStyle name="40% - Accent2 3 2" xfId="196"/>
    <cellStyle name="40% - Accent2 4" xfId="197"/>
    <cellStyle name="40% - Accent2 4 2" xfId="198"/>
    <cellStyle name="40% - Accent2 5" xfId="199"/>
    <cellStyle name="40% - Accent2 5 2" xfId="200"/>
    <cellStyle name="40% - Accent2 6" xfId="201"/>
    <cellStyle name="40% - Accent2 6 2" xfId="202"/>
    <cellStyle name="40% - Accent2 7" xfId="203"/>
    <cellStyle name="40% - Accent2 7 2" xfId="204"/>
    <cellStyle name="40% - Accent2 8" xfId="205"/>
    <cellStyle name="40% - Accent2 8 2" xfId="206"/>
    <cellStyle name="40% - Accent2 9" xfId="207"/>
    <cellStyle name="40% - Accent2 9 2" xfId="208"/>
    <cellStyle name="40% - Accent3 10" xfId="209"/>
    <cellStyle name="40% - Accent3 10 2" xfId="210"/>
    <cellStyle name="40% - Accent3 11" xfId="211"/>
    <cellStyle name="40% - Accent3 11 2" xfId="212"/>
    <cellStyle name="40% - Accent3 12" xfId="213"/>
    <cellStyle name="40% - Accent3 12 2" xfId="214"/>
    <cellStyle name="40% - Accent3 13" xfId="215"/>
    <cellStyle name="40% - Accent3 13 2" xfId="216"/>
    <cellStyle name="40% - Accent3 2" xfId="217"/>
    <cellStyle name="40% - Accent3 2 2" xfId="218"/>
    <cellStyle name="40% - Accent3 2 2 2" xfId="219"/>
    <cellStyle name="40% - Accent3 2 3" xfId="220"/>
    <cellStyle name="40% - Accent3 3" xfId="221"/>
    <cellStyle name="40% - Accent3 3 2" xfId="222"/>
    <cellStyle name="40% - Accent3 4" xfId="223"/>
    <cellStyle name="40% - Accent3 4 2" xfId="224"/>
    <cellStyle name="40% - Accent3 5" xfId="225"/>
    <cellStyle name="40% - Accent3 5 2" xfId="226"/>
    <cellStyle name="40% - Accent3 6" xfId="227"/>
    <cellStyle name="40% - Accent3 6 2" xfId="228"/>
    <cellStyle name="40% - Accent3 7" xfId="229"/>
    <cellStyle name="40% - Accent3 7 2" xfId="230"/>
    <cellStyle name="40% - Accent3 8" xfId="231"/>
    <cellStyle name="40% - Accent3 8 2" xfId="232"/>
    <cellStyle name="40% - Accent3 9" xfId="233"/>
    <cellStyle name="40% - Accent3 9 2" xfId="234"/>
    <cellStyle name="40% - Accent4 10" xfId="235"/>
    <cellStyle name="40% - Accent4 10 2" xfId="236"/>
    <cellStyle name="40% - Accent4 11" xfId="237"/>
    <cellStyle name="40% - Accent4 11 2" xfId="238"/>
    <cellStyle name="40% - Accent4 12" xfId="239"/>
    <cellStyle name="40% - Accent4 12 2" xfId="240"/>
    <cellStyle name="40% - Accent4 13" xfId="241"/>
    <cellStyle name="40% - Accent4 13 2" xfId="242"/>
    <cellStyle name="40% - Accent4 2" xfId="243"/>
    <cellStyle name="40% - Accent4 2 2" xfId="244"/>
    <cellStyle name="40% - Accent4 2 2 2" xfId="245"/>
    <cellStyle name="40% - Accent4 2 3" xfId="246"/>
    <cellStyle name="40% - Accent4 3" xfId="247"/>
    <cellStyle name="40% - Accent4 3 2" xfId="248"/>
    <cellStyle name="40% - Accent4 4" xfId="249"/>
    <cellStyle name="40% - Accent4 4 2" xfId="250"/>
    <cellStyle name="40% - Accent4 5" xfId="251"/>
    <cellStyle name="40% - Accent4 5 2" xfId="252"/>
    <cellStyle name="40% - Accent4 6" xfId="253"/>
    <cellStyle name="40% - Accent4 6 2" xfId="254"/>
    <cellStyle name="40% - Accent4 7" xfId="255"/>
    <cellStyle name="40% - Accent4 7 2" xfId="256"/>
    <cellStyle name="40% - Accent4 8" xfId="257"/>
    <cellStyle name="40% - Accent4 8 2" xfId="258"/>
    <cellStyle name="40% - Accent4 9" xfId="259"/>
    <cellStyle name="40% - Accent4 9 2" xfId="260"/>
    <cellStyle name="40% - Accent5 10" xfId="261"/>
    <cellStyle name="40% - Accent5 10 2" xfId="262"/>
    <cellStyle name="40% - Accent5 11" xfId="263"/>
    <cellStyle name="40% - Accent5 11 2" xfId="264"/>
    <cellStyle name="40% - Accent5 12" xfId="265"/>
    <cellStyle name="40% - Accent5 12 2" xfId="266"/>
    <cellStyle name="40% - Accent5 13" xfId="267"/>
    <cellStyle name="40% - Accent5 13 2" xfId="268"/>
    <cellStyle name="40% - Accent5 2" xfId="269"/>
    <cellStyle name="40% - Accent5 2 2" xfId="270"/>
    <cellStyle name="40% - Accent5 2 2 2" xfId="271"/>
    <cellStyle name="40% - Accent5 2 3" xfId="272"/>
    <cellStyle name="40% - Accent5 3" xfId="273"/>
    <cellStyle name="40% - Accent5 3 2" xfId="274"/>
    <cellStyle name="40% - Accent5 4" xfId="275"/>
    <cellStyle name="40% - Accent5 4 2" xfId="276"/>
    <cellStyle name="40% - Accent5 5" xfId="277"/>
    <cellStyle name="40% - Accent5 5 2" xfId="278"/>
    <cellStyle name="40% - Accent5 6" xfId="279"/>
    <cellStyle name="40% - Accent5 6 2" xfId="280"/>
    <cellStyle name="40% - Accent5 7" xfId="281"/>
    <cellStyle name="40% - Accent5 7 2" xfId="282"/>
    <cellStyle name="40% - Accent5 8" xfId="283"/>
    <cellStyle name="40% - Accent5 8 2" xfId="284"/>
    <cellStyle name="40% - Accent5 9" xfId="285"/>
    <cellStyle name="40% - Accent5 9 2" xfId="286"/>
    <cellStyle name="40% - Accent6 10" xfId="287"/>
    <cellStyle name="40% - Accent6 10 2" xfId="288"/>
    <cellStyle name="40% - Accent6 11" xfId="289"/>
    <cellStyle name="40% - Accent6 11 2" xfId="290"/>
    <cellStyle name="40% - Accent6 12" xfId="291"/>
    <cellStyle name="40% - Accent6 12 2" xfId="292"/>
    <cellStyle name="40% - Accent6 13" xfId="293"/>
    <cellStyle name="40% - Accent6 13 2" xfId="294"/>
    <cellStyle name="40% - Accent6 2" xfId="295"/>
    <cellStyle name="40% - Accent6 2 2" xfId="296"/>
    <cellStyle name="40% - Accent6 2 2 2" xfId="297"/>
    <cellStyle name="40% - Accent6 2 3" xfId="298"/>
    <cellStyle name="40% - Accent6 3" xfId="299"/>
    <cellStyle name="40% - Accent6 3 2" xfId="300"/>
    <cellStyle name="40% - Accent6 4" xfId="301"/>
    <cellStyle name="40% - Accent6 4 2" xfId="302"/>
    <cellStyle name="40% - Accent6 5" xfId="303"/>
    <cellStyle name="40% - Accent6 5 2" xfId="304"/>
    <cellStyle name="40% - Accent6 6" xfId="305"/>
    <cellStyle name="40% - Accent6 6 2" xfId="306"/>
    <cellStyle name="40% - Accent6 7" xfId="307"/>
    <cellStyle name="40% - Accent6 7 2" xfId="308"/>
    <cellStyle name="40% - Accent6 8" xfId="309"/>
    <cellStyle name="40% - Accent6 8 2" xfId="310"/>
    <cellStyle name="40% - Accent6 9" xfId="311"/>
    <cellStyle name="40% - Accent6 9 2" xfId="312"/>
    <cellStyle name="60% - Accent1 10" xfId="313"/>
    <cellStyle name="60% - Accent1 11" xfId="314"/>
    <cellStyle name="60% - Accent1 12" xfId="315"/>
    <cellStyle name="60% - Accent1 13" xfId="316"/>
    <cellStyle name="60% - Accent1 2" xfId="317"/>
    <cellStyle name="60% - Accent1 2 2" xfId="318"/>
    <cellStyle name="60% - Accent1 3" xfId="319"/>
    <cellStyle name="60% - Accent1 4" xfId="320"/>
    <cellStyle name="60% - Accent1 5" xfId="321"/>
    <cellStyle name="60% - Accent1 6" xfId="322"/>
    <cellStyle name="60% - Accent1 7" xfId="323"/>
    <cellStyle name="60% - Accent1 8" xfId="324"/>
    <cellStyle name="60% - Accent1 9" xfId="325"/>
    <cellStyle name="60% - Accent2 10" xfId="326"/>
    <cellStyle name="60% - Accent2 11" xfId="327"/>
    <cellStyle name="60% - Accent2 12" xfId="328"/>
    <cellStyle name="60% - Accent2 13" xfId="329"/>
    <cellStyle name="60% - Accent2 2" xfId="330"/>
    <cellStyle name="60% - Accent2 2 2" xfId="331"/>
    <cellStyle name="60% - Accent2 3" xfId="332"/>
    <cellStyle name="60% - Accent2 4" xfId="333"/>
    <cellStyle name="60% - Accent2 5" xfId="334"/>
    <cellStyle name="60% - Accent2 6" xfId="335"/>
    <cellStyle name="60% - Accent2 7" xfId="336"/>
    <cellStyle name="60% - Accent2 8" xfId="337"/>
    <cellStyle name="60% - Accent2 9" xfId="338"/>
    <cellStyle name="60% - Accent3 10" xfId="339"/>
    <cellStyle name="60% - Accent3 11" xfId="340"/>
    <cellStyle name="60% - Accent3 12" xfId="341"/>
    <cellStyle name="60% - Accent3 13" xfId="342"/>
    <cellStyle name="60% - Accent3 2" xfId="343"/>
    <cellStyle name="60% - Accent3 2 2" xfId="344"/>
    <cellStyle name="60% - Accent3 3" xfId="345"/>
    <cellStyle name="60% - Accent3 4" xfId="346"/>
    <cellStyle name="60% - Accent3 5" xfId="347"/>
    <cellStyle name="60% - Accent3 6" xfId="348"/>
    <cellStyle name="60% - Accent3 7" xfId="349"/>
    <cellStyle name="60% - Accent3 8" xfId="350"/>
    <cellStyle name="60% - Accent3 9" xfId="351"/>
    <cellStyle name="60% - Accent4 10" xfId="352"/>
    <cellStyle name="60% - Accent4 11" xfId="353"/>
    <cellStyle name="60% - Accent4 12" xfId="354"/>
    <cellStyle name="60% - Accent4 13" xfId="355"/>
    <cellStyle name="60% - Accent4 2" xfId="356"/>
    <cellStyle name="60% - Accent4 2 2" xfId="357"/>
    <cellStyle name="60% - Accent4 3" xfId="358"/>
    <cellStyle name="60% - Accent4 4" xfId="359"/>
    <cellStyle name="60% - Accent4 5" xfId="360"/>
    <cellStyle name="60% - Accent4 6" xfId="361"/>
    <cellStyle name="60% - Accent4 7" xfId="362"/>
    <cellStyle name="60% - Accent4 8" xfId="363"/>
    <cellStyle name="60% - Accent4 9" xfId="364"/>
    <cellStyle name="60% - Accent5 10" xfId="365"/>
    <cellStyle name="60% - Accent5 11" xfId="366"/>
    <cellStyle name="60% - Accent5 12" xfId="367"/>
    <cellStyle name="60% - Accent5 13" xfId="368"/>
    <cellStyle name="60% - Accent5 2" xfId="369"/>
    <cellStyle name="60% - Accent5 2 2" xfId="370"/>
    <cellStyle name="60% - Accent5 3" xfId="371"/>
    <cellStyle name="60% - Accent5 4" xfId="372"/>
    <cellStyle name="60% - Accent5 5" xfId="373"/>
    <cellStyle name="60% - Accent5 6" xfId="374"/>
    <cellStyle name="60% - Accent5 7" xfId="375"/>
    <cellStyle name="60% - Accent5 8" xfId="376"/>
    <cellStyle name="60% - Accent5 9" xfId="377"/>
    <cellStyle name="60% - Accent6 10" xfId="378"/>
    <cellStyle name="60% - Accent6 11" xfId="379"/>
    <cellStyle name="60% - Accent6 12" xfId="380"/>
    <cellStyle name="60% - Accent6 13" xfId="381"/>
    <cellStyle name="60% - Accent6 2" xfId="382"/>
    <cellStyle name="60% - Accent6 2 2" xfId="383"/>
    <cellStyle name="60% - Accent6 3" xfId="384"/>
    <cellStyle name="60% - Accent6 4" xfId="385"/>
    <cellStyle name="60% - Accent6 5" xfId="386"/>
    <cellStyle name="60% - Accent6 6" xfId="387"/>
    <cellStyle name="60% - Accent6 7" xfId="388"/>
    <cellStyle name="60% - Accent6 8" xfId="389"/>
    <cellStyle name="60% - Accent6 9" xfId="390"/>
    <cellStyle name="Accent1 10" xfId="391"/>
    <cellStyle name="Accent1 11" xfId="392"/>
    <cellStyle name="Accent1 12" xfId="393"/>
    <cellStyle name="Accent1 13" xfId="394"/>
    <cellStyle name="Accent1 2" xfId="395"/>
    <cellStyle name="Accent1 2 2" xfId="396"/>
    <cellStyle name="Accent1 3" xfId="397"/>
    <cellStyle name="Accent1 4" xfId="398"/>
    <cellStyle name="Accent1 5" xfId="399"/>
    <cellStyle name="Accent1 6" xfId="400"/>
    <cellStyle name="Accent1 7" xfId="401"/>
    <cellStyle name="Accent1 8" xfId="402"/>
    <cellStyle name="Accent1 9" xfId="403"/>
    <cellStyle name="Accent2 10" xfId="404"/>
    <cellStyle name="Accent2 11" xfId="405"/>
    <cellStyle name="Accent2 12" xfId="406"/>
    <cellStyle name="Accent2 13" xfId="407"/>
    <cellStyle name="Accent2 2" xfId="408"/>
    <cellStyle name="Accent2 2 2" xfId="409"/>
    <cellStyle name="Accent2 3" xfId="410"/>
    <cellStyle name="Accent2 4" xfId="411"/>
    <cellStyle name="Accent2 5" xfId="412"/>
    <cellStyle name="Accent2 6" xfId="413"/>
    <cellStyle name="Accent2 7" xfId="414"/>
    <cellStyle name="Accent2 8" xfId="415"/>
    <cellStyle name="Accent2 9" xfId="416"/>
    <cellStyle name="Accent3 10" xfId="417"/>
    <cellStyle name="Accent3 11" xfId="418"/>
    <cellStyle name="Accent3 12" xfId="419"/>
    <cellStyle name="Accent3 13" xfId="420"/>
    <cellStyle name="Accent3 2" xfId="421"/>
    <cellStyle name="Accent3 2 2" xfId="422"/>
    <cellStyle name="Accent3 3" xfId="423"/>
    <cellStyle name="Accent3 4" xfId="424"/>
    <cellStyle name="Accent3 5" xfId="425"/>
    <cellStyle name="Accent3 6" xfId="426"/>
    <cellStyle name="Accent3 7" xfId="427"/>
    <cellStyle name="Accent3 8" xfId="428"/>
    <cellStyle name="Accent3 9" xfId="429"/>
    <cellStyle name="Accent4 10" xfId="430"/>
    <cellStyle name="Accent4 11" xfId="431"/>
    <cellStyle name="Accent4 12" xfId="432"/>
    <cellStyle name="Accent4 13" xfId="433"/>
    <cellStyle name="Accent4 2" xfId="434"/>
    <cellStyle name="Accent4 2 2" xfId="435"/>
    <cellStyle name="Accent4 3" xfId="436"/>
    <cellStyle name="Accent4 4" xfId="437"/>
    <cellStyle name="Accent4 5" xfId="438"/>
    <cellStyle name="Accent4 6" xfId="439"/>
    <cellStyle name="Accent4 7" xfId="440"/>
    <cellStyle name="Accent4 8" xfId="441"/>
    <cellStyle name="Accent4 9" xfId="442"/>
    <cellStyle name="Accent5 10" xfId="443"/>
    <cellStyle name="Accent5 11" xfId="444"/>
    <cellStyle name="Accent5 12" xfId="445"/>
    <cellStyle name="Accent5 13" xfId="446"/>
    <cellStyle name="Accent5 2" xfId="447"/>
    <cellStyle name="Accent5 2 2" xfId="448"/>
    <cellStyle name="Accent5 3" xfId="449"/>
    <cellStyle name="Accent5 4" xfId="450"/>
    <cellStyle name="Accent5 5" xfId="451"/>
    <cellStyle name="Accent5 6" xfId="452"/>
    <cellStyle name="Accent5 7" xfId="453"/>
    <cellStyle name="Accent5 8" xfId="454"/>
    <cellStyle name="Accent5 9" xfId="455"/>
    <cellStyle name="Accent6 10" xfId="456"/>
    <cellStyle name="Accent6 11" xfId="457"/>
    <cellStyle name="Accent6 12" xfId="458"/>
    <cellStyle name="Accent6 13" xfId="459"/>
    <cellStyle name="Accent6 2" xfId="460"/>
    <cellStyle name="Accent6 2 2" xfId="461"/>
    <cellStyle name="Accent6 3" xfId="462"/>
    <cellStyle name="Accent6 4" xfId="463"/>
    <cellStyle name="Accent6 5" xfId="464"/>
    <cellStyle name="Accent6 6" xfId="465"/>
    <cellStyle name="Accent6 7" xfId="466"/>
    <cellStyle name="Accent6 8" xfId="467"/>
    <cellStyle name="Accent6 9" xfId="468"/>
    <cellStyle name="Bad 10" xfId="469"/>
    <cellStyle name="Bad 11" xfId="470"/>
    <cellStyle name="Bad 12" xfId="471"/>
    <cellStyle name="Bad 13" xfId="472"/>
    <cellStyle name="Bad 2" xfId="473"/>
    <cellStyle name="Bad 2 2" xfId="474"/>
    <cellStyle name="Bad 3" xfId="475"/>
    <cellStyle name="Bad 4" xfId="476"/>
    <cellStyle name="Bad 5" xfId="477"/>
    <cellStyle name="Bad 6" xfId="478"/>
    <cellStyle name="Bad 7" xfId="479"/>
    <cellStyle name="Bad 8" xfId="480"/>
    <cellStyle name="Bad 9" xfId="481"/>
    <cellStyle name="Calculation 10" xfId="482"/>
    <cellStyle name="Calculation 11" xfId="483"/>
    <cellStyle name="Calculation 12" xfId="484"/>
    <cellStyle name="Calculation 13" xfId="485"/>
    <cellStyle name="Calculation 2" xfId="486"/>
    <cellStyle name="Calculation 2 2" xfId="487"/>
    <cellStyle name="Calculation 3" xfId="488"/>
    <cellStyle name="Calculation 4" xfId="489"/>
    <cellStyle name="Calculation 5" xfId="490"/>
    <cellStyle name="Calculation 6" xfId="491"/>
    <cellStyle name="Calculation 7" xfId="492"/>
    <cellStyle name="Calculation 8" xfId="493"/>
    <cellStyle name="Calculation 9" xfId="494"/>
    <cellStyle name="Check Cell 10" xfId="495"/>
    <cellStyle name="Check Cell 11" xfId="496"/>
    <cellStyle name="Check Cell 12" xfId="497"/>
    <cellStyle name="Check Cell 13" xfId="498"/>
    <cellStyle name="Check Cell 2" xfId="499"/>
    <cellStyle name="Check Cell 2 2" xfId="500"/>
    <cellStyle name="Check Cell 3" xfId="501"/>
    <cellStyle name="Check Cell 4" xfId="502"/>
    <cellStyle name="Check Cell 5" xfId="503"/>
    <cellStyle name="Check Cell 6" xfId="504"/>
    <cellStyle name="Check Cell 7" xfId="505"/>
    <cellStyle name="Check Cell 8" xfId="506"/>
    <cellStyle name="Check Cell 9" xfId="507"/>
    <cellStyle name="Comma" xfId="508" builtinId="3"/>
    <cellStyle name="Comma 10" xfId="509"/>
    <cellStyle name="Comma 10 2" xfId="510"/>
    <cellStyle name="Comma 11" xfId="511"/>
    <cellStyle name="Comma 12" xfId="512"/>
    <cellStyle name="Comma 13" xfId="513"/>
    <cellStyle name="Comma 2" xfId="514"/>
    <cellStyle name="Comma 2 2" xfId="515"/>
    <cellStyle name="Comma 2 2 2" xfId="516"/>
    <cellStyle name="Comma 2 2 2 2" xfId="517"/>
    <cellStyle name="Comma 2 2 2 3" xfId="518"/>
    <cellStyle name="Comma 2 2 2 4" xfId="519"/>
    <cellStyle name="Comma 2 2 2 5" xfId="520"/>
    <cellStyle name="Comma 2 2 3" xfId="521"/>
    <cellStyle name="Comma 2 2 3 2" xfId="522"/>
    <cellStyle name="Comma 2 2 4" xfId="523"/>
    <cellStyle name="Comma 2 2 4 2" xfId="524"/>
    <cellStyle name="Comma 2 3" xfId="525"/>
    <cellStyle name="Comma 2 4" xfId="526"/>
    <cellStyle name="Comma 2 5" xfId="527"/>
    <cellStyle name="Comma 2 6" xfId="528"/>
    <cellStyle name="Comma 2 6 2" xfId="529"/>
    <cellStyle name="Comma 2 6 2 2" xfId="530"/>
    <cellStyle name="Comma 2 6 2 2 2" xfId="531"/>
    <cellStyle name="Comma 2 6 2 3" xfId="532"/>
    <cellStyle name="Comma 2 6 3" xfId="533"/>
    <cellStyle name="Comma 2 6 3 2" xfId="534"/>
    <cellStyle name="Comma 2 6 4" xfId="535"/>
    <cellStyle name="Comma 2 7" xfId="536"/>
    <cellStyle name="Comma 2 7 2" xfId="537"/>
    <cellStyle name="Comma 2 7 2 2" xfId="538"/>
    <cellStyle name="Comma 2 7 3" xfId="539"/>
    <cellStyle name="Comma 2 8" xfId="540"/>
    <cellStyle name="Comma 3" xfId="541"/>
    <cellStyle name="Comma 3 2" xfId="542"/>
    <cellStyle name="Comma 4" xfId="543"/>
    <cellStyle name="Comma 5" xfId="544"/>
    <cellStyle name="Comma 5 2" xfId="545"/>
    <cellStyle name="Comma 6" xfId="546"/>
    <cellStyle name="Comma 7" xfId="547"/>
    <cellStyle name="Comma 7 2" xfId="548"/>
    <cellStyle name="Comma 8" xfId="549"/>
    <cellStyle name="Comma 9" xfId="550"/>
    <cellStyle name="Explanatory Text 10" xfId="551"/>
    <cellStyle name="Explanatory Text 11" xfId="552"/>
    <cellStyle name="Explanatory Text 12" xfId="553"/>
    <cellStyle name="Explanatory Text 13" xfId="554"/>
    <cellStyle name="Explanatory Text 2" xfId="555"/>
    <cellStyle name="Explanatory Text 2 2" xfId="556"/>
    <cellStyle name="Explanatory Text 3" xfId="557"/>
    <cellStyle name="Explanatory Text 4" xfId="558"/>
    <cellStyle name="Explanatory Text 5" xfId="559"/>
    <cellStyle name="Explanatory Text 6" xfId="560"/>
    <cellStyle name="Explanatory Text 7" xfId="561"/>
    <cellStyle name="Explanatory Text 8" xfId="562"/>
    <cellStyle name="Explanatory Text 9" xfId="563"/>
    <cellStyle name="Good 10" xfId="564"/>
    <cellStyle name="Good 11" xfId="565"/>
    <cellStyle name="Good 12" xfId="566"/>
    <cellStyle name="Good 13" xfId="567"/>
    <cellStyle name="Good 2" xfId="568"/>
    <cellStyle name="Good 2 2" xfId="569"/>
    <cellStyle name="Good 3" xfId="570"/>
    <cellStyle name="Good 4" xfId="571"/>
    <cellStyle name="Good 5" xfId="572"/>
    <cellStyle name="Good 6" xfId="573"/>
    <cellStyle name="Good 7" xfId="574"/>
    <cellStyle name="Good 8" xfId="575"/>
    <cellStyle name="Good 9" xfId="576"/>
    <cellStyle name="Heading 1 10" xfId="577"/>
    <cellStyle name="Heading 1 11" xfId="578"/>
    <cellStyle name="Heading 1 12" xfId="579"/>
    <cellStyle name="Heading 1 13" xfId="580"/>
    <cellStyle name="Heading 1 2" xfId="581"/>
    <cellStyle name="Heading 1 2 2" xfId="582"/>
    <cellStyle name="Heading 1 3" xfId="583"/>
    <cellStyle name="Heading 1 4" xfId="584"/>
    <cellStyle name="Heading 1 5" xfId="585"/>
    <cellStyle name="Heading 1 6" xfId="586"/>
    <cellStyle name="Heading 1 7" xfId="587"/>
    <cellStyle name="Heading 1 8" xfId="588"/>
    <cellStyle name="Heading 1 9" xfId="589"/>
    <cellStyle name="Heading 2 10" xfId="590"/>
    <cellStyle name="Heading 2 11" xfId="591"/>
    <cellStyle name="Heading 2 12" xfId="592"/>
    <cellStyle name="Heading 2 13" xfId="593"/>
    <cellStyle name="Heading 2 2" xfId="594"/>
    <cellStyle name="Heading 2 2 2" xfId="595"/>
    <cellStyle name="Heading 2 3" xfId="596"/>
    <cellStyle name="Heading 2 4" xfId="597"/>
    <cellStyle name="Heading 2 5" xfId="598"/>
    <cellStyle name="Heading 2 6" xfId="599"/>
    <cellStyle name="Heading 2 7" xfId="600"/>
    <cellStyle name="Heading 2 8" xfId="601"/>
    <cellStyle name="Heading 2 9" xfId="602"/>
    <cellStyle name="Heading 3 10" xfId="603"/>
    <cellStyle name="Heading 3 11" xfId="604"/>
    <cellStyle name="Heading 3 12" xfId="605"/>
    <cellStyle name="Heading 3 13" xfId="606"/>
    <cellStyle name="Heading 3 2" xfId="607"/>
    <cellStyle name="Heading 3 2 2" xfId="608"/>
    <cellStyle name="Heading 3 3" xfId="609"/>
    <cellStyle name="Heading 3 4" xfId="610"/>
    <cellStyle name="Heading 3 5" xfId="611"/>
    <cellStyle name="Heading 3 6" xfId="612"/>
    <cellStyle name="Heading 3 7" xfId="613"/>
    <cellStyle name="Heading 3 8" xfId="614"/>
    <cellStyle name="Heading 3 9" xfId="615"/>
    <cellStyle name="Heading 4 10" xfId="616"/>
    <cellStyle name="Heading 4 11" xfId="617"/>
    <cellStyle name="Heading 4 12" xfId="618"/>
    <cellStyle name="Heading 4 13" xfId="619"/>
    <cellStyle name="Heading 4 2" xfId="620"/>
    <cellStyle name="Heading 4 2 2" xfId="621"/>
    <cellStyle name="Heading 4 3" xfId="622"/>
    <cellStyle name="Heading 4 4" xfId="623"/>
    <cellStyle name="Heading 4 5" xfId="624"/>
    <cellStyle name="Heading 4 6" xfId="625"/>
    <cellStyle name="Heading 4 7" xfId="626"/>
    <cellStyle name="Heading 4 8" xfId="627"/>
    <cellStyle name="Heading 4 9" xfId="628"/>
    <cellStyle name="Input 10" xfId="629"/>
    <cellStyle name="Input 11" xfId="630"/>
    <cellStyle name="Input 12" xfId="631"/>
    <cellStyle name="Input 13" xfId="632"/>
    <cellStyle name="Input 2" xfId="633"/>
    <cellStyle name="Input 2 2" xfId="634"/>
    <cellStyle name="Input 3" xfId="635"/>
    <cellStyle name="Input 4" xfId="636"/>
    <cellStyle name="Input 5" xfId="637"/>
    <cellStyle name="Input 6" xfId="638"/>
    <cellStyle name="Input 7" xfId="639"/>
    <cellStyle name="Input 8" xfId="640"/>
    <cellStyle name="Input 9" xfId="641"/>
    <cellStyle name="Linked Cell 10" xfId="642"/>
    <cellStyle name="Linked Cell 11" xfId="643"/>
    <cellStyle name="Linked Cell 12" xfId="644"/>
    <cellStyle name="Linked Cell 13" xfId="645"/>
    <cellStyle name="Linked Cell 2" xfId="646"/>
    <cellStyle name="Linked Cell 2 2" xfId="647"/>
    <cellStyle name="Linked Cell 3" xfId="648"/>
    <cellStyle name="Linked Cell 4" xfId="649"/>
    <cellStyle name="Linked Cell 5" xfId="650"/>
    <cellStyle name="Linked Cell 6" xfId="651"/>
    <cellStyle name="Linked Cell 7" xfId="652"/>
    <cellStyle name="Linked Cell 8" xfId="653"/>
    <cellStyle name="Linked Cell 9" xfId="654"/>
    <cellStyle name="Neutral 10" xfId="655"/>
    <cellStyle name="Neutral 11" xfId="656"/>
    <cellStyle name="Neutral 12" xfId="657"/>
    <cellStyle name="Neutral 13" xfId="658"/>
    <cellStyle name="Neutral 2" xfId="659"/>
    <cellStyle name="Neutral 2 2" xfId="660"/>
    <cellStyle name="Neutral 3" xfId="661"/>
    <cellStyle name="Neutral 4" xfId="662"/>
    <cellStyle name="Neutral 5" xfId="663"/>
    <cellStyle name="Neutral 6" xfId="664"/>
    <cellStyle name="Neutral 7" xfId="665"/>
    <cellStyle name="Neutral 8" xfId="666"/>
    <cellStyle name="Neutral 9" xfId="667"/>
    <cellStyle name="Normal" xfId="0" builtinId="0"/>
    <cellStyle name="Normal 2" xfId="668"/>
    <cellStyle name="Normal 2 2" xfId="669"/>
    <cellStyle name="Normal 2 2 2" xfId="670"/>
    <cellStyle name="Normal 2 2 2 2" xfId="671"/>
    <cellStyle name="Normal 2 2 2 3" xfId="672"/>
    <cellStyle name="Normal 2 2 2 4" xfId="673"/>
    <cellStyle name="Normal 2 2 2 5" xfId="674"/>
    <cellStyle name="Normal 2 2 2 5 2" xfId="675"/>
    <cellStyle name="Normal 2 2 2 5 2 2" xfId="676"/>
    <cellStyle name="Normal 2 2 2 5 2 2 2" xfId="808"/>
    <cellStyle name="Normal 2 2 2 5 2 3" xfId="807"/>
    <cellStyle name="Normal 2 2 2 5 3" xfId="677"/>
    <cellStyle name="Normal 2 2 2 5 3 2" xfId="809"/>
    <cellStyle name="Normal 2 2 2 5 4" xfId="806"/>
    <cellStyle name="Normal 2 2 2 6" xfId="678"/>
    <cellStyle name="Normal 2 2 2 6 2" xfId="679"/>
    <cellStyle name="Normal 2 2 2 6 2 2" xfId="811"/>
    <cellStyle name="Normal 2 2 2 6 3" xfId="810"/>
    <cellStyle name="Normal 2 2 2 7" xfId="680"/>
    <cellStyle name="Normal 2 2 2 7 2" xfId="812"/>
    <cellStyle name="Normal 2 2 2 8" xfId="805"/>
    <cellStyle name="Normal 2 2 3" xfId="681"/>
    <cellStyle name="Normal 2 2 3 2" xfId="682"/>
    <cellStyle name="Normal 2 2 3 2 2" xfId="683"/>
    <cellStyle name="Normal 2 2 3 2 2 2" xfId="684"/>
    <cellStyle name="Normal 2 2 3 2 2 2 2" xfId="816"/>
    <cellStyle name="Normal 2 2 3 2 2 3" xfId="815"/>
    <cellStyle name="Normal 2 2 3 2 3" xfId="685"/>
    <cellStyle name="Normal 2 2 3 2 3 2" xfId="817"/>
    <cellStyle name="Normal 2 2 3 2 4" xfId="814"/>
    <cellStyle name="Normal 2 2 3 3" xfId="686"/>
    <cellStyle name="Normal 2 2 3 3 2" xfId="687"/>
    <cellStyle name="Normal 2 2 3 3 2 2" xfId="819"/>
    <cellStyle name="Normal 2 2 3 3 3" xfId="818"/>
    <cellStyle name="Normal 2 2 3 4" xfId="688"/>
    <cellStyle name="Normal 2 2 3 4 2" xfId="820"/>
    <cellStyle name="Normal 2 2 3 5" xfId="813"/>
    <cellStyle name="Normal 2 2 4" xfId="689"/>
    <cellStyle name="Normal 2 2 4 2" xfId="690"/>
    <cellStyle name="Normal 2 2 4 2 2" xfId="691"/>
    <cellStyle name="Normal 2 2 4 2 2 2" xfId="692"/>
    <cellStyle name="Normal 2 2 4 2 2 2 2" xfId="824"/>
    <cellStyle name="Normal 2 2 4 2 2 3" xfId="823"/>
    <cellStyle name="Normal 2 2 4 2 3" xfId="693"/>
    <cellStyle name="Normal 2 2 4 2 3 2" xfId="825"/>
    <cellStyle name="Normal 2 2 4 2 4" xfId="822"/>
    <cellStyle name="Normal 2 2 4 3" xfId="694"/>
    <cellStyle name="Normal 2 2 4 3 2" xfId="695"/>
    <cellStyle name="Normal 2 2 4 3 2 2" xfId="827"/>
    <cellStyle name="Normal 2 2 4 3 3" xfId="826"/>
    <cellStyle name="Normal 2 2 4 4" xfId="696"/>
    <cellStyle name="Normal 2 2 4 4 2" xfId="828"/>
    <cellStyle name="Normal 2 2 4 5" xfId="821"/>
    <cellStyle name="Normal 2 3" xfId="697"/>
    <cellStyle name="Normal 2 3 2" xfId="698"/>
    <cellStyle name="Normal 2 3 2 2" xfId="699"/>
    <cellStyle name="Normal 2 3 2 2 2" xfId="831"/>
    <cellStyle name="Normal 2 3 2 3" xfId="830"/>
    <cellStyle name="Normal 2 3 3" xfId="700"/>
    <cellStyle name="Normal 2 3 3 2" xfId="832"/>
    <cellStyle name="Normal 2 3 4" xfId="829"/>
    <cellStyle name="Normal 2 4" xfId="701"/>
    <cellStyle name="Normal 2 4 2" xfId="702"/>
    <cellStyle name="Normal 2 4 2 2" xfId="834"/>
    <cellStyle name="Normal 2 4 3" xfId="833"/>
    <cellStyle name="Normal 2 5" xfId="703"/>
    <cellStyle name="Normal 2 5 2" xfId="835"/>
    <cellStyle name="Normal 2 6" xfId="804"/>
    <cellStyle name="Normal 3" xfId="704"/>
    <cellStyle name="Normal 3 2" xfId="705"/>
    <cellStyle name="Normal 3 2 2" xfId="706"/>
    <cellStyle name="Normal 3 2 2 2" xfId="707"/>
    <cellStyle name="Normal 3 2 2 2 2" xfId="708"/>
    <cellStyle name="Normal 3 2 2 2 2 2" xfId="840"/>
    <cellStyle name="Normal 3 2 2 2 3" xfId="839"/>
    <cellStyle name="Normal 3 2 2 3" xfId="709"/>
    <cellStyle name="Normal 3 2 2 3 2" xfId="841"/>
    <cellStyle name="Normal 3 2 2 4" xfId="838"/>
    <cellStyle name="Normal 3 2 3" xfId="710"/>
    <cellStyle name="Normal 3 2 3 2" xfId="711"/>
    <cellStyle name="Normal 3 2 3 2 2" xfId="843"/>
    <cellStyle name="Normal 3 2 3 3" xfId="842"/>
    <cellStyle name="Normal 3 2 4" xfId="712"/>
    <cellStyle name="Normal 3 2 4 2" xfId="844"/>
    <cellStyle name="Normal 3 2 5" xfId="837"/>
    <cellStyle name="Normal 3 3" xfId="713"/>
    <cellStyle name="Normal 3 3 2" xfId="714"/>
    <cellStyle name="Normal 3 3 2 2" xfId="715"/>
    <cellStyle name="Normal 3 3 2 2 2" xfId="716"/>
    <cellStyle name="Normal 3 3 2 2 2 2" xfId="848"/>
    <cellStyle name="Normal 3 3 2 2 3" xfId="847"/>
    <cellStyle name="Normal 3 3 2 3" xfId="717"/>
    <cellStyle name="Normal 3 3 2 3 2" xfId="849"/>
    <cellStyle name="Normal 3 3 2 4" xfId="846"/>
    <cellStyle name="Normal 3 3 3" xfId="718"/>
    <cellStyle name="Normal 3 3 3 2" xfId="719"/>
    <cellStyle name="Normal 3 3 3 2 2" xfId="851"/>
    <cellStyle name="Normal 3 3 3 3" xfId="850"/>
    <cellStyle name="Normal 3 3 4" xfId="720"/>
    <cellStyle name="Normal 3 3 4 2" xfId="852"/>
    <cellStyle name="Normal 3 3 5" xfId="845"/>
    <cellStyle name="Normal 3 4" xfId="721"/>
    <cellStyle name="Normal 3 4 2" xfId="722"/>
    <cellStyle name="Normal 3 4 2 2" xfId="723"/>
    <cellStyle name="Normal 3 4 2 2 2" xfId="724"/>
    <cellStyle name="Normal 3 4 2 2 2 2" xfId="856"/>
    <cellStyle name="Normal 3 4 2 2 3" xfId="855"/>
    <cellStyle name="Normal 3 4 2 3" xfId="725"/>
    <cellStyle name="Normal 3 4 2 3 2" xfId="857"/>
    <cellStyle name="Normal 3 4 2 4" xfId="854"/>
    <cellStyle name="Normal 3 4 3" xfId="726"/>
    <cellStyle name="Normal 3 4 3 2" xfId="727"/>
    <cellStyle name="Normal 3 4 3 2 2" xfId="859"/>
    <cellStyle name="Normal 3 4 3 3" xfId="858"/>
    <cellStyle name="Normal 3 4 4" xfId="728"/>
    <cellStyle name="Normal 3 4 4 2" xfId="860"/>
    <cellStyle name="Normal 3 4 5" xfId="853"/>
    <cellStyle name="Normal 3 5" xfId="729"/>
    <cellStyle name="Normal 3 5 2" xfId="730"/>
    <cellStyle name="Normal 3 5 2 2" xfId="731"/>
    <cellStyle name="Normal 3 5 2 2 2" xfId="863"/>
    <cellStyle name="Normal 3 5 2 3" xfId="862"/>
    <cellStyle name="Normal 3 5 3" xfId="732"/>
    <cellStyle name="Normal 3 5 3 2" xfId="864"/>
    <cellStyle name="Normal 3 5 4" xfId="861"/>
    <cellStyle name="Normal 3 6" xfId="733"/>
    <cellStyle name="Normal 3 6 2" xfId="734"/>
    <cellStyle name="Normal 3 6 2 2" xfId="866"/>
    <cellStyle name="Normal 3 6 3" xfId="865"/>
    <cellStyle name="Normal 3 7" xfId="735"/>
    <cellStyle name="Normal 3 7 2" xfId="867"/>
    <cellStyle name="Normal 3 8" xfId="836"/>
    <cellStyle name="Normal 4" xfId="736"/>
    <cellStyle name="Normal 4 2" xfId="737"/>
    <cellStyle name="Normal 8" xfId="738"/>
    <cellStyle name="Note 10" xfId="739"/>
    <cellStyle name="Note 11" xfId="740"/>
    <cellStyle name="Note 12" xfId="741"/>
    <cellStyle name="Note 13" xfId="742"/>
    <cellStyle name="Note 2" xfId="743"/>
    <cellStyle name="Note 2 2" xfId="744"/>
    <cellStyle name="Note 3" xfId="745"/>
    <cellStyle name="Note 4" xfId="746"/>
    <cellStyle name="Note 5" xfId="747"/>
    <cellStyle name="Note 6" xfId="748"/>
    <cellStyle name="Note 7" xfId="749"/>
    <cellStyle name="Note 8" xfId="750"/>
    <cellStyle name="Note 9" xfId="751"/>
    <cellStyle name="Output 10" xfId="752"/>
    <cellStyle name="Output 11" xfId="753"/>
    <cellStyle name="Output 12" xfId="754"/>
    <cellStyle name="Output 13" xfId="755"/>
    <cellStyle name="Output 2" xfId="756"/>
    <cellStyle name="Output 2 2" xfId="757"/>
    <cellStyle name="Output 3" xfId="758"/>
    <cellStyle name="Output 4" xfId="759"/>
    <cellStyle name="Output 5" xfId="760"/>
    <cellStyle name="Output 6" xfId="761"/>
    <cellStyle name="Output 7" xfId="762"/>
    <cellStyle name="Output 8" xfId="763"/>
    <cellStyle name="Output 9" xfId="764"/>
    <cellStyle name="Title 10" xfId="765"/>
    <cellStyle name="Title 11" xfId="766"/>
    <cellStyle name="Title 12" xfId="767"/>
    <cellStyle name="Title 13" xfId="768"/>
    <cellStyle name="Title 2" xfId="769"/>
    <cellStyle name="Title 2 2" xfId="770"/>
    <cellStyle name="Title 3" xfId="771"/>
    <cellStyle name="Title 4" xfId="772"/>
    <cellStyle name="Title 5" xfId="773"/>
    <cellStyle name="Title 6" xfId="774"/>
    <cellStyle name="Title 7" xfId="775"/>
    <cellStyle name="Title 8" xfId="776"/>
    <cellStyle name="Title 9" xfId="777"/>
    <cellStyle name="Total 10" xfId="778"/>
    <cellStyle name="Total 11" xfId="779"/>
    <cellStyle name="Total 12" xfId="780"/>
    <cellStyle name="Total 13" xfId="781"/>
    <cellStyle name="Total 2" xfId="782"/>
    <cellStyle name="Total 2 2" xfId="783"/>
    <cellStyle name="Total 3" xfId="784"/>
    <cellStyle name="Total 4" xfId="785"/>
    <cellStyle name="Total 5" xfId="786"/>
    <cellStyle name="Total 6" xfId="787"/>
    <cellStyle name="Total 7" xfId="788"/>
    <cellStyle name="Total 8" xfId="789"/>
    <cellStyle name="Total 9" xfId="790"/>
    <cellStyle name="Warning Text 10" xfId="791"/>
    <cellStyle name="Warning Text 11" xfId="792"/>
    <cellStyle name="Warning Text 12" xfId="793"/>
    <cellStyle name="Warning Text 13" xfId="794"/>
    <cellStyle name="Warning Text 2" xfId="795"/>
    <cellStyle name="Warning Text 2 2" xfId="796"/>
    <cellStyle name="Warning Text 3" xfId="797"/>
    <cellStyle name="Warning Text 4" xfId="798"/>
    <cellStyle name="Warning Text 5" xfId="799"/>
    <cellStyle name="Warning Text 6" xfId="800"/>
    <cellStyle name="Warning Text 7" xfId="801"/>
    <cellStyle name="Warning Text 8" xfId="802"/>
    <cellStyle name="Warning Text 9" xfId="80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Province/Area wise number of districts/areas with RSP presence</a:t>
            </a:r>
          </a:p>
          <a:p>
            <a:pPr>
              <a:defRPr sz="14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 (As at</a:t>
            </a:r>
            <a:r>
              <a:rPr lang="en-US" baseline="0"/>
              <a:t> March</a:t>
            </a:r>
            <a:r>
              <a:rPr lang="en-US"/>
              <a:t> 2013)</a:t>
            </a:r>
          </a:p>
        </c:rich>
      </c:tx>
      <c:layout>
        <c:manualLayout>
          <c:xMode val="edge"/>
          <c:yMode val="edge"/>
          <c:x val="0.1078887528850077"/>
          <c:y val="3.036876355748373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'Graphs for presentation'!$B$3</c:f>
              <c:strCache>
                <c:ptCount val="1"/>
                <c:pt idx="0">
                  <c:v>Number of total districts/areas in the province/area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'Graphs for presentation'!$A$4:$A$10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</c:strCache>
            </c:strRef>
          </c:cat>
          <c:val>
            <c:numRef>
              <c:f>'Graphs for presentation'!$B$4:$B$10</c:f>
              <c:numCache>
                <c:formatCode>General</c:formatCode>
                <c:ptCount val="7"/>
                <c:pt idx="0">
                  <c:v>30</c:v>
                </c:pt>
                <c:pt idx="1">
                  <c:v>24</c:v>
                </c:pt>
                <c:pt idx="2">
                  <c:v>23</c:v>
                </c:pt>
                <c:pt idx="3">
                  <c:v>37</c:v>
                </c:pt>
                <c:pt idx="4">
                  <c:v>10</c:v>
                </c:pt>
                <c:pt idx="5">
                  <c:v>7</c:v>
                </c:pt>
                <c:pt idx="6">
                  <c:v>13</c:v>
                </c:pt>
              </c:numCache>
            </c:numRef>
          </c:val>
        </c:ser>
        <c:ser>
          <c:idx val="1"/>
          <c:order val="1"/>
          <c:tx>
            <c:strRef>
              <c:f>'Graphs for presentation'!$C$3</c:f>
              <c:strCache>
                <c:ptCount val="1"/>
                <c:pt idx="0">
                  <c:v>Number of districts/areas having RSPs presence  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'Graphs for presentation'!$A$4:$A$10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</c:strCache>
            </c:strRef>
          </c:cat>
          <c:val>
            <c:numRef>
              <c:f>'Graphs for presentation'!$C$4:$C$10</c:f>
              <c:numCache>
                <c:formatCode>General</c:formatCode>
                <c:ptCount val="7"/>
                <c:pt idx="0">
                  <c:v>19</c:v>
                </c:pt>
                <c:pt idx="1">
                  <c:v>19</c:v>
                </c:pt>
                <c:pt idx="2">
                  <c:v>22</c:v>
                </c:pt>
                <c:pt idx="3">
                  <c:v>35</c:v>
                </c:pt>
                <c:pt idx="4">
                  <c:v>10</c:v>
                </c:pt>
                <c:pt idx="5">
                  <c:v>6</c:v>
                </c:pt>
                <c:pt idx="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19417088"/>
        <c:axId val="119422976"/>
        <c:axId val="0"/>
      </c:bar3DChart>
      <c:catAx>
        <c:axId val="11941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19422976"/>
        <c:crosses val="autoZero"/>
        <c:auto val="1"/>
        <c:lblAlgn val="ctr"/>
        <c:lblOffset val="100"/>
        <c:noMultiLvlLbl val="0"/>
      </c:catAx>
      <c:valAx>
        <c:axId val="1194229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94170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8.1206496519721574E-2"/>
          <c:y val="0.93275488069414392"/>
          <c:w val="0.83410721571636504"/>
          <c:h val="4.772234273318765E-2"/>
        </c:manualLayout>
      </c:layout>
      <c:overlay val="0"/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Province/Area wise number of union councils with RSP presence (As at  March, 2013)</a:t>
            </a:r>
          </a:p>
        </c:rich>
      </c:tx>
      <c:layout>
        <c:manualLayout>
          <c:xMode val="edge"/>
          <c:yMode val="edge"/>
          <c:x val="0.14230271668822769"/>
          <c:y val="3.0425963488843868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for presentation'!$B$15</c:f>
              <c:strCache>
                <c:ptCount val="1"/>
                <c:pt idx="0">
                  <c:v>Total rural union councils 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 pitchFamily="18" charset="0"/>
                    <a:ea typeface="Calibri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'Graphs for presentation'!$A$16:$A$22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</c:strCache>
            </c:strRef>
          </c:cat>
          <c:val>
            <c:numRef>
              <c:f>'Graphs for presentation'!$B$16:$B$22</c:f>
              <c:numCache>
                <c:formatCode>General</c:formatCode>
                <c:ptCount val="7"/>
                <c:pt idx="0">
                  <c:v>547</c:v>
                </c:pt>
                <c:pt idx="1">
                  <c:v>961</c:v>
                </c:pt>
                <c:pt idx="2">
                  <c:v>921</c:v>
                </c:pt>
                <c:pt idx="3">
                  <c:v>2647</c:v>
                </c:pt>
                <c:pt idx="4">
                  <c:v>196</c:v>
                </c:pt>
                <c:pt idx="5">
                  <c:v>103</c:v>
                </c:pt>
                <c:pt idx="6">
                  <c:v>190</c:v>
                </c:pt>
              </c:numCache>
            </c:numRef>
          </c:val>
        </c:ser>
        <c:ser>
          <c:idx val="1"/>
          <c:order val="1"/>
          <c:tx>
            <c:strRef>
              <c:f>'Graphs for presentation'!$C$15</c:f>
              <c:strCache>
                <c:ptCount val="1"/>
                <c:pt idx="0">
                  <c:v>Number of union councils having RSP presence 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Times New Roman" pitchFamily="18" charset="0"/>
                    <a:ea typeface="Calibri"/>
                    <a:cs typeface="Times New Roman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'Graphs for presentation'!$A$16:$A$22</c:f>
              <c:strCache>
                <c:ptCount val="7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</c:strCache>
            </c:strRef>
          </c:cat>
          <c:val>
            <c:numRef>
              <c:f>'Graphs for presentation'!$C$16:$C$22</c:f>
              <c:numCache>
                <c:formatCode>General</c:formatCode>
                <c:ptCount val="7"/>
                <c:pt idx="0">
                  <c:v>279</c:v>
                </c:pt>
                <c:pt idx="1">
                  <c:v>606</c:v>
                </c:pt>
                <c:pt idx="2">
                  <c:v>690</c:v>
                </c:pt>
                <c:pt idx="3">
                  <c:v>1785</c:v>
                </c:pt>
                <c:pt idx="4">
                  <c:v>179</c:v>
                </c:pt>
                <c:pt idx="5">
                  <c:v>94</c:v>
                </c:pt>
                <c:pt idx="6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9457280"/>
        <c:axId val="119458816"/>
      </c:barChart>
      <c:catAx>
        <c:axId val="11945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 pitchFamily="18" charset="0"/>
                <a:ea typeface="Calibri"/>
                <a:cs typeface="Times New Roman" pitchFamily="18" charset="0"/>
              </a:defRPr>
            </a:pPr>
            <a:endParaRPr lang="en-US"/>
          </a:p>
        </c:txPr>
        <c:crossAx val="119458816"/>
        <c:crosses val="autoZero"/>
        <c:auto val="1"/>
        <c:lblAlgn val="ctr"/>
        <c:lblOffset val="100"/>
        <c:noMultiLvlLbl val="0"/>
      </c:catAx>
      <c:valAx>
        <c:axId val="1194588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 pitchFamily="18" charset="0"/>
                <a:ea typeface="Calibri"/>
                <a:cs typeface="Times New Roman" pitchFamily="18" charset="0"/>
              </a:defRPr>
            </a:pPr>
            <a:endParaRPr lang="en-US"/>
          </a:p>
        </c:txPr>
        <c:crossAx val="11945728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 pitchFamily="18" charset="0"/>
              <a:ea typeface="Calibri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0" i="0" u="none" strike="noStrike" baseline="0">
                <a:solidFill>
                  <a:srgbClr val="000000"/>
                </a:solidFill>
                <a:latin typeface="Calibri"/>
              </a:rPr>
              <a:t>Province-wise organized households </a:t>
            </a:r>
            <a:endParaRPr lang="en-US" sz="1800" b="1" i="0" u="none" strike="noStrike" baseline="0">
              <a:solidFill>
                <a:srgbClr val="000000"/>
              </a:solidFill>
              <a:latin typeface="Calibri"/>
            </a:endParaRP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0" i="0" u="none" strike="noStrike" baseline="0">
                <a:solidFill>
                  <a:srgbClr val="000000"/>
                </a:solidFill>
                <a:latin typeface="Calibri"/>
              </a:rPr>
              <a:t>(% of total rural households based on 1998 census data ) </a:t>
            </a:r>
            <a:endParaRPr lang="en-US" sz="1800" b="1" i="0" u="none" strike="noStrike" baseline="0">
              <a:solidFill>
                <a:srgbClr val="000000"/>
              </a:solidFill>
              <a:latin typeface="Calibri"/>
            </a:endParaRP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0" i="0" u="none" strike="noStrike" baseline="0">
                <a:solidFill>
                  <a:srgbClr val="000000"/>
                </a:solidFill>
                <a:latin typeface="Calibri"/>
              </a:rPr>
              <a:t>(As at March 2013) 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rich>
      </c:tx>
      <c:layout>
        <c:manualLayout>
          <c:xMode val="edge"/>
          <c:yMode val="edge"/>
          <c:x val="0.16025657850460986"/>
          <c:y val="3.2338308457711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551394333985531E-2"/>
          <c:y val="0.28543826664963656"/>
          <c:w val="0.88141163582299709"/>
          <c:h val="0.50598819452885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'Graphs for presentation'!$B$27</c:f>
              <c:strCache>
                <c:ptCount val="1"/>
                <c:pt idx="0">
                  <c:v>% of households organised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'Graphs for presentation'!$A$28:$A$35</c:f>
              <c:strCache>
                <c:ptCount val="8"/>
                <c:pt idx="0">
                  <c:v>Balochistan </c:v>
                </c:pt>
                <c:pt idx="1">
                  <c:v>Khyber Pakhtunkhwa (KPK)</c:v>
                </c:pt>
                <c:pt idx="2">
                  <c:v>Sindh </c:v>
                </c:pt>
                <c:pt idx="3">
                  <c:v>Punjab (Inc ICT)</c:v>
                </c:pt>
                <c:pt idx="4">
                  <c:v>Azad Jamu and Kashmir (AJK)</c:v>
                </c:pt>
                <c:pt idx="5">
                  <c:v>Gilgit-Baltistan (GB)</c:v>
                </c:pt>
                <c:pt idx="6">
                  <c:v>Federal Adminstrated Tribal Areas (FATA)/Frontier Regions (FRs)</c:v>
                </c:pt>
                <c:pt idx="7">
                  <c:v>Total </c:v>
                </c:pt>
              </c:strCache>
            </c:strRef>
          </c:cat>
          <c:val>
            <c:numRef>
              <c:f>'Graphs for presentation'!$B$28:$B$35</c:f>
              <c:numCache>
                <c:formatCode>_(* #,##0.0_);_(* \(#,##0.0\);_(* "-"??_);_(@_)</c:formatCode>
                <c:ptCount val="8"/>
                <c:pt idx="0">
                  <c:v>34.822541639492457</c:v>
                </c:pt>
                <c:pt idx="1">
                  <c:v>42.84386931822992</c:v>
                </c:pt>
                <c:pt idx="2">
                  <c:v>40.79778213101428</c:v>
                </c:pt>
                <c:pt idx="3">
                  <c:v>42.719089286881854</c:v>
                </c:pt>
                <c:pt idx="4">
                  <c:v>66.930153431575803</c:v>
                </c:pt>
                <c:pt idx="5">
                  <c:v>69.747920669136846</c:v>
                </c:pt>
                <c:pt idx="6">
                  <c:v>1.8641076907904084</c:v>
                </c:pt>
                <c:pt idx="7">
                  <c:v>41.698334907864918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9750016"/>
        <c:axId val="119764096"/>
      </c:barChart>
      <c:catAx>
        <c:axId val="11975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9764096"/>
        <c:crosses val="autoZero"/>
        <c:auto val="1"/>
        <c:lblAlgn val="ctr"/>
        <c:lblOffset val="100"/>
        <c:noMultiLvlLbl val="0"/>
      </c:catAx>
      <c:valAx>
        <c:axId val="119764096"/>
        <c:scaling>
          <c:orientation val="minMax"/>
        </c:scaling>
        <c:delete val="0"/>
        <c:axPos val="l"/>
        <c:majorGridlines/>
        <c:numFmt formatCode="_(* #,##0.0_);_(* \(#,##0.0\);_(* &quot;-&quot;??_);_(@_)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975001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0</xdr:row>
      <xdr:rowOff>133350</xdr:rowOff>
    </xdr:from>
    <xdr:to>
      <xdr:col>24</xdr:col>
      <xdr:colOff>361950</xdr:colOff>
      <xdr:row>27</xdr:row>
      <xdr:rowOff>133350</xdr:rowOff>
    </xdr:to>
    <xdr:graphicFrame macro="">
      <xdr:nvGraphicFramePr>
        <xdr:cNvPr id="212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600075</xdr:colOff>
      <xdr:row>29</xdr:row>
      <xdr:rowOff>123825</xdr:rowOff>
    </xdr:from>
    <xdr:to>
      <xdr:col>23</xdr:col>
      <xdr:colOff>38100</xdr:colOff>
      <xdr:row>58</xdr:row>
      <xdr:rowOff>123825</xdr:rowOff>
    </xdr:to>
    <xdr:graphicFrame macro="">
      <xdr:nvGraphicFramePr>
        <xdr:cNvPr id="212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495300</xdr:colOff>
      <xdr:row>36</xdr:row>
      <xdr:rowOff>133350</xdr:rowOff>
    </xdr:from>
    <xdr:to>
      <xdr:col>3</xdr:col>
      <xdr:colOff>1301750</xdr:colOff>
      <xdr:row>67</xdr:row>
      <xdr:rowOff>74083</xdr:rowOff>
    </xdr:to>
    <xdr:graphicFrame macro="">
      <xdr:nvGraphicFramePr>
        <xdr:cNvPr id="212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azal%20Docs\Workplan%202011\MER%202011\OUTREACH%20ISSUE%2010\Final%20Outreach%20Issue%2010%20all%20RSPs%20(28-09-1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azal%20Docs\RSPN%20Core%20Programme\Work%20Plan%20(2012-13)\MER\Outreach%20Issue%2016\Outreach%20Issue%2016%20-%20BRSP%20Data%20(Dec-12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azal%20Docs\RSPN%20Core%20Programme\Work%20Plan%20(2012-13)\MER\Outreach%20Issue%2016\Outreach%20Issue%2016%20-%20SRS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azal%20Docs\RSPN%20Core%20Programme\Work%20Plan%20(2012-13)\MER\Outreach%20Issue%2016\GBTI%20Outreach%20Issue%2016%20format%20sent%20to%20RSPs%20%20(18-2-13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azal%20Docs\RSPN%20Core%20Programme\Work%20Plan%20(2012-13)\MER\Outreach%20Issue%2016\TRDP%20Outreach%20Issue%2016%20format%20sent%20to%20RSPs%20as%20of%20December%201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azal%20Docs\RSPN%20Core%20Programme\Work%20Plan%20(2012-13)\MER\Outreach%20Issue%2016\SRSO%20%20Outreach_Issue_16_format_sent_to_RSPs_(18-2-13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azal%20Docs\RSPN%20Core%20Programme\Work%20Plan%20(2012-13)\MER\Outreach%20Issue%2016\District%20OUtreach%20As%20of%20Dec-1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MER\MPR\December,%202012\Final%20MPR%20HO%20Aug%2020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RSP Districts "/>
      <sheetName val="2. Overall com progres Jun 11"/>
      <sheetName val="Figs for ppt"/>
      <sheetName val="Overall commulative progres (2)"/>
      <sheetName val="3. Top 10"/>
      <sheetName val="Graphs for presentation"/>
    </sheetNames>
    <sheetDataSet>
      <sheetData sheetId="0">
        <row r="212">
          <cell r="A212" t="str">
            <v xml:space="preserve">Number of districts/areas having RSPs presence  </v>
          </cell>
          <cell r="P212" t="str">
            <v>Number of total districts/areas in the province/area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Dec 12"/>
      <sheetName val="2. Overall com progres Sept-ref"/>
    </sheetNames>
    <sheetDataSet>
      <sheetData sheetId="0"/>
      <sheetData sheetId="1">
        <row r="12">
          <cell r="H12">
            <v>6</v>
          </cell>
        </row>
        <row r="17">
          <cell r="H17">
            <v>98</v>
          </cell>
        </row>
        <row r="18">
          <cell r="H18">
            <v>41</v>
          </cell>
        </row>
        <row r="19">
          <cell r="H19">
            <v>226</v>
          </cell>
        </row>
        <row r="21">
          <cell r="H21">
            <v>137</v>
          </cell>
        </row>
        <row r="22">
          <cell r="H22">
            <v>217</v>
          </cell>
        </row>
        <row r="24">
          <cell r="H24">
            <v>131</v>
          </cell>
        </row>
        <row r="27">
          <cell r="H27">
            <v>20</v>
          </cell>
        </row>
        <row r="28">
          <cell r="H28">
            <v>82</v>
          </cell>
        </row>
        <row r="33">
          <cell r="H33">
            <v>197</v>
          </cell>
        </row>
        <row r="34">
          <cell r="H34">
            <v>0</v>
          </cell>
        </row>
        <row r="35">
          <cell r="H35">
            <v>38</v>
          </cell>
        </row>
        <row r="38">
          <cell r="H38">
            <v>141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Dec 12"/>
      <sheetName val="2. Overall com progres Sept-ref"/>
    </sheetNames>
    <sheetDataSet>
      <sheetData sheetId="0"/>
      <sheetData sheetId="1">
        <row r="43">
          <cell r="H43">
            <v>189</v>
          </cell>
        </row>
        <row r="45">
          <cell r="H45">
            <v>104</v>
          </cell>
        </row>
        <row r="47">
          <cell r="H47">
            <v>54</v>
          </cell>
        </row>
        <row r="49">
          <cell r="H49">
            <v>68</v>
          </cell>
        </row>
        <row r="51">
          <cell r="H51">
            <v>523</v>
          </cell>
        </row>
        <row r="52">
          <cell r="H52">
            <v>259</v>
          </cell>
        </row>
        <row r="55">
          <cell r="H55">
            <v>337</v>
          </cell>
        </row>
        <row r="57">
          <cell r="H57">
            <v>157</v>
          </cell>
        </row>
        <row r="58">
          <cell r="H58">
            <v>117</v>
          </cell>
        </row>
        <row r="59">
          <cell r="H59">
            <v>243</v>
          </cell>
        </row>
        <row r="60">
          <cell r="H60">
            <v>132</v>
          </cell>
        </row>
        <row r="63">
          <cell r="H63">
            <v>30</v>
          </cell>
        </row>
        <row r="64">
          <cell r="H64">
            <v>390</v>
          </cell>
        </row>
        <row r="66">
          <cell r="H66">
            <v>63</v>
          </cell>
        </row>
        <row r="67">
          <cell r="H67">
            <v>33</v>
          </cell>
        </row>
        <row r="69">
          <cell r="H69">
            <v>55</v>
          </cell>
        </row>
        <row r="70">
          <cell r="H70">
            <v>62</v>
          </cell>
        </row>
        <row r="74">
          <cell r="H74">
            <v>100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Dec 12"/>
      <sheetName val="2. Overall com progres Sept-ref"/>
    </sheetNames>
    <sheetDataSet>
      <sheetData sheetId="0"/>
      <sheetData sheetId="1">
        <row r="56">
          <cell r="H56">
            <v>22</v>
          </cell>
        </row>
        <row r="71">
          <cell r="H71">
            <v>19</v>
          </cell>
        </row>
        <row r="105">
          <cell r="H105">
            <v>69</v>
          </cell>
        </row>
      </sheetData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Dece 12"/>
      <sheetName val="2. Overall com progres Sept (2"/>
      <sheetName val="Overall com progres Sep11(4Ref)"/>
      <sheetName val="Figs for ppt"/>
      <sheetName val="Overall commulative progres (2)"/>
      <sheetName val="3. Overall com progres Jun(ref)"/>
    </sheetNames>
    <sheetDataSet>
      <sheetData sheetId="0"/>
      <sheetData sheetId="1">
        <row r="80">
          <cell r="H80">
            <v>131</v>
          </cell>
        </row>
        <row r="84">
          <cell r="H84">
            <v>78</v>
          </cell>
        </row>
        <row r="99">
          <cell r="H99">
            <v>166</v>
          </cell>
        </row>
        <row r="101">
          <cell r="H101">
            <v>186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Dec 12"/>
      <sheetName val="2. Overall com progres Sept-ref"/>
    </sheetNames>
    <sheetDataSet>
      <sheetData sheetId="0"/>
      <sheetData sheetId="1">
        <row r="81">
          <cell r="H81">
            <v>281</v>
          </cell>
        </row>
        <row r="83">
          <cell r="H83">
            <v>204</v>
          </cell>
        </row>
        <row r="86">
          <cell r="H86">
            <v>170</v>
          </cell>
        </row>
        <row r="87">
          <cell r="H87">
            <v>244</v>
          </cell>
        </row>
        <row r="88">
          <cell r="H88">
            <v>176</v>
          </cell>
        </row>
        <row r="91">
          <cell r="H91">
            <v>141</v>
          </cell>
        </row>
        <row r="93">
          <cell r="H93">
            <v>236</v>
          </cell>
        </row>
        <row r="95">
          <cell r="H95">
            <v>222</v>
          </cell>
        </row>
        <row r="96">
          <cell r="H96">
            <v>190</v>
          </cell>
        </row>
      </sheetData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 for presentation"/>
      <sheetName val="1.RSP Districts "/>
      <sheetName val="2. Overall com progres Dec 12"/>
      <sheetName val="Overall com progres Sep11(4Ref)"/>
      <sheetName val="Figs for ppt"/>
      <sheetName val="Overall commulative progres (2)"/>
      <sheetName val="3. Overall com progres Jun(ref)"/>
    </sheetNames>
    <sheetDataSet>
      <sheetData sheetId="0" refreshError="1"/>
      <sheetData sheetId="1">
        <row r="5">
          <cell r="H5">
            <v>260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nsolidated"/>
      <sheetName val="SKT Region"/>
      <sheetName val="SKT"/>
      <sheetName val="NRW"/>
      <sheetName val="GRW"/>
      <sheetName val="GRT"/>
      <sheetName val="MBD"/>
      <sheetName val="HFD"/>
      <sheetName val="FSD region"/>
      <sheetName val="FSD"/>
      <sheetName val="TTS"/>
      <sheetName val="SGD"/>
      <sheetName val="JHG"/>
      <sheetName val="LHR"/>
      <sheetName val="SKP"/>
      <sheetName val="MTN Region"/>
      <sheetName val="SHW"/>
      <sheetName val="MZG"/>
      <sheetName val="LYH"/>
      <sheetName val="MTN"/>
      <sheetName val="KNW"/>
      <sheetName val="PKP"/>
      <sheetName val="LDR"/>
      <sheetName val="OKR"/>
      <sheetName val="KSR"/>
      <sheetName val="All district data"/>
      <sheetName val="Sheet8"/>
      <sheetName val="Distt HH cov"/>
      <sheetName val="Sheet1"/>
      <sheetName val="June 07"/>
      <sheetName val="Sep 07"/>
      <sheetName val="analysis "/>
      <sheetName val="Sheet3"/>
      <sheetName val="Sheet2"/>
      <sheetName val="Sheet5"/>
      <sheetName val="List of districts "/>
    </sheetNames>
    <sheetDataSet>
      <sheetData sheetId="0"/>
      <sheetData sheetId="1"/>
      <sheetData sheetId="2"/>
      <sheetData sheetId="3">
        <row r="16">
          <cell r="Q16">
            <v>788</v>
          </cell>
        </row>
      </sheetData>
      <sheetData sheetId="4">
        <row r="16">
          <cell r="M16">
            <v>554</v>
          </cell>
        </row>
      </sheetData>
      <sheetData sheetId="5">
        <row r="16">
          <cell r="I16">
            <v>372</v>
          </cell>
        </row>
      </sheetData>
      <sheetData sheetId="6">
        <row r="16">
          <cell r="I16">
            <v>368</v>
          </cell>
        </row>
      </sheetData>
      <sheetData sheetId="7">
        <row r="16">
          <cell r="I16">
            <v>244</v>
          </cell>
        </row>
      </sheetData>
      <sheetData sheetId="8">
        <row r="16">
          <cell r="G16">
            <v>108</v>
          </cell>
        </row>
      </sheetData>
      <sheetData sheetId="9"/>
      <sheetData sheetId="10">
        <row r="16">
          <cell r="K16">
            <v>336</v>
          </cell>
        </row>
      </sheetData>
      <sheetData sheetId="11">
        <row r="16">
          <cell r="I16">
            <v>152</v>
          </cell>
        </row>
      </sheetData>
      <sheetData sheetId="12">
        <row r="16">
          <cell r="I16">
            <v>224</v>
          </cell>
        </row>
      </sheetData>
      <sheetData sheetId="13">
        <row r="16">
          <cell r="G16">
            <v>181</v>
          </cell>
        </row>
      </sheetData>
      <sheetData sheetId="14"/>
      <sheetData sheetId="15">
        <row r="16">
          <cell r="G16">
            <v>143</v>
          </cell>
        </row>
      </sheetData>
      <sheetData sheetId="16"/>
      <sheetData sheetId="17">
        <row r="16">
          <cell r="I16">
            <v>272</v>
          </cell>
        </row>
      </sheetData>
      <sheetData sheetId="18">
        <row r="16">
          <cell r="K16">
            <v>256</v>
          </cell>
        </row>
      </sheetData>
      <sheetData sheetId="19">
        <row r="16">
          <cell r="K16">
            <v>346</v>
          </cell>
        </row>
      </sheetData>
      <sheetData sheetId="20">
        <row r="16">
          <cell r="G16">
            <v>148</v>
          </cell>
        </row>
      </sheetData>
      <sheetData sheetId="21">
        <row r="16">
          <cell r="G16">
            <v>129</v>
          </cell>
        </row>
      </sheetData>
      <sheetData sheetId="22">
        <row r="16">
          <cell r="G16">
            <v>174</v>
          </cell>
        </row>
      </sheetData>
      <sheetData sheetId="23">
        <row r="16">
          <cell r="G16">
            <v>14</v>
          </cell>
        </row>
      </sheetData>
      <sheetData sheetId="24">
        <row r="16">
          <cell r="I16">
            <v>229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7"/>
  <sheetViews>
    <sheetView topLeftCell="A48" zoomScale="90" zoomScaleNormal="90" workbookViewId="0">
      <selection activeCell="F65" sqref="F65"/>
    </sheetView>
  </sheetViews>
  <sheetFormatPr defaultRowHeight="13.2" x14ac:dyDescent="0.25"/>
  <cols>
    <col min="1" max="1" width="52.44140625" bestFit="1" customWidth="1"/>
    <col min="2" max="2" width="35" bestFit="1" customWidth="1"/>
    <col min="3" max="3" width="29.5546875" customWidth="1"/>
    <col min="4" max="4" width="33.5546875" bestFit="1" customWidth="1"/>
  </cols>
  <sheetData>
    <row r="2" spans="1:3" ht="13.8" thickBot="1" x14ac:dyDescent="0.3"/>
    <row r="3" spans="1:3" ht="13.8" x14ac:dyDescent="0.25">
      <c r="A3" s="98" t="s">
        <v>216</v>
      </c>
      <c r="B3" s="126" t="str">
        <f>'[1]1.RSP Districts '!P212</f>
        <v>Number of total districts/areas in the province/area</v>
      </c>
      <c r="C3" s="126" t="str">
        <f>'[1]1.RSP Districts '!A212</f>
        <v xml:space="preserve">Number of districts/areas having RSPs presence  </v>
      </c>
    </row>
    <row r="4" spans="1:3" ht="13.8" x14ac:dyDescent="0.25">
      <c r="A4" s="33" t="s">
        <v>173</v>
      </c>
      <c r="B4" s="126">
        <f>'1.RSP Districts '!R218</f>
        <v>30</v>
      </c>
      <c r="C4" s="126">
        <f>'1.RSP Districts '!A218</f>
        <v>19</v>
      </c>
    </row>
    <row r="5" spans="1:3" ht="13.8" x14ac:dyDescent="0.25">
      <c r="A5" s="33" t="s">
        <v>228</v>
      </c>
      <c r="B5" s="126">
        <f>'1.RSP Districts '!R219</f>
        <v>24</v>
      </c>
      <c r="C5" s="126">
        <f>'1.RSP Districts '!A219</f>
        <v>19</v>
      </c>
    </row>
    <row r="6" spans="1:3" ht="13.8" x14ac:dyDescent="0.25">
      <c r="A6" s="33" t="s">
        <v>174</v>
      </c>
      <c r="B6" s="126">
        <f>'1.RSP Districts '!R220</f>
        <v>23</v>
      </c>
      <c r="C6" s="126">
        <f>'1.RSP Districts '!A220</f>
        <v>22</v>
      </c>
    </row>
    <row r="7" spans="1:3" ht="13.8" x14ac:dyDescent="0.25">
      <c r="A7" s="33" t="s">
        <v>253</v>
      </c>
      <c r="B7" s="126">
        <f>'1.RSP Districts '!R221+'1.RSP Districts '!R217</f>
        <v>37</v>
      </c>
      <c r="C7" s="126">
        <f>'1.RSP Districts '!A221+'1.RSP Districts '!A217</f>
        <v>35</v>
      </c>
    </row>
    <row r="8" spans="1:3" ht="13.8" x14ac:dyDescent="0.25">
      <c r="A8" s="33" t="s">
        <v>229</v>
      </c>
      <c r="B8" s="126">
        <f>'1.RSP Districts '!R222</f>
        <v>10</v>
      </c>
      <c r="C8" s="126">
        <f>'1.RSP Districts '!A222</f>
        <v>10</v>
      </c>
    </row>
    <row r="9" spans="1:3" ht="13.8" x14ac:dyDescent="0.25">
      <c r="A9" s="33" t="s">
        <v>230</v>
      </c>
      <c r="B9" s="126">
        <f>'1.RSP Districts '!R223</f>
        <v>7</v>
      </c>
      <c r="C9" s="126">
        <f>'1.RSP Districts '!A223</f>
        <v>6</v>
      </c>
    </row>
    <row r="10" spans="1:3" ht="13.8" x14ac:dyDescent="0.25">
      <c r="A10" s="33" t="s">
        <v>231</v>
      </c>
      <c r="B10" s="126">
        <f>'1.RSP Districts '!R224</f>
        <v>13</v>
      </c>
      <c r="C10" s="126">
        <f>'1.RSP Districts '!A224</f>
        <v>2</v>
      </c>
    </row>
    <row r="11" spans="1:3" ht="13.8" x14ac:dyDescent="0.25">
      <c r="A11" s="127" t="s">
        <v>254</v>
      </c>
      <c r="B11">
        <f>SUM(B4:B10)</f>
        <v>144</v>
      </c>
      <c r="C11">
        <f>SUM(C4:C10)</f>
        <v>113</v>
      </c>
    </row>
    <row r="15" spans="1:3" x14ac:dyDescent="0.25">
      <c r="A15" s="126" t="s">
        <v>216</v>
      </c>
      <c r="B15" s="126" t="s">
        <v>255</v>
      </c>
      <c r="C15" s="126" t="s">
        <v>256</v>
      </c>
    </row>
    <row r="16" spans="1:3" x14ac:dyDescent="0.25">
      <c r="A16" s="126" t="s">
        <v>173</v>
      </c>
      <c r="B16" s="126">
        <f>'1.RSP Districts '!C218</f>
        <v>547</v>
      </c>
      <c r="C16" s="126">
        <f>'1.RSP Districts '!E218</f>
        <v>279</v>
      </c>
    </row>
    <row r="17" spans="1:4" x14ac:dyDescent="0.25">
      <c r="A17" s="126" t="s">
        <v>228</v>
      </c>
      <c r="B17" s="126">
        <f>'1.RSP Districts '!C219</f>
        <v>961</v>
      </c>
      <c r="C17" s="126">
        <f>'1.RSP Districts '!E219</f>
        <v>606</v>
      </c>
    </row>
    <row r="18" spans="1:4" x14ac:dyDescent="0.25">
      <c r="A18" s="126" t="s">
        <v>174</v>
      </c>
      <c r="B18" s="126">
        <f>'1.RSP Districts '!C220</f>
        <v>921</v>
      </c>
      <c r="C18" s="126">
        <f>'1.RSP Districts '!E220</f>
        <v>690</v>
      </c>
    </row>
    <row r="19" spans="1:4" x14ac:dyDescent="0.25">
      <c r="A19" s="126" t="s">
        <v>253</v>
      </c>
      <c r="B19" s="126">
        <f>'1.RSP Districts '!C221+'1.RSP Districts '!C217</f>
        <v>2647</v>
      </c>
      <c r="C19" s="126">
        <f>'1.RSP Districts '!E221+'1.RSP Districts '!E217</f>
        <v>1785</v>
      </c>
    </row>
    <row r="20" spans="1:4" x14ac:dyDescent="0.25">
      <c r="A20" s="126" t="s">
        <v>229</v>
      </c>
      <c r="B20" s="126">
        <f>'1.RSP Districts '!C222</f>
        <v>196</v>
      </c>
      <c r="C20" s="126">
        <f>'1.RSP Districts '!E222</f>
        <v>179</v>
      </c>
    </row>
    <row r="21" spans="1:4" x14ac:dyDescent="0.25">
      <c r="A21" s="126" t="s">
        <v>230</v>
      </c>
      <c r="B21" s="126">
        <f>'1.RSP Districts '!C223</f>
        <v>103</v>
      </c>
      <c r="C21" s="126">
        <f>'1.RSP Districts '!E223</f>
        <v>94</v>
      </c>
    </row>
    <row r="22" spans="1:4" x14ac:dyDescent="0.25">
      <c r="A22" s="126" t="s">
        <v>231</v>
      </c>
      <c r="B22" s="126">
        <f>'1.RSP Districts '!C224</f>
        <v>190</v>
      </c>
      <c r="C22" s="126">
        <f>'1.RSP Districts '!E224</f>
        <v>6</v>
      </c>
    </row>
    <row r="23" spans="1:4" x14ac:dyDescent="0.25">
      <c r="A23" s="126" t="s">
        <v>218</v>
      </c>
      <c r="B23" s="126">
        <f>SUM(B16:B22)</f>
        <v>5565</v>
      </c>
      <c r="C23" s="126">
        <f>SUM(C16:C22)</f>
        <v>3639</v>
      </c>
    </row>
    <row r="24" spans="1:4" ht="13.8" thickBot="1" x14ac:dyDescent="0.3">
      <c r="C24" s="128">
        <f>C23/B23%</f>
        <v>65.390835579514828</v>
      </c>
    </row>
    <row r="25" spans="1:4" ht="13.8" x14ac:dyDescent="0.25">
      <c r="B25" s="129"/>
    </row>
    <row r="26" spans="1:4" ht="13.8" x14ac:dyDescent="0.25">
      <c r="B26" s="130"/>
    </row>
    <row r="27" spans="1:4" ht="12.75" customHeight="1" x14ac:dyDescent="0.25">
      <c r="A27" s="131" t="s">
        <v>216</v>
      </c>
      <c r="B27" s="126" t="s">
        <v>279</v>
      </c>
      <c r="C27" s="126" t="s">
        <v>257</v>
      </c>
      <c r="D27" s="126" t="s">
        <v>278</v>
      </c>
    </row>
    <row r="28" spans="1:4" ht="13.8" x14ac:dyDescent="0.25">
      <c r="A28" s="33" t="s">
        <v>173</v>
      </c>
      <c r="B28" s="132">
        <f t="shared" ref="B28:B35" si="0">D28/C28%</f>
        <v>34.822541639492457</v>
      </c>
      <c r="C28" s="133">
        <f>'1.RSP Districts '!J218</f>
        <v>814191</v>
      </c>
      <c r="D28" s="133">
        <f>'1.RSP Districts '!L218</f>
        <v>283522</v>
      </c>
    </row>
    <row r="29" spans="1:4" ht="13.8" x14ac:dyDescent="0.25">
      <c r="A29" s="33" t="s">
        <v>228</v>
      </c>
      <c r="B29" s="132">
        <f t="shared" si="0"/>
        <v>42.84386931822992</v>
      </c>
      <c r="C29" s="133">
        <f>'1.RSP Districts '!J219</f>
        <v>1889904</v>
      </c>
      <c r="D29" s="133">
        <f>'1.RSP Districts '!L219</f>
        <v>809708</v>
      </c>
    </row>
    <row r="30" spans="1:4" ht="13.8" x14ac:dyDescent="0.25">
      <c r="A30" s="33" t="s">
        <v>174</v>
      </c>
      <c r="B30" s="132">
        <f t="shared" si="0"/>
        <v>40.79778213101428</v>
      </c>
      <c r="C30" s="133">
        <f>'1.RSP Districts '!J220</f>
        <v>2816903.1255411254</v>
      </c>
      <c r="D30" s="133">
        <f>'1.RSP Districts '!L220</f>
        <v>1149234</v>
      </c>
    </row>
    <row r="31" spans="1:4" ht="13.8" x14ac:dyDescent="0.25">
      <c r="A31" s="33" t="s">
        <v>253</v>
      </c>
      <c r="B31" s="132">
        <f t="shared" si="0"/>
        <v>42.719089286881854</v>
      </c>
      <c r="C31" s="133">
        <f>'1.RSP Districts '!J221+'1.RSP Districts '!J217</f>
        <v>6411665.2431565104</v>
      </c>
      <c r="D31" s="133">
        <f>'1.RSP Districts '!L221+'1.RSP Districts '!L217</f>
        <v>2739005</v>
      </c>
    </row>
    <row r="32" spans="1:4" ht="13.8" x14ac:dyDescent="0.25">
      <c r="A32" s="33" t="s">
        <v>229</v>
      </c>
      <c r="B32" s="132">
        <f t="shared" si="0"/>
        <v>66.930153431575803</v>
      </c>
      <c r="C32" s="133">
        <f>'1.RSP Districts '!J222</f>
        <v>398969.65165781637</v>
      </c>
      <c r="D32" s="133">
        <f>'1.RSP Districts '!L222</f>
        <v>267031</v>
      </c>
    </row>
    <row r="33" spans="1:5" ht="13.8" x14ac:dyDescent="0.25">
      <c r="A33" s="33" t="s">
        <v>230</v>
      </c>
      <c r="B33" s="132">
        <f t="shared" si="0"/>
        <v>69.747920669136846</v>
      </c>
      <c r="C33" s="133">
        <f>'1.RSP Districts '!J223</f>
        <v>108649.83396348439</v>
      </c>
      <c r="D33" s="133">
        <f>'1.RSP Districts '!L223</f>
        <v>75781</v>
      </c>
    </row>
    <row r="34" spans="1:5" ht="13.8" x14ac:dyDescent="0.25">
      <c r="A34" s="33" t="s">
        <v>231</v>
      </c>
      <c r="B34" s="132">
        <f t="shared" si="0"/>
        <v>1.8641076907904084</v>
      </c>
      <c r="C34" s="133">
        <f>'1.RSP Districts '!J224</f>
        <v>343649.6738707067</v>
      </c>
      <c r="D34" s="133">
        <f>'1.RSP Districts '!L224</f>
        <v>6406</v>
      </c>
    </row>
    <row r="35" spans="1:5" ht="13.8" x14ac:dyDescent="0.25">
      <c r="A35" s="134" t="s">
        <v>17</v>
      </c>
      <c r="B35" s="132">
        <f t="shared" si="0"/>
        <v>41.698334907864918</v>
      </c>
      <c r="C35" s="133">
        <f>SUM(C28:C34)</f>
        <v>12783932.528189642</v>
      </c>
      <c r="D35" s="133">
        <f>SUM(D28:D34)</f>
        <v>5330687</v>
      </c>
      <c r="E35" s="170">
        <f>D35/1000000</f>
        <v>5.3306870000000002</v>
      </c>
    </row>
    <row r="36" spans="1:5" x14ac:dyDescent="0.25">
      <c r="D36" s="100">
        <f>D35*6.5</f>
        <v>34649465.5</v>
      </c>
    </row>
    <row r="37" spans="1:5" x14ac:dyDescent="0.25">
      <c r="D37" s="170">
        <f>D36/1000000</f>
        <v>34.649465499999998</v>
      </c>
    </row>
  </sheetData>
  <phoneticPr fontId="3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256"/>
  <sheetViews>
    <sheetView tabSelected="1" view="pageBreakPreview" zoomScale="73" zoomScaleNormal="87" zoomScaleSheetLayoutView="73" workbookViewId="0">
      <pane xSplit="2" ySplit="3" topLeftCell="C210" activePane="bottomRight" state="frozen"/>
      <selection activeCell="G51" sqref="G51"/>
      <selection pane="topRight" activeCell="G51" sqref="G51"/>
      <selection pane="bottomLeft" activeCell="G51" sqref="G51"/>
      <selection pane="bottomRight" activeCell="A228" sqref="A228"/>
    </sheetView>
  </sheetViews>
  <sheetFormatPr defaultColWidth="9.109375" defaultRowHeight="13.8" x14ac:dyDescent="0.25"/>
  <cols>
    <col min="1" max="1" width="6.44140625" style="2" customWidth="1"/>
    <col min="2" max="2" width="28.88671875" style="1" bestFit="1" customWidth="1"/>
    <col min="3" max="3" width="17.6640625" style="3" bestFit="1" customWidth="1"/>
    <col min="4" max="5" width="15.5546875" style="3" customWidth="1"/>
    <col min="6" max="6" width="17.6640625" style="3" customWidth="1"/>
    <col min="7" max="7" width="15.5546875" style="3" customWidth="1"/>
    <col min="8" max="9" width="15.5546875" style="146" customWidth="1"/>
    <col min="10" max="10" width="20.88671875" style="12" customWidth="1"/>
    <col min="11" max="14" width="15.5546875" style="10" customWidth="1"/>
    <col min="15" max="17" width="15.5546875" style="12" customWidth="1"/>
    <col min="18" max="18" width="13" style="3" bestFit="1" customWidth="1"/>
    <col min="19" max="16384" width="9.109375" style="1"/>
  </cols>
  <sheetData>
    <row r="1" spans="1:19" ht="14.4" thickBot="1" x14ac:dyDescent="0.3">
      <c r="A1" s="188" t="s">
        <v>272</v>
      </c>
      <c r="B1" s="188"/>
      <c r="C1" s="188"/>
      <c r="D1" s="188"/>
      <c r="E1" s="188"/>
      <c r="F1" s="188"/>
      <c r="G1" s="188"/>
      <c r="H1" s="189"/>
      <c r="I1" s="189"/>
      <c r="J1" s="188"/>
      <c r="K1" s="188"/>
      <c r="L1" s="188"/>
      <c r="M1" s="188"/>
      <c r="N1" s="188"/>
      <c r="O1" s="188"/>
      <c r="P1" s="188"/>
      <c r="Q1" s="188"/>
      <c r="R1" s="188"/>
    </row>
    <row r="2" spans="1:19" ht="53.25" customHeight="1" x14ac:dyDescent="0.25">
      <c r="A2" s="190" t="s">
        <v>33</v>
      </c>
      <c r="B2" s="192" t="s">
        <v>34</v>
      </c>
      <c r="C2" s="192" t="s">
        <v>212</v>
      </c>
      <c r="D2" s="182" t="s">
        <v>266</v>
      </c>
      <c r="E2" s="182"/>
      <c r="F2" s="182"/>
      <c r="G2" s="183"/>
      <c r="H2" s="184" t="s">
        <v>270</v>
      </c>
      <c r="I2" s="186" t="s">
        <v>275</v>
      </c>
      <c r="J2" s="192" t="s">
        <v>36</v>
      </c>
      <c r="K2" s="182" t="s">
        <v>267</v>
      </c>
      <c r="L2" s="182"/>
      <c r="M2" s="182"/>
      <c r="N2" s="183"/>
      <c r="O2" s="192" t="s">
        <v>268</v>
      </c>
      <c r="P2" s="192"/>
      <c r="Q2" s="192"/>
      <c r="R2" s="194" t="s">
        <v>35</v>
      </c>
    </row>
    <row r="3" spans="1:19" ht="49.5" customHeight="1" thickBot="1" x14ac:dyDescent="0.3">
      <c r="A3" s="191"/>
      <c r="B3" s="193"/>
      <c r="C3" s="193"/>
      <c r="D3" s="89" t="s">
        <v>269</v>
      </c>
      <c r="E3" s="139" t="s">
        <v>273</v>
      </c>
      <c r="F3" s="89" t="s">
        <v>242</v>
      </c>
      <c r="G3" s="89" t="s">
        <v>274</v>
      </c>
      <c r="H3" s="185"/>
      <c r="I3" s="187"/>
      <c r="J3" s="193"/>
      <c r="K3" s="89" t="s">
        <v>269</v>
      </c>
      <c r="L3" s="139" t="s">
        <v>273</v>
      </c>
      <c r="M3" s="89" t="s">
        <v>242</v>
      </c>
      <c r="N3" s="89" t="s">
        <v>274</v>
      </c>
      <c r="O3" s="89" t="s">
        <v>269</v>
      </c>
      <c r="P3" s="139" t="s">
        <v>273</v>
      </c>
      <c r="Q3" s="89" t="s">
        <v>242</v>
      </c>
      <c r="R3" s="195"/>
      <c r="S3" s="1">
        <v>1</v>
      </c>
    </row>
    <row r="4" spans="1:19" ht="6.75" customHeight="1" thickBot="1" x14ac:dyDescent="0.35">
      <c r="A4" s="13"/>
      <c r="B4" s="14"/>
      <c r="C4" s="15"/>
      <c r="D4" s="15"/>
      <c r="E4" s="15"/>
      <c r="F4" s="15"/>
      <c r="G4" s="15"/>
      <c r="H4" s="15"/>
      <c r="I4" s="15"/>
      <c r="J4" s="16"/>
      <c r="K4" s="17"/>
      <c r="L4" s="17"/>
      <c r="M4" s="17"/>
      <c r="N4" s="17"/>
      <c r="O4" s="16"/>
      <c r="P4" s="16"/>
      <c r="Q4" s="16"/>
      <c r="R4" s="15"/>
      <c r="S4" s="1">
        <v>1</v>
      </c>
    </row>
    <row r="5" spans="1:19" ht="21.75" customHeight="1" x14ac:dyDescent="0.25">
      <c r="A5" s="18" t="s">
        <v>37</v>
      </c>
      <c r="B5" s="19"/>
      <c r="C5" s="20"/>
      <c r="D5" s="20"/>
      <c r="E5" s="20"/>
      <c r="F5" s="20"/>
      <c r="G5" s="20"/>
      <c r="H5" s="20"/>
      <c r="I5" s="20"/>
      <c r="J5" s="20"/>
      <c r="K5" s="21"/>
      <c r="L5" s="21"/>
      <c r="M5" s="21"/>
      <c r="N5" s="21"/>
      <c r="O5" s="20"/>
      <c r="P5" s="20"/>
      <c r="Q5" s="20"/>
      <c r="R5" s="22"/>
      <c r="S5" s="1">
        <v>1</v>
      </c>
    </row>
    <row r="6" spans="1:19" ht="14.4" thickBot="1" x14ac:dyDescent="0.3">
      <c r="A6" s="37">
        <v>1</v>
      </c>
      <c r="B6" s="38" t="s">
        <v>38</v>
      </c>
      <c r="C6" s="39">
        <v>12</v>
      </c>
      <c r="D6" s="39">
        <v>12</v>
      </c>
      <c r="E6" s="39">
        <v>12</v>
      </c>
      <c r="F6" s="140">
        <f>(E6-D6)/D6%</f>
        <v>0</v>
      </c>
      <c r="G6" s="140">
        <f>E6/C6%</f>
        <v>100</v>
      </c>
      <c r="H6" s="165">
        <v>722</v>
      </c>
      <c r="I6" s="39">
        <v>722</v>
      </c>
      <c r="J6" s="39">
        <v>43884</v>
      </c>
      <c r="K6" s="39">
        <v>21134</v>
      </c>
      <c r="L6" s="39">
        <v>25415</v>
      </c>
      <c r="M6" s="140">
        <f>(L6-K6)/K6%</f>
        <v>20.256458786789061</v>
      </c>
      <c r="N6" s="140">
        <f>L6/J6%</f>
        <v>57.914046121593294</v>
      </c>
      <c r="O6" s="39">
        <v>1317</v>
      </c>
      <c r="P6" s="39">
        <v>1535</v>
      </c>
      <c r="Q6" s="140">
        <f>(P6-O6)/O6%</f>
        <v>16.552771450265755</v>
      </c>
      <c r="R6" s="164" t="s">
        <v>5</v>
      </c>
      <c r="S6" s="1">
        <v>1</v>
      </c>
    </row>
    <row r="7" spans="1:19" s="5" customFormat="1" ht="14.4" thickBot="1" x14ac:dyDescent="0.3">
      <c r="A7" s="161">
        <f>A6</f>
        <v>1</v>
      </c>
      <c r="B7" s="163" t="s">
        <v>39</v>
      </c>
      <c r="C7" s="57">
        <f>C6</f>
        <v>12</v>
      </c>
      <c r="D7" s="57">
        <f>D6</f>
        <v>12</v>
      </c>
      <c r="E7" s="57">
        <f>E6</f>
        <v>12</v>
      </c>
      <c r="F7" s="160">
        <f>(E7-D7)/D7%</f>
        <v>0</v>
      </c>
      <c r="G7" s="160">
        <f>E7/C7%</f>
        <v>100</v>
      </c>
      <c r="H7" s="160">
        <f>H6</f>
        <v>722</v>
      </c>
      <c r="I7" s="160">
        <f>I6</f>
        <v>722</v>
      </c>
      <c r="J7" s="57">
        <f>J6</f>
        <v>43884</v>
      </c>
      <c r="K7" s="57">
        <f>K6</f>
        <v>21134</v>
      </c>
      <c r="L7" s="57">
        <f>L6</f>
        <v>25415</v>
      </c>
      <c r="M7" s="160">
        <f>(L7-K7)/K7%</f>
        <v>20.256458786789061</v>
      </c>
      <c r="N7" s="160">
        <f>L7/J7%</f>
        <v>57.914046121593294</v>
      </c>
      <c r="O7" s="57">
        <f>O6</f>
        <v>1317</v>
      </c>
      <c r="P7" s="57">
        <f>P6</f>
        <v>1535</v>
      </c>
      <c r="Q7" s="160">
        <f>(P7-O7)/O7%</f>
        <v>16.552771450265755</v>
      </c>
      <c r="R7" s="162"/>
      <c r="S7" s="1">
        <v>1</v>
      </c>
    </row>
    <row r="8" spans="1:19" ht="4.5" customHeight="1" thickBot="1" x14ac:dyDescent="0.35">
      <c r="A8" s="13"/>
      <c r="B8" s="14"/>
      <c r="C8" s="59"/>
      <c r="D8" s="28"/>
      <c r="E8" s="28"/>
      <c r="F8" s="106"/>
      <c r="G8" s="106"/>
      <c r="H8" s="106"/>
      <c r="I8" s="106"/>
      <c r="J8" s="59"/>
      <c r="K8" s="28"/>
      <c r="L8" s="28"/>
      <c r="M8" s="28"/>
      <c r="N8" s="28"/>
      <c r="O8" s="28"/>
      <c r="P8" s="28"/>
      <c r="Q8" s="28"/>
      <c r="R8" s="15"/>
      <c r="S8" s="1">
        <v>1</v>
      </c>
    </row>
    <row r="9" spans="1:19" x14ac:dyDescent="0.25">
      <c r="A9" s="18" t="s">
        <v>40</v>
      </c>
      <c r="B9" s="19"/>
      <c r="C9" s="20"/>
      <c r="D9" s="29"/>
      <c r="E9" s="29"/>
      <c r="F9" s="107"/>
      <c r="G9" s="107"/>
      <c r="H9" s="107"/>
      <c r="I9" s="107"/>
      <c r="J9" s="20"/>
      <c r="K9" s="29"/>
      <c r="L9" s="29"/>
      <c r="M9" s="29"/>
      <c r="N9" s="29"/>
      <c r="O9" s="29"/>
      <c r="P9" s="29"/>
      <c r="Q9" s="29"/>
      <c r="R9" s="22"/>
      <c r="S9" s="1">
        <v>1</v>
      </c>
    </row>
    <row r="10" spans="1:19" x14ac:dyDescent="0.25">
      <c r="A10" s="23">
        <v>1</v>
      </c>
      <c r="B10" s="24" t="s">
        <v>41</v>
      </c>
      <c r="C10" s="25">
        <v>8</v>
      </c>
      <c r="D10" s="39">
        <v>8</v>
      </c>
      <c r="E10" s="39">
        <v>8</v>
      </c>
      <c r="F10" s="105">
        <f>(E10-D10)/D10%</f>
        <v>0</v>
      </c>
      <c r="G10" s="105">
        <f>E10/C10%</f>
        <v>100</v>
      </c>
      <c r="H10" s="143">
        <v>118</v>
      </c>
      <c r="I10" s="39">
        <v>118</v>
      </c>
      <c r="J10" s="25">
        <v>22144</v>
      </c>
      <c r="K10" s="25">
        <v>9890</v>
      </c>
      <c r="L10" s="39">
        <v>9890</v>
      </c>
      <c r="M10" s="105">
        <f t="shared" ref="M10:M40" si="0">(L10-K10)/K10%</f>
        <v>0</v>
      </c>
      <c r="N10" s="105">
        <f t="shared" ref="N10:N40" si="1">L10/J10%</f>
        <v>44.662210982658962</v>
      </c>
      <c r="O10" s="25">
        <v>598</v>
      </c>
      <c r="P10" s="39">
        <v>598</v>
      </c>
      <c r="Q10" s="105">
        <f t="shared" ref="Q10:Q40" si="2">(P10-O10)/O10%</f>
        <v>0</v>
      </c>
      <c r="R10" s="27" t="s">
        <v>5</v>
      </c>
      <c r="S10" s="1">
        <v>1</v>
      </c>
    </row>
    <row r="11" spans="1:19" x14ac:dyDescent="0.25">
      <c r="A11" s="23">
        <v>2</v>
      </c>
      <c r="B11" s="24" t="s">
        <v>180</v>
      </c>
      <c r="C11" s="25">
        <v>8</v>
      </c>
      <c r="D11" s="39">
        <v>0</v>
      </c>
      <c r="E11" s="39">
        <v>0</v>
      </c>
      <c r="F11" s="105">
        <v>0</v>
      </c>
      <c r="G11" s="105">
        <f t="shared" ref="G11:G40" si="3">E11/C11%</f>
        <v>0</v>
      </c>
      <c r="H11" s="105"/>
      <c r="I11" s="105"/>
      <c r="J11" s="25">
        <v>13787</v>
      </c>
      <c r="K11" s="25">
        <v>0</v>
      </c>
      <c r="L11" s="25">
        <v>0</v>
      </c>
      <c r="M11" s="105">
        <v>0</v>
      </c>
      <c r="N11" s="105">
        <v>0</v>
      </c>
      <c r="O11" s="25">
        <v>0</v>
      </c>
      <c r="P11" s="26"/>
      <c r="Q11" s="105">
        <v>0</v>
      </c>
      <c r="R11" s="81">
        <v>0</v>
      </c>
      <c r="S11" s="1">
        <v>1</v>
      </c>
    </row>
    <row r="12" spans="1:19" x14ac:dyDescent="0.25">
      <c r="A12" s="23">
        <v>3</v>
      </c>
      <c r="B12" s="24" t="s">
        <v>42</v>
      </c>
      <c r="C12" s="25">
        <v>27</v>
      </c>
      <c r="D12" s="39">
        <v>1</v>
      </c>
      <c r="E12" s="39">
        <v>1</v>
      </c>
      <c r="F12" s="105">
        <f t="shared" ref="F12:F40" si="4">(E12-D12)/D12%</f>
        <v>0</v>
      </c>
      <c r="G12" s="105">
        <f t="shared" si="3"/>
        <v>3.7037037037037033</v>
      </c>
      <c r="H12" s="25">
        <f>'[2]1.RSP Districts '!H12</f>
        <v>6</v>
      </c>
      <c r="I12" s="39">
        <v>6</v>
      </c>
      <c r="J12" s="25">
        <v>35003</v>
      </c>
      <c r="K12" s="25">
        <v>2434</v>
      </c>
      <c r="L12" s="39">
        <v>2434</v>
      </c>
      <c r="M12" s="105">
        <f t="shared" si="0"/>
        <v>0</v>
      </c>
      <c r="N12" s="105">
        <f t="shared" si="1"/>
        <v>6.953689683741394</v>
      </c>
      <c r="O12" s="25">
        <v>109</v>
      </c>
      <c r="P12" s="39">
        <v>109</v>
      </c>
      <c r="Q12" s="105">
        <f t="shared" si="2"/>
        <v>0</v>
      </c>
      <c r="R12" s="27" t="s">
        <v>3</v>
      </c>
      <c r="S12" s="1">
        <v>1</v>
      </c>
    </row>
    <row r="13" spans="1:19" x14ac:dyDescent="0.25">
      <c r="A13" s="23">
        <v>4</v>
      </c>
      <c r="B13" s="24" t="s">
        <v>181</v>
      </c>
      <c r="C13" s="25">
        <v>10</v>
      </c>
      <c r="D13" s="39">
        <v>0</v>
      </c>
      <c r="E13" s="39">
        <v>0</v>
      </c>
      <c r="F13" s="105">
        <v>0</v>
      </c>
      <c r="G13" s="105">
        <f t="shared" si="3"/>
        <v>0</v>
      </c>
      <c r="H13" s="105"/>
      <c r="I13" s="105"/>
      <c r="J13" s="178">
        <v>13570</v>
      </c>
      <c r="K13" s="25">
        <v>0</v>
      </c>
      <c r="L13" s="25">
        <v>0</v>
      </c>
      <c r="M13" s="105">
        <v>0</v>
      </c>
      <c r="N13" s="105">
        <v>0</v>
      </c>
      <c r="O13" s="25">
        <v>0</v>
      </c>
      <c r="P13" s="26"/>
      <c r="Q13" s="105">
        <v>0</v>
      </c>
      <c r="R13" s="81">
        <v>0</v>
      </c>
      <c r="S13" s="1">
        <v>1</v>
      </c>
    </row>
    <row r="14" spans="1:19" x14ac:dyDescent="0.25">
      <c r="A14" s="23">
        <v>5</v>
      </c>
      <c r="B14" s="24" t="s">
        <v>182</v>
      </c>
      <c r="C14" s="25">
        <v>12</v>
      </c>
      <c r="D14" s="39">
        <v>0</v>
      </c>
      <c r="E14" s="39">
        <v>0</v>
      </c>
      <c r="F14" s="105">
        <v>0</v>
      </c>
      <c r="G14" s="105">
        <f t="shared" si="3"/>
        <v>0</v>
      </c>
      <c r="H14" s="105"/>
      <c r="I14" s="105"/>
      <c r="J14" s="178">
        <v>27337</v>
      </c>
      <c r="K14" s="25">
        <v>0</v>
      </c>
      <c r="L14" s="25">
        <v>0</v>
      </c>
      <c r="M14" s="105">
        <v>0</v>
      </c>
      <c r="N14" s="105">
        <v>0</v>
      </c>
      <c r="O14" s="25">
        <v>0</v>
      </c>
      <c r="P14" s="26"/>
      <c r="Q14" s="105">
        <v>0</v>
      </c>
      <c r="R14" s="81">
        <v>0</v>
      </c>
      <c r="S14" s="1">
        <v>1</v>
      </c>
    </row>
    <row r="15" spans="1:19" x14ac:dyDescent="0.25">
      <c r="A15" s="23">
        <v>6</v>
      </c>
      <c r="B15" s="24" t="s">
        <v>43</v>
      </c>
      <c r="C15" s="25">
        <v>13</v>
      </c>
      <c r="D15" s="39">
        <v>13</v>
      </c>
      <c r="E15" s="39">
        <v>13</v>
      </c>
      <c r="F15" s="105">
        <f t="shared" si="4"/>
        <v>0</v>
      </c>
      <c r="G15" s="105">
        <f t="shared" si="3"/>
        <v>100</v>
      </c>
      <c r="H15" s="143">
        <v>144</v>
      </c>
      <c r="I15" s="39">
        <v>144</v>
      </c>
      <c r="J15" s="25">
        <v>16691</v>
      </c>
      <c r="K15" s="25">
        <v>19280</v>
      </c>
      <c r="L15" s="39">
        <v>19310</v>
      </c>
      <c r="M15" s="105">
        <f t="shared" si="0"/>
        <v>0.15560165975103735</v>
      </c>
      <c r="N15" s="105">
        <f t="shared" si="1"/>
        <v>115.6910910071296</v>
      </c>
      <c r="O15" s="25">
        <v>860</v>
      </c>
      <c r="P15" s="39">
        <v>862</v>
      </c>
      <c r="Q15" s="105">
        <f t="shared" si="2"/>
        <v>0.23255813953488372</v>
      </c>
      <c r="R15" s="27" t="s">
        <v>5</v>
      </c>
      <c r="S15" s="1">
        <v>1</v>
      </c>
    </row>
    <row r="16" spans="1:19" x14ac:dyDescent="0.25">
      <c r="A16" s="23">
        <v>7</v>
      </c>
      <c r="B16" s="24" t="s">
        <v>183</v>
      </c>
      <c r="C16" s="25">
        <v>10</v>
      </c>
      <c r="D16" s="39">
        <v>0</v>
      </c>
      <c r="E16" s="39">
        <v>0</v>
      </c>
      <c r="F16" s="105">
        <v>0</v>
      </c>
      <c r="G16" s="105">
        <f t="shared" si="3"/>
        <v>0</v>
      </c>
      <c r="H16" s="105"/>
      <c r="I16" s="105"/>
      <c r="J16" s="25">
        <v>0</v>
      </c>
      <c r="K16" s="25">
        <v>0</v>
      </c>
      <c r="L16" s="25">
        <v>0</v>
      </c>
      <c r="M16" s="105">
        <v>0</v>
      </c>
      <c r="N16" s="105">
        <v>0</v>
      </c>
      <c r="O16" s="25">
        <v>0</v>
      </c>
      <c r="P16" s="26">
        <v>0</v>
      </c>
      <c r="Q16" s="105">
        <v>0</v>
      </c>
      <c r="R16" s="81">
        <v>0</v>
      </c>
      <c r="S16" s="1">
        <v>1</v>
      </c>
    </row>
    <row r="17" spans="1:19" x14ac:dyDescent="0.25">
      <c r="A17" s="23">
        <v>8</v>
      </c>
      <c r="B17" s="24" t="s">
        <v>44</v>
      </c>
      <c r="C17" s="25">
        <v>9</v>
      </c>
      <c r="D17" s="39">
        <v>9</v>
      </c>
      <c r="E17" s="39">
        <v>9</v>
      </c>
      <c r="F17" s="105">
        <f t="shared" si="4"/>
        <v>0</v>
      </c>
      <c r="G17" s="105">
        <f t="shared" si="3"/>
        <v>100</v>
      </c>
      <c r="H17" s="25">
        <f>'[2]1.RSP Districts '!H17</f>
        <v>98</v>
      </c>
      <c r="I17" s="39">
        <v>98</v>
      </c>
      <c r="J17" s="25">
        <v>16184</v>
      </c>
      <c r="K17" s="25">
        <v>9589</v>
      </c>
      <c r="L17" s="39">
        <v>9708</v>
      </c>
      <c r="M17" s="105">
        <f t="shared" si="0"/>
        <v>1.2410053185942225</v>
      </c>
      <c r="N17" s="105">
        <f t="shared" si="1"/>
        <v>59.985170538803757</v>
      </c>
      <c r="O17" s="25">
        <v>569</v>
      </c>
      <c r="P17" s="39">
        <v>577</v>
      </c>
      <c r="Q17" s="105">
        <f t="shared" si="2"/>
        <v>1.4059753954305798</v>
      </c>
      <c r="R17" s="27" t="s">
        <v>3</v>
      </c>
      <c r="S17" s="1">
        <v>1</v>
      </c>
    </row>
    <row r="18" spans="1:19" x14ac:dyDescent="0.25">
      <c r="A18" s="23">
        <v>9</v>
      </c>
      <c r="B18" s="24" t="s">
        <v>45</v>
      </c>
      <c r="C18" s="25">
        <v>46</v>
      </c>
      <c r="D18" s="39">
        <v>29</v>
      </c>
      <c r="E18" s="39">
        <v>29</v>
      </c>
      <c r="F18" s="105">
        <f t="shared" si="4"/>
        <v>0</v>
      </c>
      <c r="G18" s="105">
        <f t="shared" si="3"/>
        <v>63.043478260869563</v>
      </c>
      <c r="H18" s="25">
        <f>'[2]1.RSP Districts '!H18</f>
        <v>41</v>
      </c>
      <c r="I18" s="39">
        <v>41</v>
      </c>
      <c r="J18" s="25">
        <v>52664</v>
      </c>
      <c r="K18" s="25">
        <v>8739</v>
      </c>
      <c r="L18" s="39">
        <v>8739</v>
      </c>
      <c r="M18" s="105">
        <f t="shared" si="0"/>
        <v>0</v>
      </c>
      <c r="N18" s="105">
        <f t="shared" si="1"/>
        <v>16.593878171046637</v>
      </c>
      <c r="O18" s="25">
        <v>163</v>
      </c>
      <c r="P18" s="39">
        <v>163</v>
      </c>
      <c r="Q18" s="105">
        <f t="shared" si="2"/>
        <v>0</v>
      </c>
      <c r="R18" s="27" t="s">
        <v>3</v>
      </c>
      <c r="S18" s="1">
        <v>1</v>
      </c>
    </row>
    <row r="19" spans="1:19" x14ac:dyDescent="0.25">
      <c r="A19" s="23">
        <v>10</v>
      </c>
      <c r="B19" s="24" t="s">
        <v>46</v>
      </c>
      <c r="C19" s="25">
        <v>18</v>
      </c>
      <c r="D19" s="39">
        <v>15</v>
      </c>
      <c r="E19" s="39">
        <v>15</v>
      </c>
      <c r="F19" s="105">
        <f t="shared" si="4"/>
        <v>0</v>
      </c>
      <c r="G19" s="105">
        <f t="shared" si="3"/>
        <v>83.333333333333343</v>
      </c>
      <c r="H19" s="25">
        <f>'[2]1.RSP Districts '!H19</f>
        <v>226</v>
      </c>
      <c r="I19" s="39">
        <v>226</v>
      </c>
      <c r="J19" s="25">
        <v>31396</v>
      </c>
      <c r="K19" s="25">
        <v>28829</v>
      </c>
      <c r="L19" s="39">
        <v>28829</v>
      </c>
      <c r="M19" s="105">
        <f t="shared" si="0"/>
        <v>0</v>
      </c>
      <c r="N19" s="105">
        <f t="shared" si="1"/>
        <v>91.823799210090456</v>
      </c>
      <c r="O19" s="25">
        <v>1870</v>
      </c>
      <c r="P19" s="39">
        <v>1870</v>
      </c>
      <c r="Q19" s="105">
        <f t="shared" si="2"/>
        <v>0</v>
      </c>
      <c r="R19" s="27" t="s">
        <v>3</v>
      </c>
      <c r="S19" s="1">
        <v>1</v>
      </c>
    </row>
    <row r="20" spans="1:19" x14ac:dyDescent="0.25">
      <c r="A20" s="23">
        <v>11</v>
      </c>
      <c r="B20" s="24" t="s">
        <v>47</v>
      </c>
      <c r="C20" s="25">
        <v>38</v>
      </c>
      <c r="D20" s="39">
        <v>38</v>
      </c>
      <c r="E20" s="39">
        <v>38</v>
      </c>
      <c r="F20" s="105">
        <f t="shared" si="4"/>
        <v>0</v>
      </c>
      <c r="G20" s="105">
        <f t="shared" si="3"/>
        <v>100</v>
      </c>
      <c r="H20" s="143">
        <v>357</v>
      </c>
      <c r="I20" s="39">
        <v>357</v>
      </c>
      <c r="J20" s="25">
        <v>70164</v>
      </c>
      <c r="K20" s="25">
        <v>48560</v>
      </c>
      <c r="L20" s="39">
        <v>48560</v>
      </c>
      <c r="M20" s="105">
        <f t="shared" si="0"/>
        <v>0</v>
      </c>
      <c r="N20" s="105">
        <f t="shared" si="1"/>
        <v>69.209281112821387</v>
      </c>
      <c r="O20" s="25">
        <v>2244</v>
      </c>
      <c r="P20" s="39">
        <v>2244</v>
      </c>
      <c r="Q20" s="105">
        <f t="shared" si="2"/>
        <v>0</v>
      </c>
      <c r="R20" s="27" t="s">
        <v>5</v>
      </c>
      <c r="S20" s="1">
        <v>1</v>
      </c>
    </row>
    <row r="21" spans="1:19" x14ac:dyDescent="0.25">
      <c r="A21" s="23">
        <v>12</v>
      </c>
      <c r="B21" s="24" t="s">
        <v>48</v>
      </c>
      <c r="C21" s="25">
        <v>7</v>
      </c>
      <c r="D21" s="39">
        <v>7</v>
      </c>
      <c r="E21" s="39">
        <v>7</v>
      </c>
      <c r="F21" s="105">
        <f t="shared" si="4"/>
        <v>0</v>
      </c>
      <c r="G21" s="105">
        <f t="shared" si="3"/>
        <v>99.999999999999986</v>
      </c>
      <c r="H21" s="25">
        <f>'[2]1.RSP Districts '!H21</f>
        <v>137</v>
      </c>
      <c r="I21" s="39">
        <v>137</v>
      </c>
      <c r="J21" s="25">
        <v>14328.125</v>
      </c>
      <c r="K21" s="25">
        <v>15136</v>
      </c>
      <c r="L21" s="39">
        <v>15739</v>
      </c>
      <c r="M21" s="105">
        <f t="shared" si="0"/>
        <v>3.9838794926004226</v>
      </c>
      <c r="N21" s="105">
        <f t="shared" si="1"/>
        <v>109.84689203925845</v>
      </c>
      <c r="O21" s="25">
        <v>903</v>
      </c>
      <c r="P21" s="39">
        <v>942</v>
      </c>
      <c r="Q21" s="105">
        <f t="shared" si="2"/>
        <v>4.3189368770764123</v>
      </c>
      <c r="R21" s="27" t="s">
        <v>3</v>
      </c>
      <c r="S21" s="1">
        <v>1</v>
      </c>
    </row>
    <row r="22" spans="1:19" x14ac:dyDescent="0.25">
      <c r="A22" s="23">
        <v>13</v>
      </c>
      <c r="B22" s="24" t="s">
        <v>49</v>
      </c>
      <c r="C22" s="25">
        <v>35</v>
      </c>
      <c r="D22" s="39">
        <v>28</v>
      </c>
      <c r="E22" s="39">
        <v>28</v>
      </c>
      <c r="F22" s="105">
        <f t="shared" si="4"/>
        <v>0</v>
      </c>
      <c r="G22" s="105">
        <f t="shared" si="3"/>
        <v>80</v>
      </c>
      <c r="H22" s="25">
        <f>'[2]1.RSP Districts '!H22</f>
        <v>217</v>
      </c>
      <c r="I22" s="39">
        <v>217</v>
      </c>
      <c r="J22" s="25">
        <v>60032</v>
      </c>
      <c r="K22" s="25">
        <v>33497</v>
      </c>
      <c r="L22" s="39">
        <v>34100</v>
      </c>
      <c r="M22" s="105">
        <f t="shared" si="0"/>
        <v>1.8001612084664296</v>
      </c>
      <c r="N22" s="105">
        <f t="shared" si="1"/>
        <v>56.803038379530911</v>
      </c>
      <c r="O22" s="25">
        <v>2060</v>
      </c>
      <c r="P22" s="39">
        <v>2060</v>
      </c>
      <c r="Q22" s="105">
        <f t="shared" si="2"/>
        <v>0</v>
      </c>
      <c r="R22" s="27" t="s">
        <v>3</v>
      </c>
      <c r="S22" s="1">
        <v>1</v>
      </c>
    </row>
    <row r="23" spans="1:19" x14ac:dyDescent="0.25">
      <c r="A23" s="23">
        <v>14</v>
      </c>
      <c r="B23" s="24" t="s">
        <v>184</v>
      </c>
      <c r="C23" s="25">
        <v>25</v>
      </c>
      <c r="D23" s="39">
        <v>0</v>
      </c>
      <c r="E23" s="39">
        <v>0</v>
      </c>
      <c r="F23" s="105">
        <v>0</v>
      </c>
      <c r="G23" s="105">
        <f t="shared" si="3"/>
        <v>0</v>
      </c>
      <c r="H23" s="105"/>
      <c r="I23" s="105"/>
      <c r="J23" s="179">
        <v>44863</v>
      </c>
      <c r="K23" s="25">
        <v>0</v>
      </c>
      <c r="L23" s="25">
        <v>0</v>
      </c>
      <c r="M23" s="105">
        <v>0</v>
      </c>
      <c r="N23" s="105">
        <v>0</v>
      </c>
      <c r="O23" s="25">
        <v>0</v>
      </c>
      <c r="P23" s="26">
        <v>0</v>
      </c>
      <c r="Q23" s="105">
        <v>0</v>
      </c>
      <c r="R23" s="81">
        <v>0</v>
      </c>
      <c r="S23" s="1">
        <v>1</v>
      </c>
    </row>
    <row r="24" spans="1:19" x14ac:dyDescent="0.25">
      <c r="A24" s="23">
        <v>15</v>
      </c>
      <c r="B24" s="24" t="s">
        <v>50</v>
      </c>
      <c r="C24" s="25">
        <v>15</v>
      </c>
      <c r="D24" s="39">
        <v>13</v>
      </c>
      <c r="E24" s="39">
        <v>13</v>
      </c>
      <c r="F24" s="105">
        <f t="shared" si="4"/>
        <v>0</v>
      </c>
      <c r="G24" s="105">
        <f t="shared" si="3"/>
        <v>86.666666666666671</v>
      </c>
      <c r="H24" s="25">
        <f>'[2]1.RSP Districts '!H24</f>
        <v>131</v>
      </c>
      <c r="I24" s="39">
        <v>131</v>
      </c>
      <c r="J24" s="25">
        <v>28796</v>
      </c>
      <c r="K24" s="25">
        <v>19117</v>
      </c>
      <c r="L24" s="39">
        <v>19117</v>
      </c>
      <c r="M24" s="105">
        <f t="shared" si="0"/>
        <v>0</v>
      </c>
      <c r="N24" s="105">
        <f t="shared" si="1"/>
        <v>66.387692735102107</v>
      </c>
      <c r="O24" s="25">
        <v>1220</v>
      </c>
      <c r="P24" s="39">
        <v>1220</v>
      </c>
      <c r="Q24" s="105">
        <f t="shared" si="2"/>
        <v>0</v>
      </c>
      <c r="R24" s="27" t="s">
        <v>3</v>
      </c>
      <c r="S24" s="1">
        <v>1</v>
      </c>
    </row>
    <row r="25" spans="1:19" x14ac:dyDescent="0.25">
      <c r="A25" s="23">
        <v>16</v>
      </c>
      <c r="B25" s="24" t="s">
        <v>185</v>
      </c>
      <c r="C25" s="25">
        <v>8</v>
      </c>
      <c r="D25" s="39">
        <v>0</v>
      </c>
      <c r="E25" s="39">
        <v>0</v>
      </c>
      <c r="F25" s="105">
        <v>0</v>
      </c>
      <c r="G25" s="105">
        <f t="shared" si="3"/>
        <v>0</v>
      </c>
      <c r="H25" s="105"/>
      <c r="I25" s="105"/>
      <c r="J25" s="178">
        <v>15156</v>
      </c>
      <c r="K25" s="25">
        <v>0</v>
      </c>
      <c r="L25" s="25">
        <v>0</v>
      </c>
      <c r="M25" s="105">
        <v>0</v>
      </c>
      <c r="N25" s="105">
        <v>0</v>
      </c>
      <c r="O25" s="25">
        <v>0</v>
      </c>
      <c r="P25" s="26">
        <v>0</v>
      </c>
      <c r="Q25" s="105">
        <v>0</v>
      </c>
      <c r="R25" s="27"/>
      <c r="S25" s="1">
        <v>1</v>
      </c>
    </row>
    <row r="26" spans="1:19" x14ac:dyDescent="0.25">
      <c r="A26" s="23">
        <v>17</v>
      </c>
      <c r="B26" s="24" t="s">
        <v>51</v>
      </c>
      <c r="C26" s="25">
        <v>22</v>
      </c>
      <c r="D26" s="39">
        <v>0</v>
      </c>
      <c r="E26" s="39">
        <v>0</v>
      </c>
      <c r="F26" s="105">
        <v>0</v>
      </c>
      <c r="G26" s="105">
        <f t="shared" si="3"/>
        <v>0</v>
      </c>
      <c r="H26" s="143">
        <v>288</v>
      </c>
      <c r="I26" s="39">
        <v>288</v>
      </c>
      <c r="J26" s="25">
        <v>34637</v>
      </c>
      <c r="K26" s="25">
        <v>1739</v>
      </c>
      <c r="L26" s="39">
        <v>1739</v>
      </c>
      <c r="M26" s="105">
        <v>0</v>
      </c>
      <c r="N26" s="105">
        <f t="shared" si="1"/>
        <v>5.0206426653578546</v>
      </c>
      <c r="O26" s="25">
        <v>103</v>
      </c>
      <c r="P26" s="39">
        <v>103</v>
      </c>
      <c r="Q26" s="105">
        <v>0</v>
      </c>
      <c r="R26" s="27" t="s">
        <v>5</v>
      </c>
      <c r="S26" s="1">
        <v>1</v>
      </c>
    </row>
    <row r="27" spans="1:19" x14ac:dyDescent="0.25">
      <c r="A27" s="23">
        <v>18</v>
      </c>
      <c r="B27" s="24" t="s">
        <v>186</v>
      </c>
      <c r="C27" s="25">
        <v>20</v>
      </c>
      <c r="D27" s="39">
        <v>20</v>
      </c>
      <c r="E27" s="39">
        <v>20</v>
      </c>
      <c r="F27" s="105">
        <f t="shared" si="4"/>
        <v>0</v>
      </c>
      <c r="G27" s="105">
        <f t="shared" si="3"/>
        <v>100</v>
      </c>
      <c r="H27" s="25">
        <f>'[2]1.RSP Districts '!H27</f>
        <v>20</v>
      </c>
      <c r="I27" s="39">
        <v>20</v>
      </c>
      <c r="J27" s="178">
        <v>39770</v>
      </c>
      <c r="K27" s="25">
        <v>2588</v>
      </c>
      <c r="L27" s="39">
        <v>2588</v>
      </c>
      <c r="M27" s="105">
        <f t="shared" si="0"/>
        <v>0</v>
      </c>
      <c r="N27" s="105">
        <f t="shared" si="1"/>
        <v>6.5074176514961026</v>
      </c>
      <c r="O27" s="25">
        <v>134</v>
      </c>
      <c r="P27" s="39">
        <v>134</v>
      </c>
      <c r="Q27" s="105">
        <f t="shared" si="2"/>
        <v>0</v>
      </c>
      <c r="R27" s="81" t="s">
        <v>3</v>
      </c>
      <c r="S27" s="1">
        <v>1</v>
      </c>
    </row>
    <row r="28" spans="1:19" x14ac:dyDescent="0.25">
      <c r="A28" s="23">
        <v>19</v>
      </c>
      <c r="B28" s="24" t="s">
        <v>52</v>
      </c>
      <c r="C28" s="25">
        <v>13</v>
      </c>
      <c r="D28" s="39">
        <v>13</v>
      </c>
      <c r="E28" s="39">
        <v>13</v>
      </c>
      <c r="F28" s="105">
        <f t="shared" si="4"/>
        <v>0</v>
      </c>
      <c r="G28" s="105">
        <f t="shared" si="3"/>
        <v>100</v>
      </c>
      <c r="H28" s="25">
        <f>'[2]1.RSP Districts '!H28</f>
        <v>82</v>
      </c>
      <c r="I28" s="39">
        <v>82</v>
      </c>
      <c r="J28" s="25">
        <v>18831</v>
      </c>
      <c r="K28" s="25">
        <v>18831</v>
      </c>
      <c r="L28" s="39">
        <v>18831</v>
      </c>
      <c r="M28" s="105">
        <f t="shared" si="0"/>
        <v>0</v>
      </c>
      <c r="N28" s="105">
        <f t="shared" si="1"/>
        <v>100</v>
      </c>
      <c r="O28" s="25">
        <v>1389</v>
      </c>
      <c r="P28" s="39">
        <v>1389</v>
      </c>
      <c r="Q28" s="105">
        <f t="shared" si="2"/>
        <v>0</v>
      </c>
      <c r="R28" s="27" t="s">
        <v>3</v>
      </c>
      <c r="S28" s="1">
        <v>1</v>
      </c>
    </row>
    <row r="29" spans="1:19" x14ac:dyDescent="0.25">
      <c r="A29" s="23">
        <v>20</v>
      </c>
      <c r="B29" s="24" t="s">
        <v>187</v>
      </c>
      <c r="C29" s="25">
        <v>10</v>
      </c>
      <c r="D29" s="39">
        <v>0</v>
      </c>
      <c r="E29" s="39">
        <v>0</v>
      </c>
      <c r="F29" s="105">
        <v>0</v>
      </c>
      <c r="G29" s="105">
        <f t="shared" si="3"/>
        <v>0</v>
      </c>
      <c r="H29" s="105"/>
      <c r="I29" s="105"/>
      <c r="J29" s="178">
        <v>19126</v>
      </c>
      <c r="K29" s="25">
        <v>0</v>
      </c>
      <c r="L29" s="25">
        <v>0</v>
      </c>
      <c r="M29" s="105">
        <v>0</v>
      </c>
      <c r="N29" s="105">
        <v>0</v>
      </c>
      <c r="O29" s="25">
        <v>0</v>
      </c>
      <c r="P29" s="26">
        <v>0</v>
      </c>
      <c r="Q29" s="105">
        <v>0</v>
      </c>
      <c r="R29" s="81">
        <v>0</v>
      </c>
      <c r="S29" s="1">
        <v>1</v>
      </c>
    </row>
    <row r="30" spans="1:19" x14ac:dyDescent="0.25">
      <c r="A30" s="23">
        <v>21</v>
      </c>
      <c r="B30" s="24" t="s">
        <v>188</v>
      </c>
      <c r="C30" s="25">
        <v>24</v>
      </c>
      <c r="D30" s="39">
        <v>0</v>
      </c>
      <c r="E30" s="39">
        <v>0</v>
      </c>
      <c r="F30" s="105">
        <v>0</v>
      </c>
      <c r="G30" s="105">
        <f t="shared" si="3"/>
        <v>0</v>
      </c>
      <c r="H30" s="105"/>
      <c r="I30" s="105"/>
      <c r="J30" s="178">
        <v>34981</v>
      </c>
      <c r="K30" s="25">
        <v>0</v>
      </c>
      <c r="L30" s="25">
        <v>0</v>
      </c>
      <c r="M30" s="105">
        <v>0</v>
      </c>
      <c r="N30" s="105">
        <v>0</v>
      </c>
      <c r="O30" s="25">
        <v>0</v>
      </c>
      <c r="P30" s="26">
        <v>0</v>
      </c>
      <c r="Q30" s="105">
        <v>0</v>
      </c>
      <c r="R30" s="81">
        <v>0</v>
      </c>
      <c r="S30" s="1">
        <v>1</v>
      </c>
    </row>
    <row r="31" spans="1:19" x14ac:dyDescent="0.25">
      <c r="A31" s="23">
        <v>22</v>
      </c>
      <c r="B31" s="24" t="s">
        <v>189</v>
      </c>
      <c r="C31" s="25">
        <v>10</v>
      </c>
      <c r="D31" s="39">
        <v>0</v>
      </c>
      <c r="E31" s="39">
        <v>1</v>
      </c>
      <c r="F31" s="105" t="e">
        <f t="shared" si="4"/>
        <v>#DIV/0!</v>
      </c>
      <c r="G31" s="105">
        <f t="shared" si="3"/>
        <v>10</v>
      </c>
      <c r="H31" s="105"/>
      <c r="I31" s="39">
        <v>4</v>
      </c>
      <c r="J31" s="178">
        <v>13570</v>
      </c>
      <c r="K31" s="25">
        <v>0</v>
      </c>
      <c r="L31" s="39">
        <v>65</v>
      </c>
      <c r="M31" s="105">
        <v>0</v>
      </c>
      <c r="N31" s="105">
        <v>0</v>
      </c>
      <c r="O31" s="25">
        <v>0</v>
      </c>
      <c r="P31" s="39">
        <v>4</v>
      </c>
      <c r="Q31" s="105">
        <v>0</v>
      </c>
      <c r="R31" s="27" t="s">
        <v>3</v>
      </c>
      <c r="S31" s="1">
        <v>1</v>
      </c>
    </row>
    <row r="32" spans="1:19" x14ac:dyDescent="0.25">
      <c r="A32" s="23">
        <v>23</v>
      </c>
      <c r="B32" s="24" t="s">
        <v>53</v>
      </c>
      <c r="C32" s="25">
        <v>16</v>
      </c>
      <c r="D32" s="39">
        <v>16</v>
      </c>
      <c r="E32" s="39">
        <v>16</v>
      </c>
      <c r="F32" s="105">
        <f t="shared" si="4"/>
        <v>0</v>
      </c>
      <c r="G32" s="105">
        <f t="shared" si="3"/>
        <v>100</v>
      </c>
      <c r="H32" s="143">
        <v>117</v>
      </c>
      <c r="I32" s="39">
        <v>117</v>
      </c>
      <c r="J32" s="25">
        <v>35703</v>
      </c>
      <c r="K32" s="25">
        <v>16949</v>
      </c>
      <c r="L32" s="39">
        <v>16949</v>
      </c>
      <c r="M32" s="105">
        <f t="shared" si="0"/>
        <v>0</v>
      </c>
      <c r="N32" s="105">
        <f t="shared" si="1"/>
        <v>47.472201215584128</v>
      </c>
      <c r="O32" s="25">
        <v>1042</v>
      </c>
      <c r="P32" s="39">
        <v>1042</v>
      </c>
      <c r="Q32" s="105">
        <f t="shared" si="2"/>
        <v>0</v>
      </c>
      <c r="R32" s="27" t="s">
        <v>5</v>
      </c>
      <c r="S32" s="1">
        <v>1</v>
      </c>
    </row>
    <row r="33" spans="1:19" x14ac:dyDescent="0.25">
      <c r="A33" s="23">
        <v>24</v>
      </c>
      <c r="B33" s="24" t="s">
        <v>54</v>
      </c>
      <c r="C33" s="25">
        <v>38</v>
      </c>
      <c r="D33" s="39">
        <v>35</v>
      </c>
      <c r="E33" s="39">
        <v>35</v>
      </c>
      <c r="F33" s="105">
        <f t="shared" si="4"/>
        <v>0</v>
      </c>
      <c r="G33" s="105">
        <f t="shared" si="3"/>
        <v>92.10526315789474</v>
      </c>
      <c r="H33" s="25">
        <f>'[2]1.RSP Districts '!H33</f>
        <v>197</v>
      </c>
      <c r="I33" s="39">
        <v>197</v>
      </c>
      <c r="J33" s="25">
        <v>55654</v>
      </c>
      <c r="K33" s="25">
        <v>20533</v>
      </c>
      <c r="L33" s="39">
        <v>22340</v>
      </c>
      <c r="M33" s="105">
        <f t="shared" si="0"/>
        <v>8.8004675400574683</v>
      </c>
      <c r="N33" s="105">
        <f t="shared" si="1"/>
        <v>40.140870377690732</v>
      </c>
      <c r="O33" s="25">
        <v>1298</v>
      </c>
      <c r="P33" s="39">
        <v>1459</v>
      </c>
      <c r="Q33" s="105">
        <f t="shared" si="2"/>
        <v>12.403697996918336</v>
      </c>
      <c r="R33" s="27" t="s">
        <v>3</v>
      </c>
      <c r="S33" s="1">
        <v>1</v>
      </c>
    </row>
    <row r="34" spans="1:19" x14ac:dyDescent="0.25">
      <c r="A34" s="23">
        <v>25</v>
      </c>
      <c r="B34" s="24" t="s">
        <v>193</v>
      </c>
      <c r="C34" s="25">
        <v>47</v>
      </c>
      <c r="D34" s="39">
        <v>5</v>
      </c>
      <c r="E34" s="39">
        <v>5</v>
      </c>
      <c r="F34" s="105">
        <f t="shared" si="4"/>
        <v>0</v>
      </c>
      <c r="G34" s="105">
        <f t="shared" si="3"/>
        <v>10.638297872340425</v>
      </c>
      <c r="H34" s="25">
        <f>'[2]1.RSP Districts '!H34</f>
        <v>0</v>
      </c>
      <c r="I34" s="39">
        <v>0</v>
      </c>
      <c r="J34" s="178">
        <v>25232</v>
      </c>
      <c r="K34" s="25">
        <v>939</v>
      </c>
      <c r="L34" s="39">
        <v>939</v>
      </c>
      <c r="M34" s="105">
        <f t="shared" si="0"/>
        <v>0</v>
      </c>
      <c r="N34" s="105">
        <f t="shared" si="1"/>
        <v>3.7214648065948004</v>
      </c>
      <c r="O34" s="25">
        <v>88</v>
      </c>
      <c r="P34" s="39">
        <v>88</v>
      </c>
      <c r="Q34" s="105">
        <f t="shared" si="2"/>
        <v>0</v>
      </c>
      <c r="R34" s="81" t="s">
        <v>3</v>
      </c>
      <c r="S34" s="1">
        <v>1</v>
      </c>
    </row>
    <row r="35" spans="1:19" x14ac:dyDescent="0.25">
      <c r="A35" s="23">
        <v>26</v>
      </c>
      <c r="B35" s="24" t="s">
        <v>55</v>
      </c>
      <c r="C35" s="25">
        <v>7</v>
      </c>
      <c r="D35" s="39">
        <v>7</v>
      </c>
      <c r="E35" s="39">
        <v>7</v>
      </c>
      <c r="F35" s="105">
        <f t="shared" si="4"/>
        <v>0</v>
      </c>
      <c r="G35" s="105">
        <f t="shared" si="3"/>
        <v>99.999999999999986</v>
      </c>
      <c r="H35" s="25">
        <f>'[2]1.RSP Districts '!H35</f>
        <v>38</v>
      </c>
      <c r="I35" s="39">
        <v>38</v>
      </c>
      <c r="J35" s="25">
        <v>10608.311688311687</v>
      </c>
      <c r="K35" s="25">
        <v>2520</v>
      </c>
      <c r="L35" s="39">
        <v>2520</v>
      </c>
      <c r="M35" s="105">
        <f t="shared" si="0"/>
        <v>0</v>
      </c>
      <c r="N35" s="105">
        <f t="shared" si="1"/>
        <v>23.754958131335393</v>
      </c>
      <c r="O35" s="25">
        <v>118</v>
      </c>
      <c r="P35" s="39">
        <v>118</v>
      </c>
      <c r="Q35" s="105">
        <f t="shared" si="2"/>
        <v>0</v>
      </c>
      <c r="R35" s="27" t="s">
        <v>3</v>
      </c>
      <c r="S35" s="1">
        <v>1</v>
      </c>
    </row>
    <row r="36" spans="1:19" x14ac:dyDescent="0.25">
      <c r="A36" s="23">
        <v>27</v>
      </c>
      <c r="B36" s="24" t="s">
        <v>190</v>
      </c>
      <c r="C36" s="25">
        <v>11</v>
      </c>
      <c r="D36" s="39">
        <v>0</v>
      </c>
      <c r="E36" s="39">
        <v>0</v>
      </c>
      <c r="F36" s="105">
        <v>0</v>
      </c>
      <c r="G36" s="105">
        <f t="shared" si="3"/>
        <v>0</v>
      </c>
      <c r="H36" s="105"/>
      <c r="I36" s="105"/>
      <c r="J36" s="178">
        <v>19815</v>
      </c>
      <c r="K36" s="25">
        <v>0</v>
      </c>
      <c r="L36" s="25">
        <v>0</v>
      </c>
      <c r="M36" s="105">
        <v>0</v>
      </c>
      <c r="N36" s="105">
        <v>0</v>
      </c>
      <c r="O36" s="25">
        <v>0</v>
      </c>
      <c r="P36" s="26">
        <v>0</v>
      </c>
      <c r="Q36" s="105">
        <v>0</v>
      </c>
      <c r="R36" s="81">
        <v>0</v>
      </c>
      <c r="S36" s="1">
        <v>1</v>
      </c>
    </row>
    <row r="37" spans="1:19" x14ac:dyDescent="0.25">
      <c r="A37" s="23">
        <v>28</v>
      </c>
      <c r="B37" s="24" t="s">
        <v>191</v>
      </c>
      <c r="C37" s="25">
        <v>9</v>
      </c>
      <c r="D37" s="39">
        <v>0</v>
      </c>
      <c r="E37" s="39">
        <v>0</v>
      </c>
      <c r="F37" s="105">
        <v>0</v>
      </c>
      <c r="G37" s="105">
        <f t="shared" si="3"/>
        <v>0</v>
      </c>
      <c r="H37" s="105"/>
      <c r="I37" s="105"/>
      <c r="J37" s="178">
        <v>18421.875</v>
      </c>
      <c r="K37" s="25">
        <v>0</v>
      </c>
      <c r="L37" s="25">
        <v>0</v>
      </c>
      <c r="M37" s="105">
        <v>0</v>
      </c>
      <c r="N37" s="105">
        <v>0</v>
      </c>
      <c r="O37" s="25">
        <v>0</v>
      </c>
      <c r="P37" s="26">
        <v>0</v>
      </c>
      <c r="Q37" s="105">
        <v>0</v>
      </c>
      <c r="R37" s="81">
        <v>0</v>
      </c>
      <c r="S37" s="1">
        <v>1</v>
      </c>
    </row>
    <row r="38" spans="1:19" x14ac:dyDescent="0.25">
      <c r="A38" s="23">
        <v>29</v>
      </c>
      <c r="B38" s="24" t="s">
        <v>56</v>
      </c>
      <c r="C38" s="25">
        <v>21</v>
      </c>
      <c r="D38" s="39">
        <v>21</v>
      </c>
      <c r="E38" s="39">
        <v>21</v>
      </c>
      <c r="F38" s="105">
        <f t="shared" si="4"/>
        <v>0</v>
      </c>
      <c r="G38" s="105">
        <f t="shared" si="3"/>
        <v>100</v>
      </c>
      <c r="H38" s="25">
        <f>'[2]1.RSP Districts '!H38</f>
        <v>141</v>
      </c>
      <c r="I38" s="39">
        <v>141</v>
      </c>
      <c r="J38" s="25">
        <v>21117.688311688311</v>
      </c>
      <c r="K38" s="25">
        <v>20612</v>
      </c>
      <c r="L38" s="39">
        <v>21125</v>
      </c>
      <c r="M38" s="105">
        <f t="shared" si="0"/>
        <v>2.4888414515816031</v>
      </c>
      <c r="N38" s="105">
        <f t="shared" si="1"/>
        <v>100.03462352604021</v>
      </c>
      <c r="O38" s="25">
        <v>1197</v>
      </c>
      <c r="P38" s="39">
        <v>1227</v>
      </c>
      <c r="Q38" s="105">
        <f t="shared" si="2"/>
        <v>2.5062656641604009</v>
      </c>
      <c r="R38" s="27" t="s">
        <v>3</v>
      </c>
      <c r="S38" s="1">
        <v>1</v>
      </c>
    </row>
    <row r="39" spans="1:19" ht="14.4" thickBot="1" x14ac:dyDescent="0.3">
      <c r="A39" s="37">
        <v>30</v>
      </c>
      <c r="B39" s="38" t="s">
        <v>192</v>
      </c>
      <c r="C39" s="39">
        <v>10</v>
      </c>
      <c r="D39" s="39">
        <v>0</v>
      </c>
      <c r="E39" s="39">
        <v>0</v>
      </c>
      <c r="F39" s="140">
        <v>0</v>
      </c>
      <c r="G39" s="140">
        <f t="shared" si="3"/>
        <v>0</v>
      </c>
      <c r="H39" s="140"/>
      <c r="I39" s="140"/>
      <c r="J39" s="178">
        <v>4609</v>
      </c>
      <c r="K39" s="25">
        <v>0</v>
      </c>
      <c r="L39" s="39">
        <v>0</v>
      </c>
      <c r="M39" s="140">
        <v>0</v>
      </c>
      <c r="N39" s="140">
        <v>0</v>
      </c>
      <c r="O39" s="25">
        <v>0</v>
      </c>
      <c r="P39" s="41">
        <v>0</v>
      </c>
      <c r="Q39" s="140">
        <v>0</v>
      </c>
      <c r="R39" s="90">
        <v>0</v>
      </c>
      <c r="S39" s="1">
        <v>1</v>
      </c>
    </row>
    <row r="40" spans="1:19" s="5" customFormat="1" ht="14.4" thickBot="1" x14ac:dyDescent="0.3">
      <c r="A40" s="159">
        <f>COUNTIF(R10:R39,"*")</f>
        <v>19</v>
      </c>
      <c r="B40" s="158" t="s">
        <v>39</v>
      </c>
      <c r="C40" s="57">
        <f>SUM(C10:C39)</f>
        <v>547</v>
      </c>
      <c r="D40" s="57">
        <f>SUM(D10:D39)</f>
        <v>278</v>
      </c>
      <c r="E40" s="57">
        <f>SUM(E10:E39)</f>
        <v>279</v>
      </c>
      <c r="F40" s="160">
        <f t="shared" si="4"/>
        <v>0.35971223021582738</v>
      </c>
      <c r="G40" s="160">
        <f t="shared" si="3"/>
        <v>51.005484460694703</v>
      </c>
      <c r="H40" s="160">
        <f>SUM(H10:H39)</f>
        <v>2358</v>
      </c>
      <c r="I40" s="160">
        <f>SUM(I10:I39)</f>
        <v>2362</v>
      </c>
      <c r="J40" s="57">
        <f>SUM(J10:J39)</f>
        <v>814191</v>
      </c>
      <c r="K40" s="57">
        <f>SUM(K10:K39)</f>
        <v>279782</v>
      </c>
      <c r="L40" s="57">
        <f>SUM(L10:L39)</f>
        <v>283522</v>
      </c>
      <c r="M40" s="160">
        <f t="shared" si="0"/>
        <v>1.3367550449993209</v>
      </c>
      <c r="N40" s="160">
        <f t="shared" si="1"/>
        <v>34.822541639492457</v>
      </c>
      <c r="O40" s="57">
        <f>SUM(O10:O39)</f>
        <v>15965</v>
      </c>
      <c r="P40" s="57">
        <f>SUM(P10:P39)</f>
        <v>16209</v>
      </c>
      <c r="Q40" s="160">
        <f t="shared" si="2"/>
        <v>1.5283432508612589</v>
      </c>
      <c r="R40" s="162"/>
      <c r="S40" s="1">
        <v>1</v>
      </c>
    </row>
    <row r="41" spans="1:19" ht="5.25" customHeight="1" thickBot="1" x14ac:dyDescent="0.35">
      <c r="A41" s="91"/>
      <c r="B41" s="92"/>
      <c r="C41" s="46"/>
      <c r="D41" s="46"/>
      <c r="E41" s="46"/>
      <c r="F41" s="108"/>
      <c r="G41" s="108"/>
      <c r="H41" s="108"/>
      <c r="I41" s="108"/>
      <c r="J41" s="46"/>
      <c r="K41" s="46"/>
      <c r="L41" s="46"/>
      <c r="M41" s="46"/>
      <c r="N41" s="46"/>
      <c r="O41" s="46"/>
      <c r="P41" s="46"/>
      <c r="Q41" s="46"/>
      <c r="R41" s="93"/>
      <c r="S41" s="1">
        <v>1</v>
      </c>
    </row>
    <row r="42" spans="1:19" s="6" customFormat="1" x14ac:dyDescent="0.25">
      <c r="A42" s="18" t="s">
        <v>57</v>
      </c>
      <c r="B42" s="19"/>
      <c r="C42" s="20"/>
      <c r="D42" s="29"/>
      <c r="E42" s="29"/>
      <c r="F42" s="107"/>
      <c r="G42" s="107"/>
      <c r="H42" s="107"/>
      <c r="I42" s="107"/>
      <c r="J42" s="20"/>
      <c r="K42" s="29"/>
      <c r="L42" s="29"/>
      <c r="M42" s="29"/>
      <c r="N42" s="29"/>
      <c r="O42" s="29"/>
      <c r="P42" s="29"/>
      <c r="Q42" s="29"/>
      <c r="R42" s="22"/>
      <c r="S42" s="1">
        <v>1</v>
      </c>
    </row>
    <row r="43" spans="1:19" x14ac:dyDescent="0.25">
      <c r="A43" s="23">
        <v>1</v>
      </c>
      <c r="B43" s="24" t="s">
        <v>58</v>
      </c>
      <c r="C43" s="25">
        <v>51</v>
      </c>
      <c r="D43" s="25">
        <v>51</v>
      </c>
      <c r="E43" s="25">
        <v>51</v>
      </c>
      <c r="F43" s="105">
        <f t="shared" ref="F43:F76" si="5">(E43-D43)/D43%</f>
        <v>0</v>
      </c>
      <c r="G43" s="105">
        <f t="shared" ref="G43:G76" si="6">E43/C43%</f>
        <v>100</v>
      </c>
      <c r="H43" s="25">
        <f>'[3]1.RSP Districts '!H43</f>
        <v>189</v>
      </c>
      <c r="I43" s="25">
        <v>189</v>
      </c>
      <c r="J43" s="25">
        <v>115585</v>
      </c>
      <c r="K43" s="25">
        <v>46600</v>
      </c>
      <c r="L43" s="25">
        <v>48996</v>
      </c>
      <c r="M43" s="105">
        <f t="shared" ref="M43:M76" si="7">(L43-K43)/K43%</f>
        <v>5.1416309012875541</v>
      </c>
      <c r="N43" s="105">
        <f t="shared" ref="N43:N76" si="8">L43/J43%</f>
        <v>42.389583423454603</v>
      </c>
      <c r="O43" s="25">
        <v>1538</v>
      </c>
      <c r="P43" s="25">
        <v>1650</v>
      </c>
      <c r="Q43" s="105">
        <f t="shared" ref="Q43:Q76" si="9">(P43-O43)/O43%</f>
        <v>7.2821846553966187</v>
      </c>
      <c r="R43" s="27" t="s">
        <v>9</v>
      </c>
      <c r="S43" s="1">
        <v>1</v>
      </c>
    </row>
    <row r="44" spans="1:19" x14ac:dyDescent="0.25">
      <c r="A44" s="23">
        <v>2</v>
      </c>
      <c r="B44" s="24" t="s">
        <v>206</v>
      </c>
      <c r="C44" s="25">
        <v>49</v>
      </c>
      <c r="D44" s="25">
        <v>0</v>
      </c>
      <c r="E44" s="25"/>
      <c r="F44" s="105">
        <v>0</v>
      </c>
      <c r="G44" s="105">
        <f t="shared" si="6"/>
        <v>0</v>
      </c>
      <c r="H44" s="105"/>
      <c r="I44" s="105"/>
      <c r="J44" s="178">
        <v>65010</v>
      </c>
      <c r="K44" s="25">
        <v>0</v>
      </c>
      <c r="L44" s="25">
        <v>0</v>
      </c>
      <c r="M44" s="105">
        <v>0</v>
      </c>
      <c r="N44" s="105">
        <v>0</v>
      </c>
      <c r="O44" s="25">
        <v>0</v>
      </c>
      <c r="P44" s="26"/>
      <c r="Q44" s="105">
        <v>0</v>
      </c>
      <c r="R44" s="81">
        <v>0</v>
      </c>
      <c r="S44" s="1">
        <v>1</v>
      </c>
    </row>
    <row r="45" spans="1:19" x14ac:dyDescent="0.25">
      <c r="A45" s="23">
        <v>3</v>
      </c>
      <c r="B45" s="24" t="s">
        <v>59</v>
      </c>
      <c r="C45" s="25">
        <v>20</v>
      </c>
      <c r="D45" s="25">
        <v>20</v>
      </c>
      <c r="E45" s="25">
        <v>20</v>
      </c>
      <c r="F45" s="105">
        <f t="shared" si="5"/>
        <v>0</v>
      </c>
      <c r="G45" s="105">
        <f t="shared" si="6"/>
        <v>100</v>
      </c>
      <c r="H45" s="25">
        <f>'[3]1.RSP Districts '!H45</f>
        <v>104</v>
      </c>
      <c r="I45" s="25">
        <v>104</v>
      </c>
      <c r="J45" s="25">
        <v>46053</v>
      </c>
      <c r="K45" s="25">
        <v>35889</v>
      </c>
      <c r="L45" s="25">
        <v>36501</v>
      </c>
      <c r="M45" s="105">
        <f t="shared" si="7"/>
        <v>1.7052578784585808</v>
      </c>
      <c r="N45" s="105">
        <f t="shared" si="8"/>
        <v>79.258680216272566</v>
      </c>
      <c r="O45" s="25">
        <v>1462</v>
      </c>
      <c r="P45" s="25">
        <v>1496</v>
      </c>
      <c r="Q45" s="105">
        <f t="shared" si="9"/>
        <v>2.3255813953488373</v>
      </c>
      <c r="R45" s="27" t="s">
        <v>9</v>
      </c>
      <c r="S45" s="1">
        <v>1</v>
      </c>
    </row>
    <row r="46" spans="1:19" x14ac:dyDescent="0.25">
      <c r="A46" s="23">
        <v>4</v>
      </c>
      <c r="B46" s="24" t="s">
        <v>60</v>
      </c>
      <c r="C46" s="25">
        <v>27</v>
      </c>
      <c r="D46" s="25">
        <v>5</v>
      </c>
      <c r="E46" s="39">
        <v>5</v>
      </c>
      <c r="F46" s="105">
        <f t="shared" si="5"/>
        <v>0</v>
      </c>
      <c r="G46" s="105">
        <f t="shared" si="6"/>
        <v>18.518518518518519</v>
      </c>
      <c r="H46" s="143">
        <v>167</v>
      </c>
      <c r="I46" s="39">
        <v>167</v>
      </c>
      <c r="J46" s="25">
        <v>56591</v>
      </c>
      <c r="K46" s="25">
        <v>269</v>
      </c>
      <c r="L46" s="39">
        <v>269</v>
      </c>
      <c r="M46" s="105">
        <f t="shared" si="7"/>
        <v>0</v>
      </c>
      <c r="N46" s="105">
        <f t="shared" si="8"/>
        <v>0.475340601862487</v>
      </c>
      <c r="O46" s="25">
        <v>19</v>
      </c>
      <c r="P46" s="39">
        <v>19</v>
      </c>
      <c r="Q46" s="105">
        <f t="shared" si="9"/>
        <v>0</v>
      </c>
      <c r="R46" s="27" t="s">
        <v>5</v>
      </c>
      <c r="S46" s="1">
        <v>1</v>
      </c>
    </row>
    <row r="47" spans="1:19" x14ac:dyDescent="0.25">
      <c r="A47" s="23">
        <v>4</v>
      </c>
      <c r="B47" s="24" t="s">
        <v>61</v>
      </c>
      <c r="C47" s="25">
        <v>27</v>
      </c>
      <c r="D47" s="25">
        <v>15</v>
      </c>
      <c r="E47" s="25">
        <v>21</v>
      </c>
      <c r="F47" s="105">
        <f t="shared" si="5"/>
        <v>40</v>
      </c>
      <c r="G47" s="105">
        <f t="shared" si="6"/>
        <v>77.777777777777771</v>
      </c>
      <c r="H47" s="25">
        <f>'[3]1.RSP Districts '!H47</f>
        <v>54</v>
      </c>
      <c r="I47" s="25">
        <v>54</v>
      </c>
      <c r="J47" s="25">
        <v>56591</v>
      </c>
      <c r="K47" s="25">
        <v>3383</v>
      </c>
      <c r="L47" s="25">
        <v>3733</v>
      </c>
      <c r="M47" s="105">
        <f t="shared" si="7"/>
        <v>10.345846881466155</v>
      </c>
      <c r="N47" s="105">
        <f t="shared" si="8"/>
        <v>6.5964552667385279</v>
      </c>
      <c r="O47" s="25">
        <v>151</v>
      </c>
      <c r="P47" s="25">
        <v>165</v>
      </c>
      <c r="Q47" s="105">
        <f t="shared" si="9"/>
        <v>9.2715231788079464</v>
      </c>
      <c r="R47" s="27" t="s">
        <v>9</v>
      </c>
      <c r="S47" s="1">
        <v>1</v>
      </c>
    </row>
    <row r="48" spans="1:19" x14ac:dyDescent="0.25">
      <c r="A48" s="23">
        <v>5</v>
      </c>
      <c r="B48" s="24" t="s">
        <v>62</v>
      </c>
      <c r="C48" s="25">
        <v>49</v>
      </c>
      <c r="D48" s="25">
        <v>28</v>
      </c>
      <c r="E48" s="39">
        <v>28</v>
      </c>
      <c r="F48" s="105">
        <f t="shared" si="5"/>
        <v>0</v>
      </c>
      <c r="G48" s="105">
        <f t="shared" si="6"/>
        <v>57.142857142857146</v>
      </c>
      <c r="H48" s="143">
        <v>226</v>
      </c>
      <c r="I48" s="39">
        <v>226</v>
      </c>
      <c r="J48" s="25">
        <v>102361</v>
      </c>
      <c r="K48" s="25">
        <v>12926</v>
      </c>
      <c r="L48" s="39">
        <v>12926</v>
      </c>
      <c r="M48" s="105">
        <f t="shared" si="7"/>
        <v>0</v>
      </c>
      <c r="N48" s="105">
        <f t="shared" si="8"/>
        <v>12.627856312462754</v>
      </c>
      <c r="O48" s="25">
        <v>736</v>
      </c>
      <c r="P48" s="39">
        <v>736</v>
      </c>
      <c r="Q48" s="105">
        <f t="shared" si="9"/>
        <v>0</v>
      </c>
      <c r="R48" s="27" t="s">
        <v>5</v>
      </c>
      <c r="S48" s="1">
        <v>1</v>
      </c>
    </row>
    <row r="49" spans="1:19" x14ac:dyDescent="0.25">
      <c r="A49" s="23">
        <v>5</v>
      </c>
      <c r="B49" s="24" t="s">
        <v>63</v>
      </c>
      <c r="C49" s="25">
        <v>49</v>
      </c>
      <c r="D49" s="25">
        <v>37</v>
      </c>
      <c r="E49" s="25">
        <v>37</v>
      </c>
      <c r="F49" s="105">
        <f t="shared" si="5"/>
        <v>0</v>
      </c>
      <c r="G49" s="105">
        <f t="shared" si="6"/>
        <v>75.510204081632651</v>
      </c>
      <c r="H49" s="25">
        <f>'[3]1.RSP Districts '!H49</f>
        <v>68</v>
      </c>
      <c r="I49" s="25">
        <v>68</v>
      </c>
      <c r="J49" s="25">
        <v>102361</v>
      </c>
      <c r="K49" s="25">
        <v>31704</v>
      </c>
      <c r="L49" s="25">
        <v>36196</v>
      </c>
      <c r="M49" s="105">
        <f t="shared" si="7"/>
        <v>14.168559172344183</v>
      </c>
      <c r="N49" s="105">
        <f t="shared" si="8"/>
        <v>35.361123865534722</v>
      </c>
      <c r="O49" s="25">
        <v>1328</v>
      </c>
      <c r="P49" s="25">
        <v>1549</v>
      </c>
      <c r="Q49" s="105">
        <f t="shared" si="9"/>
        <v>16.641566265060241</v>
      </c>
      <c r="R49" s="27" t="s">
        <v>9</v>
      </c>
      <c r="S49" s="1">
        <v>1</v>
      </c>
    </row>
    <row r="50" spans="1:19" x14ac:dyDescent="0.25">
      <c r="A50" s="23">
        <v>6</v>
      </c>
      <c r="B50" s="24" t="s">
        <v>64</v>
      </c>
      <c r="C50" s="25">
        <v>24</v>
      </c>
      <c r="D50" s="25">
        <v>51</v>
      </c>
      <c r="E50" s="25">
        <v>51</v>
      </c>
      <c r="F50" s="105">
        <f t="shared" si="5"/>
        <v>0</v>
      </c>
      <c r="G50" s="105">
        <f t="shared" si="6"/>
        <v>212.5</v>
      </c>
      <c r="H50" s="105"/>
      <c r="I50" s="105"/>
      <c r="J50" s="25">
        <v>36879</v>
      </c>
      <c r="K50" s="25">
        <v>33188</v>
      </c>
      <c r="L50" s="25">
        <f>K50</f>
        <v>33188</v>
      </c>
      <c r="M50" s="105">
        <f t="shared" si="7"/>
        <v>0</v>
      </c>
      <c r="N50" s="105">
        <f t="shared" si="8"/>
        <v>89.991594132161936</v>
      </c>
      <c r="O50" s="25">
        <v>1439</v>
      </c>
      <c r="P50" s="25">
        <f>O50</f>
        <v>1439</v>
      </c>
      <c r="Q50" s="105">
        <f t="shared" si="9"/>
        <v>0</v>
      </c>
      <c r="R50" s="27" t="s">
        <v>2</v>
      </c>
      <c r="S50" s="1">
        <v>1</v>
      </c>
    </row>
    <row r="51" spans="1:19" x14ac:dyDescent="0.25">
      <c r="A51" s="23">
        <v>6</v>
      </c>
      <c r="B51" s="24" t="s">
        <v>65</v>
      </c>
      <c r="C51" s="25">
        <v>24</v>
      </c>
      <c r="D51" s="25">
        <v>24</v>
      </c>
      <c r="E51" s="25">
        <v>24</v>
      </c>
      <c r="F51" s="105">
        <f t="shared" si="5"/>
        <v>0</v>
      </c>
      <c r="G51" s="105">
        <f t="shared" si="6"/>
        <v>100</v>
      </c>
      <c r="H51" s="25">
        <f>'[3]1.RSP Districts '!H51</f>
        <v>523</v>
      </c>
      <c r="I51" s="25">
        <v>523</v>
      </c>
      <c r="J51" s="25">
        <v>36879</v>
      </c>
      <c r="K51" s="25">
        <v>23596</v>
      </c>
      <c r="L51" s="25">
        <v>24883</v>
      </c>
      <c r="M51" s="105">
        <f t="shared" si="7"/>
        <v>5.4543142905577211</v>
      </c>
      <c r="N51" s="105">
        <f t="shared" si="8"/>
        <v>67.472003036958696</v>
      </c>
      <c r="O51" s="25">
        <v>734</v>
      </c>
      <c r="P51" s="25">
        <v>791</v>
      </c>
      <c r="Q51" s="105">
        <f t="shared" si="9"/>
        <v>7.7656675749318804</v>
      </c>
      <c r="R51" s="27" t="s">
        <v>9</v>
      </c>
      <c r="S51" s="1">
        <v>1</v>
      </c>
    </row>
    <row r="52" spans="1:19" x14ac:dyDescent="0.25">
      <c r="A52" s="23">
        <v>7</v>
      </c>
      <c r="B52" s="24" t="s">
        <v>66</v>
      </c>
      <c r="C52" s="25">
        <v>28</v>
      </c>
      <c r="D52" s="25">
        <v>19</v>
      </c>
      <c r="E52" s="25">
        <v>21</v>
      </c>
      <c r="F52" s="105">
        <f t="shared" si="5"/>
        <v>10.526315789473685</v>
      </c>
      <c r="G52" s="105">
        <f t="shared" si="6"/>
        <v>74.999999999999986</v>
      </c>
      <c r="H52" s="25">
        <f>'[3]1.RSP Districts '!H52</f>
        <v>259</v>
      </c>
      <c r="I52" s="25">
        <v>259</v>
      </c>
      <c r="J52" s="25">
        <v>70230</v>
      </c>
      <c r="K52" s="25">
        <v>31623</v>
      </c>
      <c r="L52" s="25">
        <v>31623</v>
      </c>
      <c r="M52" s="105">
        <f t="shared" si="7"/>
        <v>0</v>
      </c>
      <c r="N52" s="105">
        <f t="shared" si="8"/>
        <v>45.027765912003417</v>
      </c>
      <c r="O52" s="25">
        <v>1447</v>
      </c>
      <c r="P52" s="25">
        <v>1482</v>
      </c>
      <c r="Q52" s="105">
        <f t="shared" si="9"/>
        <v>2.4187975120939873</v>
      </c>
      <c r="R52" s="27" t="s">
        <v>9</v>
      </c>
      <c r="S52" s="1">
        <v>1</v>
      </c>
    </row>
    <row r="53" spans="1:19" x14ac:dyDescent="0.25">
      <c r="A53" s="23">
        <v>8</v>
      </c>
      <c r="B53" s="24" t="s">
        <v>207</v>
      </c>
      <c r="C53" s="25">
        <v>37</v>
      </c>
      <c r="D53" s="25">
        <v>0</v>
      </c>
      <c r="E53" s="25">
        <v>15</v>
      </c>
      <c r="F53" s="105">
        <v>0</v>
      </c>
      <c r="G53" s="105">
        <f t="shared" si="6"/>
        <v>40.54054054054054</v>
      </c>
      <c r="H53" s="105"/>
      <c r="I53" s="105"/>
      <c r="J53" s="178">
        <v>73626</v>
      </c>
      <c r="K53" s="25">
        <v>0</v>
      </c>
      <c r="L53" s="25">
        <v>1993</v>
      </c>
      <c r="M53" s="105">
        <v>0</v>
      </c>
      <c r="N53" s="105">
        <v>0</v>
      </c>
      <c r="O53" s="25">
        <v>0</v>
      </c>
      <c r="P53" s="26">
        <v>85</v>
      </c>
      <c r="Q53" s="105">
        <v>0</v>
      </c>
      <c r="R53" s="81">
        <v>0</v>
      </c>
      <c r="S53" s="1">
        <v>1</v>
      </c>
    </row>
    <row r="54" spans="1:19" x14ac:dyDescent="0.25">
      <c r="A54" s="23">
        <v>9</v>
      </c>
      <c r="B54" s="24" t="s">
        <v>208</v>
      </c>
      <c r="C54" s="25">
        <v>47</v>
      </c>
      <c r="D54" s="25">
        <v>0</v>
      </c>
      <c r="E54" s="25">
        <v>3</v>
      </c>
      <c r="F54" s="105">
        <v>0</v>
      </c>
      <c r="G54" s="105">
        <f t="shared" si="6"/>
        <v>6.3829787234042561</v>
      </c>
      <c r="H54" s="105"/>
      <c r="I54" s="105"/>
      <c r="J54" s="178">
        <v>99528</v>
      </c>
      <c r="K54" s="25">
        <v>0</v>
      </c>
      <c r="L54" s="25">
        <v>1225</v>
      </c>
      <c r="M54" s="105">
        <v>0</v>
      </c>
      <c r="N54" s="105">
        <v>0</v>
      </c>
      <c r="O54" s="25">
        <v>0</v>
      </c>
      <c r="P54" s="26">
        <v>47</v>
      </c>
      <c r="Q54" s="105">
        <v>0</v>
      </c>
      <c r="R54" s="81">
        <v>0</v>
      </c>
      <c r="S54" s="1">
        <v>1</v>
      </c>
    </row>
    <row r="55" spans="1:19" x14ac:dyDescent="0.25">
      <c r="A55" s="23">
        <v>10</v>
      </c>
      <c r="B55" s="24" t="s">
        <v>67</v>
      </c>
      <c r="C55" s="25">
        <v>19</v>
      </c>
      <c r="D55" s="25">
        <v>17</v>
      </c>
      <c r="E55" s="25">
        <v>17</v>
      </c>
      <c r="F55" s="105">
        <f t="shared" si="5"/>
        <v>0</v>
      </c>
      <c r="G55" s="105">
        <f t="shared" si="6"/>
        <v>89.473684210526315</v>
      </c>
      <c r="H55" s="25">
        <f>'[3]1.RSP Districts '!H55</f>
        <v>337</v>
      </c>
      <c r="I55" s="25">
        <v>337</v>
      </c>
      <c r="J55" s="25">
        <v>24536</v>
      </c>
      <c r="K55" s="25">
        <v>14204</v>
      </c>
      <c r="L55" s="25">
        <v>14204</v>
      </c>
      <c r="M55" s="105">
        <f t="shared" si="7"/>
        <v>0</v>
      </c>
      <c r="N55" s="105">
        <f t="shared" si="8"/>
        <v>57.890446690577107</v>
      </c>
      <c r="O55" s="25">
        <v>505</v>
      </c>
      <c r="P55" s="25">
        <v>505</v>
      </c>
      <c r="Q55" s="105">
        <f t="shared" si="9"/>
        <v>0</v>
      </c>
      <c r="R55" s="27" t="s">
        <v>9</v>
      </c>
      <c r="S55" s="1">
        <v>1</v>
      </c>
    </row>
    <row r="56" spans="1:19" x14ac:dyDescent="0.25">
      <c r="A56" s="23">
        <v>11</v>
      </c>
      <c r="B56" s="24" t="s">
        <v>68</v>
      </c>
      <c r="C56" s="25">
        <v>45</v>
      </c>
      <c r="D56" s="25">
        <v>4</v>
      </c>
      <c r="E56" s="25">
        <v>4</v>
      </c>
      <c r="F56" s="105">
        <f t="shared" si="5"/>
        <v>0</v>
      </c>
      <c r="G56" s="105">
        <f t="shared" si="6"/>
        <v>8.8888888888888893</v>
      </c>
      <c r="H56" s="25">
        <f>'[4]1.RSP Districts '!H56</f>
        <v>22</v>
      </c>
      <c r="I56" s="25">
        <v>22</v>
      </c>
      <c r="J56" s="25">
        <v>94383</v>
      </c>
      <c r="K56" s="25">
        <v>6859</v>
      </c>
      <c r="L56" s="25">
        <v>6969</v>
      </c>
      <c r="M56" s="105">
        <f t="shared" si="7"/>
        <v>1.6037323224959905</v>
      </c>
      <c r="N56" s="105">
        <f t="shared" si="8"/>
        <v>7.3837449540701181</v>
      </c>
      <c r="O56" s="25">
        <v>687</v>
      </c>
      <c r="P56" s="25">
        <v>700</v>
      </c>
      <c r="Q56" s="105">
        <f t="shared" si="9"/>
        <v>1.8922852983988354</v>
      </c>
      <c r="R56" s="27" t="s">
        <v>4</v>
      </c>
      <c r="S56" s="1">
        <v>1</v>
      </c>
    </row>
    <row r="57" spans="1:19" x14ac:dyDescent="0.25">
      <c r="A57" s="23">
        <v>11</v>
      </c>
      <c r="B57" s="24" t="s">
        <v>69</v>
      </c>
      <c r="C57" s="25">
        <v>45</v>
      </c>
      <c r="D57" s="25">
        <v>45</v>
      </c>
      <c r="E57" s="25">
        <v>45</v>
      </c>
      <c r="F57" s="105">
        <f t="shared" si="5"/>
        <v>0</v>
      </c>
      <c r="G57" s="105">
        <f t="shared" si="6"/>
        <v>100</v>
      </c>
      <c r="H57" s="25">
        <f>'[3]1.RSP Districts '!H57</f>
        <v>157</v>
      </c>
      <c r="I57" s="25">
        <v>157</v>
      </c>
      <c r="J57" s="25">
        <v>94383</v>
      </c>
      <c r="K57" s="25">
        <v>39747</v>
      </c>
      <c r="L57" s="25">
        <v>41322</v>
      </c>
      <c r="M57" s="105">
        <f t="shared" si="7"/>
        <v>3.9625632123179106</v>
      </c>
      <c r="N57" s="105">
        <f t="shared" si="8"/>
        <v>43.781189409109686</v>
      </c>
      <c r="O57" s="25">
        <v>1255</v>
      </c>
      <c r="P57" s="25">
        <v>1331</v>
      </c>
      <c r="Q57" s="105">
        <f t="shared" si="9"/>
        <v>6.0557768924302788</v>
      </c>
      <c r="R57" s="27" t="s">
        <v>9</v>
      </c>
      <c r="S57" s="1">
        <v>1</v>
      </c>
    </row>
    <row r="58" spans="1:19" x14ac:dyDescent="0.25">
      <c r="A58" s="23">
        <v>12</v>
      </c>
      <c r="B58" s="24" t="s">
        <v>70</v>
      </c>
      <c r="C58" s="25">
        <v>21</v>
      </c>
      <c r="D58" s="25">
        <v>21</v>
      </c>
      <c r="E58" s="25">
        <v>21</v>
      </c>
      <c r="F58" s="105">
        <f t="shared" si="5"/>
        <v>0</v>
      </c>
      <c r="G58" s="105">
        <f t="shared" si="6"/>
        <v>100</v>
      </c>
      <c r="H58" s="25">
        <f>'[3]1.RSP Districts '!H58</f>
        <v>117</v>
      </c>
      <c r="I58" s="25">
        <v>117</v>
      </c>
      <c r="J58" s="25">
        <v>40734</v>
      </c>
      <c r="K58" s="25">
        <v>49351</v>
      </c>
      <c r="L58" s="25">
        <v>49483</v>
      </c>
      <c r="M58" s="105">
        <f t="shared" si="7"/>
        <v>0.26747178375311542</v>
      </c>
      <c r="N58" s="105">
        <f t="shared" si="8"/>
        <v>121.47837187607405</v>
      </c>
      <c r="O58" s="25">
        <v>1990</v>
      </c>
      <c r="P58" s="25">
        <v>1997</v>
      </c>
      <c r="Q58" s="105">
        <f t="shared" si="9"/>
        <v>0.35175879396984927</v>
      </c>
      <c r="R58" s="27" t="s">
        <v>9</v>
      </c>
      <c r="S58" s="1">
        <v>1</v>
      </c>
    </row>
    <row r="59" spans="1:19" x14ac:dyDescent="0.25">
      <c r="A59" s="23">
        <v>13</v>
      </c>
      <c r="B59" s="24" t="s">
        <v>71</v>
      </c>
      <c r="C59" s="25">
        <v>32</v>
      </c>
      <c r="D59" s="25">
        <v>29</v>
      </c>
      <c r="E59" s="25">
        <v>32</v>
      </c>
      <c r="F59" s="105">
        <f t="shared" si="5"/>
        <v>10.344827586206897</v>
      </c>
      <c r="G59" s="105">
        <f t="shared" si="6"/>
        <v>100</v>
      </c>
      <c r="H59" s="25">
        <f>'[3]1.RSP Districts '!H59</f>
        <v>243</v>
      </c>
      <c r="I59" s="25">
        <v>243</v>
      </c>
      <c r="J59" s="25">
        <v>55911</v>
      </c>
      <c r="K59" s="25">
        <v>64402</v>
      </c>
      <c r="L59" s="25">
        <v>69685</v>
      </c>
      <c r="M59" s="105">
        <f t="shared" si="7"/>
        <v>8.203161392503338</v>
      </c>
      <c r="N59" s="105">
        <f t="shared" si="8"/>
        <v>124.6355815492479</v>
      </c>
      <c r="O59" s="25">
        <v>2568</v>
      </c>
      <c r="P59" s="25">
        <v>3129</v>
      </c>
      <c r="Q59" s="105">
        <f t="shared" si="9"/>
        <v>21.845794392523366</v>
      </c>
      <c r="R59" s="27" t="s">
        <v>9</v>
      </c>
      <c r="S59" s="1">
        <v>1</v>
      </c>
    </row>
    <row r="60" spans="1:19" x14ac:dyDescent="0.25">
      <c r="A60" s="23">
        <v>14</v>
      </c>
      <c r="B60" s="24" t="s">
        <v>72</v>
      </c>
      <c r="C60" s="25">
        <v>38</v>
      </c>
      <c r="D60" s="25">
        <v>38</v>
      </c>
      <c r="E60" s="25">
        <v>38</v>
      </c>
      <c r="F60" s="105">
        <f t="shared" si="5"/>
        <v>0</v>
      </c>
      <c r="G60" s="105">
        <f t="shared" si="6"/>
        <v>100</v>
      </c>
      <c r="H60" s="25">
        <f>'[3]1.RSP Districts '!H60</f>
        <v>132</v>
      </c>
      <c r="I60" s="25">
        <v>132</v>
      </c>
      <c r="J60" s="25">
        <v>74041</v>
      </c>
      <c r="K60" s="25">
        <v>34380</v>
      </c>
      <c r="L60" s="25">
        <v>34916</v>
      </c>
      <c r="M60" s="105">
        <f t="shared" si="7"/>
        <v>1.5590459569517161</v>
      </c>
      <c r="N60" s="105">
        <f t="shared" si="8"/>
        <v>47.157655893356385</v>
      </c>
      <c r="O60" s="25">
        <v>2081</v>
      </c>
      <c r="P60" s="25">
        <v>2238</v>
      </c>
      <c r="Q60" s="105">
        <f t="shared" si="9"/>
        <v>7.5444497837578091</v>
      </c>
      <c r="R60" s="27" t="s">
        <v>9</v>
      </c>
      <c r="S60" s="1">
        <v>1</v>
      </c>
    </row>
    <row r="61" spans="1:19" x14ac:dyDescent="0.25">
      <c r="A61" s="23">
        <v>15</v>
      </c>
      <c r="B61" s="24" t="s">
        <v>210</v>
      </c>
      <c r="C61" s="25">
        <v>33</v>
      </c>
      <c r="D61" s="25">
        <v>0</v>
      </c>
      <c r="E61" s="25">
        <v>0</v>
      </c>
      <c r="F61" s="105">
        <v>0</v>
      </c>
      <c r="G61" s="105">
        <f t="shared" si="6"/>
        <v>0</v>
      </c>
      <c r="H61" s="105"/>
      <c r="I61" s="105"/>
      <c r="J61" s="178">
        <v>48700</v>
      </c>
      <c r="K61" s="25">
        <v>0</v>
      </c>
      <c r="L61" s="25">
        <v>0</v>
      </c>
      <c r="M61" s="105">
        <v>0</v>
      </c>
      <c r="N61" s="105">
        <v>0</v>
      </c>
      <c r="O61" s="25">
        <v>0</v>
      </c>
      <c r="P61" s="26"/>
      <c r="Q61" s="105">
        <v>0</v>
      </c>
      <c r="R61" s="81">
        <v>0</v>
      </c>
      <c r="S61" s="1">
        <v>1</v>
      </c>
    </row>
    <row r="62" spans="1:19" x14ac:dyDescent="0.25">
      <c r="A62" s="23">
        <v>16</v>
      </c>
      <c r="B62" s="24" t="s">
        <v>73</v>
      </c>
      <c r="C62" s="25">
        <v>28</v>
      </c>
      <c r="D62" s="25">
        <v>25</v>
      </c>
      <c r="E62" s="39">
        <v>25</v>
      </c>
      <c r="F62" s="105">
        <f t="shared" si="5"/>
        <v>0</v>
      </c>
      <c r="G62" s="105">
        <f t="shared" si="6"/>
        <v>89.285714285714278</v>
      </c>
      <c r="H62" s="143">
        <v>193</v>
      </c>
      <c r="I62" s="39">
        <v>193</v>
      </c>
      <c r="J62" s="25">
        <v>45731</v>
      </c>
      <c r="K62" s="25">
        <v>28875</v>
      </c>
      <c r="L62" s="39">
        <v>29040</v>
      </c>
      <c r="M62" s="105">
        <f t="shared" si="7"/>
        <v>0.5714285714285714</v>
      </c>
      <c r="N62" s="105">
        <f t="shared" si="8"/>
        <v>63.50178216089742</v>
      </c>
      <c r="O62" s="25">
        <v>1832</v>
      </c>
      <c r="P62" s="39">
        <v>1848</v>
      </c>
      <c r="Q62" s="105">
        <f t="shared" si="9"/>
        <v>0.8733624454148472</v>
      </c>
      <c r="R62" s="27" t="s">
        <v>5</v>
      </c>
      <c r="S62" s="1">
        <v>1</v>
      </c>
    </row>
    <row r="63" spans="1:19" x14ac:dyDescent="0.25">
      <c r="A63" s="23">
        <v>16</v>
      </c>
      <c r="B63" s="24" t="s">
        <v>259</v>
      </c>
      <c r="C63" s="25">
        <v>28</v>
      </c>
      <c r="D63" s="25">
        <v>12</v>
      </c>
      <c r="E63" s="25">
        <v>12</v>
      </c>
      <c r="F63" s="105">
        <f t="shared" si="5"/>
        <v>0</v>
      </c>
      <c r="G63" s="105">
        <f t="shared" si="6"/>
        <v>42.857142857142854</v>
      </c>
      <c r="H63" s="25">
        <f>'[3]1.RSP Districts '!H63</f>
        <v>30</v>
      </c>
      <c r="I63" s="25">
        <v>30</v>
      </c>
      <c r="J63" s="25">
        <v>45731</v>
      </c>
      <c r="K63" s="25">
        <v>2234</v>
      </c>
      <c r="L63" s="25">
        <v>3235</v>
      </c>
      <c r="M63" s="105">
        <f t="shared" si="7"/>
        <v>44.807520143240822</v>
      </c>
      <c r="N63" s="105">
        <f t="shared" si="8"/>
        <v>7.0739760774966651</v>
      </c>
      <c r="O63" s="25">
        <v>71</v>
      </c>
      <c r="P63" s="25">
        <v>112</v>
      </c>
      <c r="Q63" s="105">
        <f t="shared" si="9"/>
        <v>57.74647887323944</v>
      </c>
      <c r="R63" s="27" t="s">
        <v>9</v>
      </c>
      <c r="S63" s="1">
        <v>1</v>
      </c>
    </row>
    <row r="64" spans="1:19" x14ac:dyDescent="0.25">
      <c r="A64" s="23">
        <v>17</v>
      </c>
      <c r="B64" s="24" t="s">
        <v>74</v>
      </c>
      <c r="C64" s="25">
        <v>59</v>
      </c>
      <c r="D64" s="25">
        <v>55</v>
      </c>
      <c r="E64" s="25">
        <v>55</v>
      </c>
      <c r="F64" s="105">
        <f t="shared" si="5"/>
        <v>0</v>
      </c>
      <c r="G64" s="105">
        <f t="shared" si="6"/>
        <v>93.220338983050851</v>
      </c>
      <c r="H64" s="25">
        <f>'[3]1.RSP Districts '!H64</f>
        <v>390</v>
      </c>
      <c r="I64" s="25">
        <v>390</v>
      </c>
      <c r="J64" s="25">
        <v>167833</v>
      </c>
      <c r="K64" s="25">
        <v>105204</v>
      </c>
      <c r="L64" s="25">
        <v>109246</v>
      </c>
      <c r="M64" s="105">
        <f t="shared" si="7"/>
        <v>3.842059237291358</v>
      </c>
      <c r="N64" s="105">
        <f t="shared" si="8"/>
        <v>65.092085585075637</v>
      </c>
      <c r="O64" s="25">
        <v>3660</v>
      </c>
      <c r="P64" s="25">
        <v>3836</v>
      </c>
      <c r="Q64" s="105">
        <f t="shared" si="9"/>
        <v>4.8087431693989071</v>
      </c>
      <c r="R64" s="27" t="s">
        <v>9</v>
      </c>
      <c r="S64" s="1">
        <v>1</v>
      </c>
    </row>
    <row r="65" spans="1:19" x14ac:dyDescent="0.25">
      <c r="A65" s="23">
        <v>18</v>
      </c>
      <c r="B65" s="24" t="s">
        <v>75</v>
      </c>
      <c r="C65" s="25">
        <v>75</v>
      </c>
      <c r="D65" s="25">
        <v>63</v>
      </c>
      <c r="E65" s="39">
        <v>63</v>
      </c>
      <c r="F65" s="105">
        <f t="shared" si="5"/>
        <v>0</v>
      </c>
      <c r="G65" s="105">
        <f t="shared" si="6"/>
        <v>84</v>
      </c>
      <c r="H65" s="143">
        <v>187</v>
      </c>
      <c r="I65" s="39">
        <v>187</v>
      </c>
      <c r="J65" s="25">
        <v>141386</v>
      </c>
      <c r="K65" s="25">
        <v>51891</v>
      </c>
      <c r="L65" s="39">
        <v>53799</v>
      </c>
      <c r="M65" s="105">
        <f t="shared" si="7"/>
        <v>3.6769381973752675</v>
      </c>
      <c r="N65" s="105">
        <f t="shared" si="8"/>
        <v>38.051150750427908</v>
      </c>
      <c r="O65" s="25">
        <v>3675</v>
      </c>
      <c r="P65" s="39">
        <v>3781</v>
      </c>
      <c r="Q65" s="105">
        <f t="shared" si="9"/>
        <v>2.8843537414965987</v>
      </c>
      <c r="R65" s="27" t="s">
        <v>5</v>
      </c>
      <c r="S65" s="1">
        <v>1</v>
      </c>
    </row>
    <row r="66" spans="1:19" x14ac:dyDescent="0.25">
      <c r="A66" s="23">
        <v>18</v>
      </c>
      <c r="B66" s="24" t="s">
        <v>76</v>
      </c>
      <c r="C66" s="25">
        <v>75</v>
      </c>
      <c r="D66" s="25">
        <v>20</v>
      </c>
      <c r="E66" s="25">
        <v>20</v>
      </c>
      <c r="F66" s="105">
        <f t="shared" si="5"/>
        <v>0</v>
      </c>
      <c r="G66" s="105">
        <f t="shared" si="6"/>
        <v>26.666666666666668</v>
      </c>
      <c r="H66" s="25">
        <f>'[3]1.RSP Districts '!H66</f>
        <v>63</v>
      </c>
      <c r="I66" s="25">
        <v>63</v>
      </c>
      <c r="J66" s="25">
        <v>141386</v>
      </c>
      <c r="K66" s="25">
        <v>42732</v>
      </c>
      <c r="L66" s="25">
        <v>42732</v>
      </c>
      <c r="M66" s="105">
        <f t="shared" si="7"/>
        <v>0</v>
      </c>
      <c r="N66" s="105">
        <f t="shared" si="8"/>
        <v>30.223643076400776</v>
      </c>
      <c r="O66" s="25">
        <v>1838</v>
      </c>
      <c r="P66" s="25">
        <v>1838</v>
      </c>
      <c r="Q66" s="105">
        <f t="shared" si="9"/>
        <v>0</v>
      </c>
      <c r="R66" s="27" t="s">
        <v>9</v>
      </c>
      <c r="S66" s="1">
        <v>1</v>
      </c>
    </row>
    <row r="67" spans="1:19" x14ac:dyDescent="0.25">
      <c r="A67" s="23">
        <v>19</v>
      </c>
      <c r="B67" s="24" t="s">
        <v>77</v>
      </c>
      <c r="C67" s="25">
        <v>48</v>
      </c>
      <c r="D67" s="25">
        <v>10</v>
      </c>
      <c r="E67" s="25">
        <v>10</v>
      </c>
      <c r="F67" s="105">
        <f t="shared" si="5"/>
        <v>0</v>
      </c>
      <c r="G67" s="105">
        <f t="shared" si="6"/>
        <v>20.833333333333336</v>
      </c>
      <c r="H67" s="25">
        <f>'[3]1.RSP Districts '!H67</f>
        <v>33</v>
      </c>
      <c r="I67" s="25">
        <v>33</v>
      </c>
      <c r="J67" s="25">
        <v>84851</v>
      </c>
      <c r="K67" s="25">
        <v>17478</v>
      </c>
      <c r="L67" s="25">
        <v>18069</v>
      </c>
      <c r="M67" s="105">
        <f t="shared" si="7"/>
        <v>3.3813937521455544</v>
      </c>
      <c r="N67" s="105">
        <f t="shared" si="8"/>
        <v>21.294975898928712</v>
      </c>
      <c r="O67" s="25">
        <v>745</v>
      </c>
      <c r="P67" s="25">
        <v>769</v>
      </c>
      <c r="Q67" s="105">
        <f t="shared" si="9"/>
        <v>3.2214765100671139</v>
      </c>
      <c r="R67" s="27" t="s">
        <v>9</v>
      </c>
      <c r="S67" s="1">
        <v>1</v>
      </c>
    </row>
    <row r="68" spans="1:19" x14ac:dyDescent="0.25">
      <c r="A68" s="23">
        <v>19</v>
      </c>
      <c r="B68" s="24" t="s">
        <v>258</v>
      </c>
      <c r="C68" s="25">
        <v>48</v>
      </c>
      <c r="D68" s="25">
        <v>13</v>
      </c>
      <c r="E68" s="39">
        <v>13</v>
      </c>
      <c r="F68" s="105">
        <f t="shared" si="5"/>
        <v>0</v>
      </c>
      <c r="G68" s="105">
        <f t="shared" si="6"/>
        <v>27.083333333333336</v>
      </c>
      <c r="H68" s="143">
        <v>176</v>
      </c>
      <c r="I68" s="39">
        <v>176</v>
      </c>
      <c r="J68" s="25">
        <v>84851</v>
      </c>
      <c r="K68" s="25">
        <v>2163</v>
      </c>
      <c r="L68" s="39">
        <v>2163</v>
      </c>
      <c r="M68" s="105">
        <f t="shared" si="7"/>
        <v>0</v>
      </c>
      <c r="N68" s="105">
        <f t="shared" si="8"/>
        <v>2.5491744351863854</v>
      </c>
      <c r="O68" s="25">
        <v>101</v>
      </c>
      <c r="P68" s="39">
        <v>101</v>
      </c>
      <c r="Q68" s="105">
        <f t="shared" si="9"/>
        <v>0</v>
      </c>
      <c r="R68" s="27" t="s">
        <v>5</v>
      </c>
      <c r="S68" s="1">
        <v>1</v>
      </c>
    </row>
    <row r="69" spans="1:19" x14ac:dyDescent="0.25">
      <c r="A69" s="23">
        <v>20</v>
      </c>
      <c r="B69" s="24" t="s">
        <v>78</v>
      </c>
      <c r="C69" s="25">
        <v>67</v>
      </c>
      <c r="D69" s="25">
        <v>10</v>
      </c>
      <c r="E69" s="25">
        <v>17</v>
      </c>
      <c r="F69" s="105">
        <f t="shared" si="5"/>
        <v>70</v>
      </c>
      <c r="G69" s="105">
        <f t="shared" si="6"/>
        <v>25.373134328358208</v>
      </c>
      <c r="H69" s="25">
        <f>'[3]1.RSP Districts '!H69</f>
        <v>55</v>
      </c>
      <c r="I69" s="25">
        <v>55</v>
      </c>
      <c r="J69" s="25">
        <v>132070</v>
      </c>
      <c r="K69" s="25">
        <v>13592</v>
      </c>
      <c r="L69" s="25">
        <v>15460</v>
      </c>
      <c r="M69" s="105">
        <f t="shared" si="7"/>
        <v>13.743378457916423</v>
      </c>
      <c r="N69" s="105">
        <f t="shared" si="8"/>
        <v>11.705913530703414</v>
      </c>
      <c r="O69" s="25">
        <v>629</v>
      </c>
      <c r="P69" s="25">
        <v>746</v>
      </c>
      <c r="Q69" s="105">
        <f t="shared" si="9"/>
        <v>18.600953895071541</v>
      </c>
      <c r="R69" s="27" t="s">
        <v>9</v>
      </c>
      <c r="S69" s="1">
        <v>1</v>
      </c>
    </row>
    <row r="70" spans="1:19" x14ac:dyDescent="0.25">
      <c r="A70" s="23">
        <v>21</v>
      </c>
      <c r="B70" s="24" t="s">
        <v>79</v>
      </c>
      <c r="C70" s="25">
        <v>28</v>
      </c>
      <c r="D70" s="25">
        <v>20</v>
      </c>
      <c r="E70" s="25">
        <v>20</v>
      </c>
      <c r="F70" s="105">
        <f t="shared" si="5"/>
        <v>0</v>
      </c>
      <c r="G70" s="105">
        <f t="shared" si="6"/>
        <v>71.428571428571416</v>
      </c>
      <c r="H70" s="25">
        <f>'[3]1.RSP Districts '!H70</f>
        <v>62</v>
      </c>
      <c r="I70" s="25">
        <v>62</v>
      </c>
      <c r="J70" s="25">
        <v>53994</v>
      </c>
      <c r="K70" s="25">
        <v>27671</v>
      </c>
      <c r="L70" s="25">
        <v>27671</v>
      </c>
      <c r="M70" s="105">
        <f t="shared" si="7"/>
        <v>0</v>
      </c>
      <c r="N70" s="105">
        <f t="shared" si="8"/>
        <v>51.248286846686661</v>
      </c>
      <c r="O70" s="25">
        <v>1478</v>
      </c>
      <c r="P70" s="25">
        <v>1546</v>
      </c>
      <c r="Q70" s="105">
        <f t="shared" si="9"/>
        <v>4.6008119079837622</v>
      </c>
      <c r="R70" s="27" t="s">
        <v>9</v>
      </c>
      <c r="S70" s="1">
        <v>1</v>
      </c>
    </row>
    <row r="71" spans="1:19" x14ac:dyDescent="0.25">
      <c r="A71" s="23">
        <v>22</v>
      </c>
      <c r="B71" s="24" t="s">
        <v>80</v>
      </c>
      <c r="C71" s="25">
        <v>55</v>
      </c>
      <c r="D71" s="25">
        <v>4</v>
      </c>
      <c r="E71" s="25">
        <v>6</v>
      </c>
      <c r="F71" s="105">
        <f t="shared" si="5"/>
        <v>50</v>
      </c>
      <c r="G71" s="105">
        <f t="shared" si="6"/>
        <v>10.909090909090908</v>
      </c>
      <c r="H71" s="25">
        <f>'[4]1.RSP Districts '!H71</f>
        <v>19</v>
      </c>
      <c r="I71" s="25">
        <v>21</v>
      </c>
      <c r="J71" s="25">
        <v>112083</v>
      </c>
      <c r="K71" s="25">
        <v>7378</v>
      </c>
      <c r="L71" s="25">
        <v>7828</v>
      </c>
      <c r="M71" s="105">
        <f t="shared" si="7"/>
        <v>6.0992138791000272</v>
      </c>
      <c r="N71" s="105">
        <f t="shared" si="8"/>
        <v>6.9841099899181858</v>
      </c>
      <c r="O71" s="25">
        <v>579</v>
      </c>
      <c r="P71" s="25">
        <v>615</v>
      </c>
      <c r="Q71" s="105">
        <f t="shared" si="9"/>
        <v>6.2176165803108807</v>
      </c>
      <c r="R71" s="27" t="s">
        <v>4</v>
      </c>
      <c r="S71" s="1">
        <v>1</v>
      </c>
    </row>
    <row r="72" spans="1:19" x14ac:dyDescent="0.25">
      <c r="A72" s="23">
        <v>22</v>
      </c>
      <c r="B72" s="24" t="s">
        <v>81</v>
      </c>
      <c r="C72" s="25">
        <v>55</v>
      </c>
      <c r="D72" s="25">
        <v>38</v>
      </c>
      <c r="E72" s="39">
        <v>38</v>
      </c>
      <c r="F72" s="105">
        <f t="shared" si="5"/>
        <v>0</v>
      </c>
      <c r="G72" s="105">
        <f t="shared" si="6"/>
        <v>69.090909090909079</v>
      </c>
      <c r="H72" s="143">
        <v>179</v>
      </c>
      <c r="I72" s="39">
        <v>179</v>
      </c>
      <c r="J72" s="25">
        <v>112083</v>
      </c>
      <c r="K72" s="25">
        <v>25850</v>
      </c>
      <c r="L72" s="39">
        <v>26117</v>
      </c>
      <c r="M72" s="105">
        <f t="shared" si="7"/>
        <v>1.0328820116054158</v>
      </c>
      <c r="N72" s="105">
        <f t="shared" si="8"/>
        <v>23.301481937492753</v>
      </c>
      <c r="O72" s="25">
        <v>1644</v>
      </c>
      <c r="P72" s="39">
        <v>1660</v>
      </c>
      <c r="Q72" s="105">
        <f t="shared" si="9"/>
        <v>0.97323600973236002</v>
      </c>
      <c r="R72" s="27" t="s">
        <v>5</v>
      </c>
      <c r="S72" s="1">
        <v>1</v>
      </c>
    </row>
    <row r="73" spans="1:19" x14ac:dyDescent="0.25">
      <c r="A73" s="23">
        <v>23</v>
      </c>
      <c r="B73" s="24" t="s">
        <v>82</v>
      </c>
      <c r="C73" s="25">
        <v>65</v>
      </c>
      <c r="D73" s="25">
        <v>19</v>
      </c>
      <c r="E73" s="39">
        <v>19</v>
      </c>
      <c r="F73" s="105">
        <f t="shared" si="5"/>
        <v>0</v>
      </c>
      <c r="G73" s="105">
        <f t="shared" si="6"/>
        <v>29.23076923076923</v>
      </c>
      <c r="H73" s="143">
        <v>224</v>
      </c>
      <c r="I73" s="39">
        <v>224</v>
      </c>
      <c r="J73" s="25">
        <v>125377</v>
      </c>
      <c r="K73" s="25">
        <v>6488</v>
      </c>
      <c r="L73" s="39">
        <v>6488</v>
      </c>
      <c r="M73" s="105">
        <f t="shared" si="7"/>
        <v>0</v>
      </c>
      <c r="N73" s="105">
        <f t="shared" si="8"/>
        <v>5.1747928248402815</v>
      </c>
      <c r="O73" s="25">
        <v>298</v>
      </c>
      <c r="P73" s="39">
        <v>298</v>
      </c>
      <c r="Q73" s="105">
        <f t="shared" si="9"/>
        <v>0</v>
      </c>
      <c r="R73" s="27" t="s">
        <v>5</v>
      </c>
      <c r="S73" s="1">
        <v>1</v>
      </c>
    </row>
    <row r="74" spans="1:19" x14ac:dyDescent="0.25">
      <c r="A74" s="23">
        <v>23</v>
      </c>
      <c r="B74" s="24" t="s">
        <v>83</v>
      </c>
      <c r="C74" s="25">
        <v>65</v>
      </c>
      <c r="D74" s="25">
        <v>51</v>
      </c>
      <c r="E74" s="25">
        <v>60</v>
      </c>
      <c r="F74" s="105">
        <f t="shared" si="5"/>
        <v>17.647058823529413</v>
      </c>
      <c r="G74" s="105">
        <f t="shared" si="6"/>
        <v>92.307692307692307</v>
      </c>
      <c r="H74" s="25">
        <f>'[3]1.RSP Districts '!H74</f>
        <v>100</v>
      </c>
      <c r="I74" s="25">
        <v>100</v>
      </c>
      <c r="J74" s="25">
        <v>125377</v>
      </c>
      <c r="K74" s="25">
        <v>13348</v>
      </c>
      <c r="L74" s="25">
        <v>19748</v>
      </c>
      <c r="M74" s="105">
        <f t="shared" si="7"/>
        <v>47.947258016182204</v>
      </c>
      <c r="N74" s="105">
        <f t="shared" si="8"/>
        <v>15.750895299775877</v>
      </c>
      <c r="O74" s="25">
        <v>538</v>
      </c>
      <c r="P74" s="25">
        <v>812</v>
      </c>
      <c r="Q74" s="105">
        <f t="shared" si="9"/>
        <v>50.929368029739777</v>
      </c>
      <c r="R74" s="27" t="s">
        <v>9</v>
      </c>
      <c r="S74" s="1">
        <v>1</v>
      </c>
    </row>
    <row r="75" spans="1:19" ht="14.4" thickBot="1" x14ac:dyDescent="0.3">
      <c r="A75" s="37">
        <v>24</v>
      </c>
      <c r="B75" s="38" t="s">
        <v>209</v>
      </c>
      <c r="C75" s="39">
        <v>16</v>
      </c>
      <c r="D75" s="25">
        <v>0</v>
      </c>
      <c r="E75" s="39"/>
      <c r="F75" s="140">
        <v>0</v>
      </c>
      <c r="G75" s="140">
        <f t="shared" si="6"/>
        <v>0</v>
      </c>
      <c r="H75" s="140"/>
      <c r="I75" s="140"/>
      <c r="J75" s="178">
        <v>22411</v>
      </c>
      <c r="K75" s="25">
        <v>0</v>
      </c>
      <c r="L75" s="39"/>
      <c r="M75" s="140">
        <v>0</v>
      </c>
      <c r="N75" s="140">
        <v>0</v>
      </c>
      <c r="O75" s="25">
        <v>0</v>
      </c>
      <c r="P75" s="41"/>
      <c r="Q75" s="140">
        <v>0</v>
      </c>
      <c r="R75" s="90">
        <v>0</v>
      </c>
      <c r="S75" s="1">
        <v>1</v>
      </c>
    </row>
    <row r="76" spans="1:19" s="5" customFormat="1" ht="14.4" thickBot="1" x14ac:dyDescent="0.3">
      <c r="A76" s="159">
        <f>COUNTIF(R43:R75,"*")-9</f>
        <v>19</v>
      </c>
      <c r="B76" s="158" t="s">
        <v>84</v>
      </c>
      <c r="C76" s="57">
        <f>SUM(C43:C75)-(C47+C48+C51+C56+C66+C71+C74+C67+C63)</f>
        <v>961</v>
      </c>
      <c r="D76" s="57">
        <f>SUM(D43:D75)-(D47+D48+D51+D56+D66+D71+D74+D67+D63)</f>
        <v>576</v>
      </c>
      <c r="E76" s="57">
        <f>SUM(E43:E75)-(E47+E48+E51+E56+E66+E71+E74+E67+E63)</f>
        <v>606</v>
      </c>
      <c r="F76" s="160">
        <f t="shared" si="5"/>
        <v>5.2083333333333339</v>
      </c>
      <c r="G76" s="160">
        <f t="shared" si="6"/>
        <v>63.059313215400628</v>
      </c>
      <c r="H76" s="160">
        <f>SUM(H43:H75)</f>
        <v>4309</v>
      </c>
      <c r="I76" s="160">
        <f>SUM(I43:I75)</f>
        <v>4311</v>
      </c>
      <c r="J76" s="57">
        <f>SUM(J43:J75)-(J47+J48+J51+J56+J66+J71+J74+J67+J63)</f>
        <v>1889904</v>
      </c>
      <c r="K76" s="57">
        <f>SUM(K43:K75)</f>
        <v>773025</v>
      </c>
      <c r="L76" s="57">
        <f>SUM(L43:L75)</f>
        <v>809708</v>
      </c>
      <c r="M76" s="160">
        <f t="shared" si="7"/>
        <v>4.74538339639727</v>
      </c>
      <c r="N76" s="160">
        <f t="shared" si="8"/>
        <v>42.84386931822992</v>
      </c>
      <c r="O76" s="57">
        <f>SUM(O43:O75)</f>
        <v>35028</v>
      </c>
      <c r="P76" s="57">
        <f>SUM(P43:P75)</f>
        <v>37321</v>
      </c>
      <c r="Q76" s="160">
        <f t="shared" si="9"/>
        <v>6.5461916181340642</v>
      </c>
      <c r="R76" s="162"/>
      <c r="S76" s="1">
        <v>1</v>
      </c>
    </row>
    <row r="77" spans="1:19" ht="8.25" customHeight="1" thickBot="1" x14ac:dyDescent="0.35">
      <c r="A77" s="13"/>
      <c r="B77" s="14"/>
      <c r="C77" s="59"/>
      <c r="D77" s="28"/>
      <c r="E77" s="28"/>
      <c r="F77" s="106"/>
      <c r="G77" s="106"/>
      <c r="H77" s="106"/>
      <c r="I77" s="106"/>
      <c r="J77" s="59"/>
      <c r="K77" s="28"/>
      <c r="L77" s="28"/>
      <c r="M77" s="28"/>
      <c r="N77" s="28"/>
      <c r="O77" s="28"/>
      <c r="P77" s="28"/>
      <c r="Q77" s="28"/>
      <c r="R77" s="15"/>
      <c r="S77" s="1">
        <v>1</v>
      </c>
    </row>
    <row r="78" spans="1:19" s="6" customFormat="1" x14ac:dyDescent="0.25">
      <c r="A78" s="18" t="s">
        <v>85</v>
      </c>
      <c r="B78" s="19"/>
      <c r="C78" s="20"/>
      <c r="D78" s="29"/>
      <c r="E78" s="29"/>
      <c r="F78" s="107"/>
      <c r="G78" s="107"/>
      <c r="H78" s="107"/>
      <c r="I78" s="107"/>
      <c r="J78" s="20"/>
      <c r="K78" s="29"/>
      <c r="L78" s="29"/>
      <c r="M78" s="29"/>
      <c r="N78" s="29"/>
      <c r="O78" s="29"/>
      <c r="P78" s="29"/>
      <c r="Q78" s="29"/>
      <c r="R78" s="22"/>
      <c r="S78" s="1">
        <v>1</v>
      </c>
    </row>
    <row r="79" spans="1:19" ht="14.4" x14ac:dyDescent="0.3">
      <c r="A79" s="23">
        <v>1</v>
      </c>
      <c r="B79" s="24" t="s">
        <v>86</v>
      </c>
      <c r="C79" s="25">
        <v>46</v>
      </c>
      <c r="D79" s="25">
        <v>46</v>
      </c>
      <c r="E79" s="39">
        <v>46</v>
      </c>
      <c r="F79" s="105">
        <f t="shared" ref="F79:F102" si="10">(E79-D79)/D79%</f>
        <v>0</v>
      </c>
      <c r="G79" s="105">
        <f t="shared" ref="G79:G102" si="11">E79/C79%</f>
        <v>100</v>
      </c>
      <c r="H79" s="144">
        <v>349</v>
      </c>
      <c r="I79" s="39">
        <v>349</v>
      </c>
      <c r="J79" s="30">
        <v>185266</v>
      </c>
      <c r="K79" s="25">
        <v>94230</v>
      </c>
      <c r="L79" s="39">
        <v>99633</v>
      </c>
      <c r="M79" s="105">
        <f t="shared" ref="M79:M102" si="12">(L79-K79)/K79%</f>
        <v>5.7338427252467365</v>
      </c>
      <c r="N79" s="105">
        <f t="shared" ref="N79:N102" si="13">L79/J79%</f>
        <v>53.77835112756793</v>
      </c>
      <c r="O79" s="25">
        <v>5142</v>
      </c>
      <c r="P79" s="39">
        <v>5469</v>
      </c>
      <c r="Q79" s="105">
        <f t="shared" ref="Q79:Q102" si="14">(P79-O79)/O79%</f>
        <v>6.3593932322053677</v>
      </c>
      <c r="R79" s="31" t="s">
        <v>5</v>
      </c>
      <c r="S79" s="1">
        <v>1</v>
      </c>
    </row>
    <row r="80" spans="1:19" x14ac:dyDescent="0.25">
      <c r="A80" s="23">
        <v>2</v>
      </c>
      <c r="B80" s="24" t="s">
        <v>87</v>
      </c>
      <c r="C80" s="25">
        <v>52</v>
      </c>
      <c r="D80" s="25">
        <v>30</v>
      </c>
      <c r="E80" s="25">
        <v>30</v>
      </c>
      <c r="F80" s="105">
        <f t="shared" si="10"/>
        <v>0</v>
      </c>
      <c r="G80" s="105">
        <f t="shared" si="11"/>
        <v>57.692307692307693</v>
      </c>
      <c r="H80" s="25">
        <f>'[5]1.RSP Districts '!H80</f>
        <v>131</v>
      </c>
      <c r="I80" s="25">
        <v>131</v>
      </c>
      <c r="J80" s="25">
        <v>164849</v>
      </c>
      <c r="K80" s="25">
        <v>36916</v>
      </c>
      <c r="L80" s="25">
        <v>37116</v>
      </c>
      <c r="M80" s="105">
        <f t="shared" si="12"/>
        <v>0.54177050601365262</v>
      </c>
      <c r="N80" s="105">
        <f t="shared" si="13"/>
        <v>22.51515022839083</v>
      </c>
      <c r="O80" s="25">
        <v>1534</v>
      </c>
      <c r="P80" s="25">
        <v>1545</v>
      </c>
      <c r="Q80" s="105">
        <f t="shared" si="14"/>
        <v>0.71707953063885266</v>
      </c>
      <c r="R80" s="32" t="s">
        <v>10</v>
      </c>
      <c r="S80" s="1">
        <v>1</v>
      </c>
    </row>
    <row r="81" spans="1:19" ht="14.4" x14ac:dyDescent="0.3">
      <c r="A81" s="23">
        <v>3</v>
      </c>
      <c r="B81" s="24" t="s">
        <v>88</v>
      </c>
      <c r="C81" s="34">
        <v>46</v>
      </c>
      <c r="D81" s="25">
        <v>37</v>
      </c>
      <c r="E81" s="25">
        <v>37</v>
      </c>
      <c r="F81" s="105">
        <f t="shared" si="10"/>
        <v>0</v>
      </c>
      <c r="G81" s="105">
        <f t="shared" si="11"/>
        <v>80.434782608695642</v>
      </c>
      <c r="H81" s="25">
        <f>'[6]1.RSP Districts '!H81</f>
        <v>281</v>
      </c>
      <c r="I81" s="25">
        <v>281</v>
      </c>
      <c r="J81" s="25">
        <v>158489</v>
      </c>
      <c r="K81" s="25">
        <v>122316</v>
      </c>
      <c r="L81" s="25">
        <v>122985</v>
      </c>
      <c r="M81" s="105">
        <f t="shared" si="12"/>
        <v>0.54694398116354359</v>
      </c>
      <c r="N81" s="105">
        <f t="shared" si="13"/>
        <v>77.598445317971596</v>
      </c>
      <c r="O81" s="25">
        <v>6917</v>
      </c>
      <c r="P81" s="25">
        <v>6957</v>
      </c>
      <c r="Q81" s="105">
        <f t="shared" si="14"/>
        <v>0.57828538383692352</v>
      </c>
      <c r="R81" s="31" t="s">
        <v>8</v>
      </c>
      <c r="S81" s="1">
        <v>1</v>
      </c>
    </row>
    <row r="82" spans="1:19" ht="14.4" x14ac:dyDescent="0.3">
      <c r="A82" s="23">
        <v>4</v>
      </c>
      <c r="B82" s="24" t="s">
        <v>89</v>
      </c>
      <c r="C82" s="25">
        <v>37</v>
      </c>
      <c r="D82" s="25">
        <v>20</v>
      </c>
      <c r="E82" s="39">
        <v>20</v>
      </c>
      <c r="F82" s="105">
        <f t="shared" si="10"/>
        <v>0</v>
      </c>
      <c r="G82" s="105">
        <f t="shared" si="11"/>
        <v>54.054054054054056</v>
      </c>
      <c r="H82" s="144">
        <v>121</v>
      </c>
      <c r="I82" s="39">
        <v>121</v>
      </c>
      <c r="J82" s="30">
        <v>128856</v>
      </c>
      <c r="K82" s="25">
        <v>11959</v>
      </c>
      <c r="L82" s="39">
        <v>11959</v>
      </c>
      <c r="M82" s="105">
        <f t="shared" si="12"/>
        <v>0</v>
      </c>
      <c r="N82" s="105">
        <f t="shared" si="13"/>
        <v>9.2809027131061033</v>
      </c>
      <c r="O82" s="25">
        <v>723</v>
      </c>
      <c r="P82" s="39">
        <v>723</v>
      </c>
      <c r="Q82" s="105">
        <f t="shared" si="14"/>
        <v>0</v>
      </c>
      <c r="R82" s="31" t="s">
        <v>5</v>
      </c>
      <c r="S82" s="1">
        <v>1</v>
      </c>
    </row>
    <row r="83" spans="1:19" ht="14.4" x14ac:dyDescent="0.3">
      <c r="A83" s="23">
        <v>5</v>
      </c>
      <c r="B83" s="24" t="s">
        <v>90</v>
      </c>
      <c r="C83" s="25">
        <v>40</v>
      </c>
      <c r="D83" s="25">
        <v>29</v>
      </c>
      <c r="E83" s="25">
        <v>29</v>
      </c>
      <c r="F83" s="105">
        <f t="shared" si="10"/>
        <v>0</v>
      </c>
      <c r="G83" s="105">
        <f t="shared" si="11"/>
        <v>72.5</v>
      </c>
      <c r="H83" s="25">
        <f>'[6]1.RSP Districts '!H83</f>
        <v>204</v>
      </c>
      <c r="I83" s="25">
        <v>204</v>
      </c>
      <c r="J83" s="25">
        <v>90682.077922077922</v>
      </c>
      <c r="K83" s="25">
        <v>84893</v>
      </c>
      <c r="L83" s="25">
        <v>84893</v>
      </c>
      <c r="M83" s="105">
        <f t="shared" si="12"/>
        <v>0</v>
      </c>
      <c r="N83" s="105">
        <f t="shared" si="13"/>
        <v>93.616072707274739</v>
      </c>
      <c r="O83" s="25">
        <v>5074</v>
      </c>
      <c r="P83" s="25">
        <v>5074</v>
      </c>
      <c r="Q83" s="105">
        <f t="shared" si="14"/>
        <v>0</v>
      </c>
      <c r="R83" s="31" t="s">
        <v>8</v>
      </c>
      <c r="S83" s="1">
        <v>1</v>
      </c>
    </row>
    <row r="84" spans="1:19" x14ac:dyDescent="0.25">
      <c r="A84" s="23">
        <v>6</v>
      </c>
      <c r="B84" s="24" t="s">
        <v>91</v>
      </c>
      <c r="C84" s="25">
        <v>28</v>
      </c>
      <c r="D84" s="25">
        <v>12</v>
      </c>
      <c r="E84" s="25">
        <v>12</v>
      </c>
      <c r="F84" s="105">
        <f t="shared" si="10"/>
        <v>0</v>
      </c>
      <c r="G84" s="105">
        <f t="shared" si="11"/>
        <v>42.857142857142854</v>
      </c>
      <c r="H84" s="25">
        <f>'[5]1.RSP Districts '!H84</f>
        <v>78</v>
      </c>
      <c r="I84" s="25">
        <v>78</v>
      </c>
      <c r="J84" s="25">
        <v>88816</v>
      </c>
      <c r="K84" s="25">
        <v>26635</v>
      </c>
      <c r="L84" s="25">
        <v>26725</v>
      </c>
      <c r="M84" s="105">
        <f t="shared" si="12"/>
        <v>0.33790125774357044</v>
      </c>
      <c r="N84" s="105">
        <f t="shared" si="13"/>
        <v>30.09029904521708</v>
      </c>
      <c r="O84" s="25">
        <v>549</v>
      </c>
      <c r="P84" s="25">
        <v>554</v>
      </c>
      <c r="Q84" s="105">
        <f t="shared" si="14"/>
        <v>0.91074681238615662</v>
      </c>
      <c r="R84" s="32" t="s">
        <v>10</v>
      </c>
      <c r="S84" s="1">
        <v>1</v>
      </c>
    </row>
    <row r="85" spans="1:19" x14ac:dyDescent="0.25">
      <c r="A85" s="23">
        <v>7</v>
      </c>
      <c r="B85" s="24" t="s">
        <v>211</v>
      </c>
      <c r="C85" s="25">
        <v>0</v>
      </c>
      <c r="D85" s="25">
        <v>0</v>
      </c>
      <c r="E85" s="25"/>
      <c r="F85" s="105">
        <v>0</v>
      </c>
      <c r="G85" s="105">
        <v>0</v>
      </c>
      <c r="H85" s="105"/>
      <c r="I85" s="105"/>
      <c r="J85" s="25">
        <v>0</v>
      </c>
      <c r="K85" s="25">
        <v>0</v>
      </c>
      <c r="L85" s="25">
        <v>0</v>
      </c>
      <c r="M85" s="105">
        <v>0</v>
      </c>
      <c r="N85" s="105">
        <v>0</v>
      </c>
      <c r="O85" s="25">
        <v>0</v>
      </c>
      <c r="P85" s="26">
        <v>0</v>
      </c>
      <c r="Q85" s="105">
        <v>0</v>
      </c>
      <c r="R85" s="81">
        <v>0</v>
      </c>
      <c r="S85" s="1">
        <v>1</v>
      </c>
    </row>
    <row r="86" spans="1:19" ht="14.4" x14ac:dyDescent="0.3">
      <c r="A86" s="23">
        <v>8</v>
      </c>
      <c r="B86" s="24" t="s">
        <v>92</v>
      </c>
      <c r="C86" s="25">
        <v>37</v>
      </c>
      <c r="D86" s="25">
        <v>37</v>
      </c>
      <c r="E86" s="25">
        <v>37</v>
      </c>
      <c r="F86" s="105">
        <f t="shared" si="10"/>
        <v>0</v>
      </c>
      <c r="G86" s="105">
        <f t="shared" si="11"/>
        <v>100</v>
      </c>
      <c r="H86" s="25">
        <f>'[6]1.RSP Districts '!H86</f>
        <v>170</v>
      </c>
      <c r="I86" s="25">
        <v>170</v>
      </c>
      <c r="J86" s="25">
        <v>110969</v>
      </c>
      <c r="K86" s="25">
        <v>80708</v>
      </c>
      <c r="L86" s="25">
        <v>80708</v>
      </c>
      <c r="M86" s="105">
        <f t="shared" si="12"/>
        <v>0</v>
      </c>
      <c r="N86" s="105">
        <f t="shared" si="13"/>
        <v>72.73022195387901</v>
      </c>
      <c r="O86" s="25">
        <v>4787</v>
      </c>
      <c r="P86" s="25">
        <v>4787</v>
      </c>
      <c r="Q86" s="105">
        <f t="shared" si="14"/>
        <v>0</v>
      </c>
      <c r="R86" s="31" t="s">
        <v>8</v>
      </c>
      <c r="S86" s="1">
        <v>1</v>
      </c>
    </row>
    <row r="87" spans="1:19" ht="14.4" x14ac:dyDescent="0.3">
      <c r="A87" s="23">
        <v>9</v>
      </c>
      <c r="B87" s="33" t="s">
        <v>93</v>
      </c>
      <c r="C87" s="25">
        <v>76</v>
      </c>
      <c r="D87" s="25">
        <v>49</v>
      </c>
      <c r="E87" s="25">
        <v>49</v>
      </c>
      <c r="F87" s="105">
        <f t="shared" si="10"/>
        <v>0</v>
      </c>
      <c r="G87" s="105">
        <f t="shared" si="11"/>
        <v>64.473684210526315</v>
      </c>
      <c r="H87" s="25">
        <f>'[6]1.RSP Districts '!H87</f>
        <v>244</v>
      </c>
      <c r="I87" s="25">
        <v>244</v>
      </c>
      <c r="J87" s="25">
        <v>208270</v>
      </c>
      <c r="K87" s="25">
        <v>70400</v>
      </c>
      <c r="L87" s="25">
        <v>70400</v>
      </c>
      <c r="M87" s="105">
        <f t="shared" si="12"/>
        <v>0</v>
      </c>
      <c r="N87" s="105">
        <f t="shared" si="13"/>
        <v>33.802275891871133</v>
      </c>
      <c r="O87" s="25">
        <v>4078</v>
      </c>
      <c r="P87" s="25">
        <v>4078</v>
      </c>
      <c r="Q87" s="105">
        <f t="shared" si="14"/>
        <v>0</v>
      </c>
      <c r="R87" s="31" t="s">
        <v>8</v>
      </c>
      <c r="S87" s="1">
        <v>1</v>
      </c>
    </row>
    <row r="88" spans="1:19" ht="14.4" x14ac:dyDescent="0.3">
      <c r="A88" s="23">
        <v>10</v>
      </c>
      <c r="B88" s="24" t="s">
        <v>94</v>
      </c>
      <c r="C88" s="25">
        <v>44</v>
      </c>
      <c r="D88" s="25">
        <v>38</v>
      </c>
      <c r="E88" s="25">
        <v>38</v>
      </c>
      <c r="F88" s="105">
        <f t="shared" si="10"/>
        <v>0</v>
      </c>
      <c r="G88" s="105">
        <f t="shared" si="11"/>
        <v>86.36363636363636</v>
      </c>
      <c r="H88" s="25">
        <f>'[6]1.RSP Districts '!H88</f>
        <v>176</v>
      </c>
      <c r="I88" s="25">
        <v>176</v>
      </c>
      <c r="J88" s="25">
        <v>121639.04761904762</v>
      </c>
      <c r="K88" s="25">
        <v>37589</v>
      </c>
      <c r="L88" s="25">
        <v>37589</v>
      </c>
      <c r="M88" s="105">
        <f t="shared" si="12"/>
        <v>0</v>
      </c>
      <c r="N88" s="105">
        <f t="shared" si="13"/>
        <v>30.902083447514503</v>
      </c>
      <c r="O88" s="25">
        <v>3605</v>
      </c>
      <c r="P88" s="25">
        <v>3605</v>
      </c>
      <c r="Q88" s="105">
        <f t="shared" si="14"/>
        <v>0</v>
      </c>
      <c r="R88" s="31" t="s">
        <v>8</v>
      </c>
      <c r="S88" s="1">
        <v>1</v>
      </c>
    </row>
    <row r="89" spans="1:19" ht="14.4" x14ac:dyDescent="0.3">
      <c r="A89" s="23">
        <v>11</v>
      </c>
      <c r="B89" s="24" t="s">
        <v>95</v>
      </c>
      <c r="C89" s="25">
        <v>19</v>
      </c>
      <c r="D89" s="25">
        <v>15</v>
      </c>
      <c r="E89" s="39">
        <v>15</v>
      </c>
      <c r="F89" s="105">
        <f t="shared" si="10"/>
        <v>0</v>
      </c>
      <c r="G89" s="105">
        <f t="shared" si="11"/>
        <v>78.94736842105263</v>
      </c>
      <c r="H89" s="144">
        <v>21</v>
      </c>
      <c r="I89" s="39">
        <v>21</v>
      </c>
      <c r="J89" s="30">
        <v>47026</v>
      </c>
      <c r="K89" s="25">
        <v>23129</v>
      </c>
      <c r="L89" s="39">
        <v>23129</v>
      </c>
      <c r="M89" s="105">
        <f t="shared" si="12"/>
        <v>0</v>
      </c>
      <c r="N89" s="105">
        <f t="shared" si="13"/>
        <v>49.183430442733808</v>
      </c>
      <c r="O89" s="25">
        <v>1770</v>
      </c>
      <c r="P89" s="39">
        <v>1770</v>
      </c>
      <c r="Q89" s="105">
        <f t="shared" si="14"/>
        <v>0</v>
      </c>
      <c r="R89" s="31" t="s">
        <v>5</v>
      </c>
      <c r="S89" s="1">
        <v>1</v>
      </c>
    </row>
    <row r="90" spans="1:19" ht="14.4" x14ac:dyDescent="0.3">
      <c r="A90" s="23">
        <v>12</v>
      </c>
      <c r="B90" s="24" t="s">
        <v>96</v>
      </c>
      <c r="C90" s="25">
        <v>41</v>
      </c>
      <c r="D90" s="25">
        <v>41</v>
      </c>
      <c r="E90" s="39">
        <v>41</v>
      </c>
      <c r="F90" s="105">
        <f t="shared" si="10"/>
        <v>0</v>
      </c>
      <c r="G90" s="105">
        <f t="shared" si="11"/>
        <v>100</v>
      </c>
      <c r="H90" s="144">
        <v>329</v>
      </c>
      <c r="I90" s="39">
        <v>329</v>
      </c>
      <c r="J90" s="30">
        <v>111973</v>
      </c>
      <c r="K90" s="25">
        <v>65160</v>
      </c>
      <c r="L90" s="39">
        <v>69505</v>
      </c>
      <c r="M90" s="105">
        <f t="shared" si="12"/>
        <v>6.6682013505217919</v>
      </c>
      <c r="N90" s="105">
        <f t="shared" si="13"/>
        <v>62.072999741008992</v>
      </c>
      <c r="O90" s="25">
        <v>3936</v>
      </c>
      <c r="P90" s="39">
        <v>4143</v>
      </c>
      <c r="Q90" s="105">
        <f t="shared" si="14"/>
        <v>5.2591463414634143</v>
      </c>
      <c r="R90" s="31" t="s">
        <v>5</v>
      </c>
      <c r="S90" s="1">
        <v>1</v>
      </c>
    </row>
    <row r="91" spans="1:19" ht="14.4" x14ac:dyDescent="0.3">
      <c r="A91" s="23">
        <v>13</v>
      </c>
      <c r="B91" s="24" t="s">
        <v>97</v>
      </c>
      <c r="C91" s="25">
        <v>51</v>
      </c>
      <c r="D91" s="25">
        <v>39</v>
      </c>
      <c r="E91" s="25">
        <v>39</v>
      </c>
      <c r="F91" s="105">
        <f t="shared" si="10"/>
        <v>0</v>
      </c>
      <c r="G91" s="105">
        <f t="shared" si="11"/>
        <v>76.470588235294116</v>
      </c>
      <c r="H91" s="25">
        <f>'[6]1.RSP Districts '!H91</f>
        <v>141</v>
      </c>
      <c r="I91" s="25">
        <v>141</v>
      </c>
      <c r="J91" s="25">
        <v>164715</v>
      </c>
      <c r="K91" s="25">
        <v>24710</v>
      </c>
      <c r="L91" s="25">
        <v>24710</v>
      </c>
      <c r="M91" s="105">
        <f t="shared" si="12"/>
        <v>0</v>
      </c>
      <c r="N91" s="105">
        <f t="shared" si="13"/>
        <v>15.001669550435601</v>
      </c>
      <c r="O91" s="25">
        <v>1729</v>
      </c>
      <c r="P91" s="25">
        <v>1729</v>
      </c>
      <c r="Q91" s="105">
        <f t="shared" si="14"/>
        <v>0</v>
      </c>
      <c r="R91" s="31" t="s">
        <v>8</v>
      </c>
      <c r="S91" s="1">
        <v>1</v>
      </c>
    </row>
    <row r="92" spans="1:19" ht="14.4" x14ac:dyDescent="0.3">
      <c r="A92" s="23">
        <v>14</v>
      </c>
      <c r="B92" s="24" t="s">
        <v>98</v>
      </c>
      <c r="C92" s="25">
        <v>51</v>
      </c>
      <c r="D92" s="25">
        <v>27</v>
      </c>
      <c r="E92" s="39">
        <v>27</v>
      </c>
      <c r="F92" s="105">
        <f t="shared" si="10"/>
        <v>0</v>
      </c>
      <c r="G92" s="105">
        <f t="shared" si="11"/>
        <v>52.941176470588232</v>
      </c>
      <c r="H92" s="144">
        <v>54</v>
      </c>
      <c r="I92" s="39">
        <v>54</v>
      </c>
      <c r="J92" s="30">
        <v>141671</v>
      </c>
      <c r="K92" s="25">
        <v>3092</v>
      </c>
      <c r="L92" s="39">
        <v>3092</v>
      </c>
      <c r="M92" s="105">
        <f t="shared" si="12"/>
        <v>0</v>
      </c>
      <c r="N92" s="105">
        <f t="shared" si="13"/>
        <v>2.1825214758136808</v>
      </c>
      <c r="O92" s="25">
        <v>564</v>
      </c>
      <c r="P92" s="39">
        <v>564</v>
      </c>
      <c r="Q92" s="105">
        <f t="shared" si="14"/>
        <v>0</v>
      </c>
      <c r="R92" s="31" t="s">
        <v>5</v>
      </c>
      <c r="S92" s="1">
        <v>1</v>
      </c>
    </row>
    <row r="93" spans="1:19" ht="14.4" x14ac:dyDescent="0.3">
      <c r="A93" s="23">
        <v>15</v>
      </c>
      <c r="B93" s="24" t="s">
        <v>99</v>
      </c>
      <c r="C93" s="25">
        <v>40</v>
      </c>
      <c r="D93" s="25">
        <v>34</v>
      </c>
      <c r="E93" s="25">
        <v>34</v>
      </c>
      <c r="F93" s="105">
        <f t="shared" si="10"/>
        <v>0</v>
      </c>
      <c r="G93" s="105">
        <f t="shared" si="11"/>
        <v>85</v>
      </c>
      <c r="H93" s="25">
        <f>'[6]1.RSP Districts '!H93</f>
        <v>236</v>
      </c>
      <c r="I93" s="25">
        <v>236</v>
      </c>
      <c r="J93" s="25">
        <v>128408</v>
      </c>
      <c r="K93" s="25">
        <v>29475</v>
      </c>
      <c r="L93" s="25">
        <v>29475</v>
      </c>
      <c r="M93" s="105">
        <f t="shared" si="12"/>
        <v>0</v>
      </c>
      <c r="N93" s="105">
        <f t="shared" si="13"/>
        <v>22.954177309824935</v>
      </c>
      <c r="O93" s="25">
        <v>2221</v>
      </c>
      <c r="P93" s="25">
        <v>2221</v>
      </c>
      <c r="Q93" s="105">
        <f t="shared" si="14"/>
        <v>0</v>
      </c>
      <c r="R93" s="31" t="s">
        <v>8</v>
      </c>
      <c r="S93" s="1">
        <v>1</v>
      </c>
    </row>
    <row r="94" spans="1:19" ht="14.4" x14ac:dyDescent="0.3">
      <c r="A94" s="23">
        <v>16</v>
      </c>
      <c r="B94" s="24" t="s">
        <v>100</v>
      </c>
      <c r="C94" s="25">
        <v>55</v>
      </c>
      <c r="D94" s="25">
        <v>11</v>
      </c>
      <c r="E94" s="25">
        <v>13</v>
      </c>
      <c r="F94" s="105">
        <f t="shared" si="10"/>
        <v>18.181818181818183</v>
      </c>
      <c r="G94" s="105">
        <f t="shared" si="11"/>
        <v>23.636363636363633</v>
      </c>
      <c r="H94" s="25">
        <f>'[7]1.RSP Districts '!H5</f>
        <v>260</v>
      </c>
      <c r="I94" s="25">
        <v>260</v>
      </c>
      <c r="J94" s="25">
        <v>209191</v>
      </c>
      <c r="K94" s="25">
        <v>15430</v>
      </c>
      <c r="L94" s="25">
        <v>16500</v>
      </c>
      <c r="M94" s="105">
        <f t="shared" si="12"/>
        <v>6.934543097861309</v>
      </c>
      <c r="N94" s="105">
        <f t="shared" si="13"/>
        <v>7.8875286221682579</v>
      </c>
      <c r="O94" s="25">
        <v>850</v>
      </c>
      <c r="P94" s="25">
        <v>860</v>
      </c>
      <c r="Q94" s="105">
        <f t="shared" si="14"/>
        <v>1.1764705882352942</v>
      </c>
      <c r="R94" s="31" t="s">
        <v>7</v>
      </c>
      <c r="S94" s="1">
        <v>1</v>
      </c>
    </row>
    <row r="95" spans="1:19" ht="14.4" x14ac:dyDescent="0.3">
      <c r="A95" s="23">
        <v>17</v>
      </c>
      <c r="B95" s="24" t="s">
        <v>101</v>
      </c>
      <c r="C95" s="25">
        <v>51</v>
      </c>
      <c r="D95" s="25">
        <v>50</v>
      </c>
      <c r="E95" s="25">
        <v>50</v>
      </c>
      <c r="F95" s="105">
        <f t="shared" si="10"/>
        <v>0</v>
      </c>
      <c r="G95" s="105">
        <f t="shared" si="11"/>
        <v>98.039215686274503</v>
      </c>
      <c r="H95" s="25">
        <f>'[6]1.RSP Districts '!H95</f>
        <v>222</v>
      </c>
      <c r="I95" s="25">
        <v>222</v>
      </c>
      <c r="J95" s="25">
        <v>122340</v>
      </c>
      <c r="K95" s="25">
        <v>104557</v>
      </c>
      <c r="L95" s="25">
        <v>104557</v>
      </c>
      <c r="M95" s="105">
        <f t="shared" si="12"/>
        <v>0</v>
      </c>
      <c r="N95" s="105">
        <f t="shared" si="13"/>
        <v>85.464279875756077</v>
      </c>
      <c r="O95" s="25">
        <v>5997</v>
      </c>
      <c r="P95" s="25">
        <v>5997</v>
      </c>
      <c r="Q95" s="105">
        <f t="shared" si="14"/>
        <v>0</v>
      </c>
      <c r="R95" s="31" t="s">
        <v>8</v>
      </c>
      <c r="S95" s="1">
        <v>1</v>
      </c>
    </row>
    <row r="96" spans="1:19" ht="14.4" x14ac:dyDescent="0.3">
      <c r="A96" s="23">
        <v>18</v>
      </c>
      <c r="B96" s="24" t="s">
        <v>102</v>
      </c>
      <c r="C96" s="25">
        <v>46</v>
      </c>
      <c r="D96" s="25">
        <v>25</v>
      </c>
      <c r="E96" s="25">
        <v>25</v>
      </c>
      <c r="F96" s="105">
        <f t="shared" si="10"/>
        <v>0</v>
      </c>
      <c r="G96" s="105">
        <f t="shared" si="11"/>
        <v>54.347826086956516</v>
      </c>
      <c r="H96" s="25">
        <f>'[6]1.RSP Districts '!H96</f>
        <v>190</v>
      </c>
      <c r="I96" s="25">
        <v>190</v>
      </c>
      <c r="J96" s="25">
        <v>78458</v>
      </c>
      <c r="K96" s="25">
        <v>36343</v>
      </c>
      <c r="L96" s="25">
        <v>36343</v>
      </c>
      <c r="M96" s="105">
        <f t="shared" si="12"/>
        <v>0</v>
      </c>
      <c r="N96" s="105">
        <f t="shared" si="13"/>
        <v>46.321598817201554</v>
      </c>
      <c r="O96" s="25">
        <v>2613</v>
      </c>
      <c r="P96" s="25">
        <v>2613</v>
      </c>
      <c r="Q96" s="105">
        <f t="shared" si="14"/>
        <v>0</v>
      </c>
      <c r="R96" s="31" t="s">
        <v>8</v>
      </c>
      <c r="S96" s="1">
        <v>1</v>
      </c>
    </row>
    <row r="97" spans="1:20" s="7" customFormat="1" ht="14.4" x14ac:dyDescent="0.3">
      <c r="A97" s="23">
        <v>19</v>
      </c>
      <c r="B97" s="24" t="s">
        <v>103</v>
      </c>
      <c r="C97" s="25">
        <v>19</v>
      </c>
      <c r="D97" s="25">
        <v>12</v>
      </c>
      <c r="E97" s="39">
        <v>12</v>
      </c>
      <c r="F97" s="105">
        <f t="shared" si="10"/>
        <v>0</v>
      </c>
      <c r="G97" s="105">
        <f t="shared" si="11"/>
        <v>63.157894736842103</v>
      </c>
      <c r="H97" s="144">
        <v>19</v>
      </c>
      <c r="I97" s="39">
        <v>19</v>
      </c>
      <c r="J97" s="30">
        <v>47082</v>
      </c>
      <c r="K97" s="25">
        <v>12702</v>
      </c>
      <c r="L97" s="39">
        <v>12702</v>
      </c>
      <c r="M97" s="105">
        <f t="shared" si="12"/>
        <v>0</v>
      </c>
      <c r="N97" s="105">
        <f t="shared" si="13"/>
        <v>26.978463106919843</v>
      </c>
      <c r="O97" s="25">
        <v>1025</v>
      </c>
      <c r="P97" s="39">
        <v>1025</v>
      </c>
      <c r="Q97" s="105">
        <f t="shared" si="14"/>
        <v>0</v>
      </c>
      <c r="R97" s="31" t="s">
        <v>5</v>
      </c>
      <c r="S97" s="1">
        <v>1</v>
      </c>
    </row>
    <row r="98" spans="1:20" s="7" customFormat="1" ht="14.4" x14ac:dyDescent="0.3">
      <c r="A98" s="23">
        <v>20</v>
      </c>
      <c r="B98" s="24" t="s">
        <v>104</v>
      </c>
      <c r="C98" s="25">
        <v>16</v>
      </c>
      <c r="D98" s="25">
        <v>13</v>
      </c>
      <c r="E98" s="39">
        <v>13</v>
      </c>
      <c r="F98" s="105">
        <f t="shared" si="10"/>
        <v>0</v>
      </c>
      <c r="G98" s="105">
        <f t="shared" si="11"/>
        <v>81.25</v>
      </c>
      <c r="H98" s="144">
        <v>66</v>
      </c>
      <c r="I98" s="39">
        <v>66</v>
      </c>
      <c r="J98" s="30">
        <v>39648</v>
      </c>
      <c r="K98" s="25">
        <v>17130</v>
      </c>
      <c r="L98" s="39">
        <v>17546</v>
      </c>
      <c r="M98" s="105">
        <f t="shared" si="12"/>
        <v>2.4284880326911851</v>
      </c>
      <c r="N98" s="105">
        <f t="shared" si="13"/>
        <v>44.254439063761097</v>
      </c>
      <c r="O98" s="25">
        <v>1039</v>
      </c>
      <c r="P98" s="39">
        <v>1065</v>
      </c>
      <c r="Q98" s="105">
        <f t="shared" si="14"/>
        <v>2.5024061597690084</v>
      </c>
      <c r="R98" s="31" t="s">
        <v>5</v>
      </c>
      <c r="S98" s="1">
        <v>1</v>
      </c>
    </row>
    <row r="99" spans="1:20" s="7" customFormat="1" x14ac:dyDescent="0.25">
      <c r="A99" s="23">
        <v>21</v>
      </c>
      <c r="B99" s="24" t="s">
        <v>105</v>
      </c>
      <c r="C99" s="25">
        <v>44</v>
      </c>
      <c r="D99" s="25">
        <v>44</v>
      </c>
      <c r="E99" s="25">
        <v>44</v>
      </c>
      <c r="F99" s="105">
        <f t="shared" si="10"/>
        <v>0</v>
      </c>
      <c r="G99" s="105">
        <f t="shared" si="11"/>
        <v>100</v>
      </c>
      <c r="H99" s="25">
        <f>'[5]1.RSP Districts '!H99</f>
        <v>166</v>
      </c>
      <c r="I99" s="25">
        <v>166</v>
      </c>
      <c r="J99" s="25">
        <v>159486</v>
      </c>
      <c r="K99" s="25">
        <v>159335</v>
      </c>
      <c r="L99" s="25">
        <f>K99+160</f>
        <v>159495</v>
      </c>
      <c r="M99" s="105">
        <f t="shared" si="12"/>
        <v>0.10041735965104968</v>
      </c>
      <c r="N99" s="105">
        <f t="shared" si="13"/>
        <v>100.00564312855047</v>
      </c>
      <c r="O99" s="25">
        <v>11447</v>
      </c>
      <c r="P99" s="25">
        <v>11455</v>
      </c>
      <c r="Q99" s="105">
        <f t="shared" si="14"/>
        <v>6.9887306717917361E-2</v>
      </c>
      <c r="R99" s="32" t="s">
        <v>10</v>
      </c>
      <c r="S99" s="1">
        <v>1</v>
      </c>
      <c r="T99" s="7">
        <f>8</f>
        <v>8</v>
      </c>
    </row>
    <row r="100" spans="1:20" s="7" customFormat="1" ht="14.4" x14ac:dyDescent="0.3">
      <c r="A100" s="23">
        <v>22</v>
      </c>
      <c r="B100" s="24" t="s">
        <v>106</v>
      </c>
      <c r="C100" s="25">
        <v>55</v>
      </c>
      <c r="D100" s="25">
        <v>52</v>
      </c>
      <c r="E100" s="39">
        <v>52</v>
      </c>
      <c r="F100" s="105">
        <f t="shared" si="10"/>
        <v>0</v>
      </c>
      <c r="G100" s="105">
        <f t="shared" si="11"/>
        <v>94.545454545454533</v>
      </c>
      <c r="H100" s="144">
        <v>298</v>
      </c>
      <c r="I100" s="39">
        <v>298</v>
      </c>
      <c r="J100" s="30">
        <v>202554</v>
      </c>
      <c r="K100" s="25">
        <v>37033</v>
      </c>
      <c r="L100" s="39">
        <v>37210</v>
      </c>
      <c r="M100" s="105">
        <f t="shared" si="12"/>
        <v>0.47795209677854888</v>
      </c>
      <c r="N100" s="105">
        <f t="shared" si="13"/>
        <v>18.370409866011041</v>
      </c>
      <c r="O100" s="25">
        <v>2115</v>
      </c>
      <c r="P100" s="39">
        <v>2124</v>
      </c>
      <c r="Q100" s="105">
        <f t="shared" si="14"/>
        <v>0.42553191489361702</v>
      </c>
      <c r="R100" s="31" t="s">
        <v>5</v>
      </c>
      <c r="S100" s="1">
        <v>1</v>
      </c>
    </row>
    <row r="101" spans="1:20" s="7" customFormat="1" ht="14.4" thickBot="1" x14ac:dyDescent="0.3">
      <c r="A101" s="37">
        <v>23</v>
      </c>
      <c r="B101" s="38" t="s">
        <v>107</v>
      </c>
      <c r="C101" s="39">
        <v>27</v>
      </c>
      <c r="D101" s="25">
        <v>27</v>
      </c>
      <c r="E101" s="25">
        <v>27</v>
      </c>
      <c r="F101" s="140">
        <f t="shared" si="10"/>
        <v>0</v>
      </c>
      <c r="G101" s="140">
        <f t="shared" si="11"/>
        <v>100</v>
      </c>
      <c r="H101" s="25">
        <f>'[5]1.RSP Districts '!H101</f>
        <v>186</v>
      </c>
      <c r="I101" s="39">
        <v>186</v>
      </c>
      <c r="J101" s="39">
        <v>106515</v>
      </c>
      <c r="K101" s="25">
        <v>42908</v>
      </c>
      <c r="L101" s="25">
        <v>42962</v>
      </c>
      <c r="M101" s="140">
        <f t="shared" si="12"/>
        <v>0.12585065722009883</v>
      </c>
      <c r="N101" s="140">
        <f t="shared" si="13"/>
        <v>40.334225226493921</v>
      </c>
      <c r="O101" s="25">
        <v>2648</v>
      </c>
      <c r="P101" s="25">
        <v>2651</v>
      </c>
      <c r="Q101" s="140">
        <f t="shared" si="14"/>
        <v>0.11329305135951662</v>
      </c>
      <c r="R101" s="42" t="s">
        <v>10</v>
      </c>
      <c r="S101" s="1">
        <v>1</v>
      </c>
    </row>
    <row r="102" spans="1:20" s="5" customFormat="1" ht="14.4" thickBot="1" x14ac:dyDescent="0.3">
      <c r="A102" s="159">
        <f>COUNTIF(R79:R101,"*")</f>
        <v>22</v>
      </c>
      <c r="B102" s="158" t="s">
        <v>84</v>
      </c>
      <c r="C102" s="57">
        <f>SUM(C79:C101)</f>
        <v>921</v>
      </c>
      <c r="D102" s="57">
        <f>SUM(D79:D101)</f>
        <v>688</v>
      </c>
      <c r="E102" s="57">
        <f>SUM(E79:E101)</f>
        <v>690</v>
      </c>
      <c r="F102" s="160">
        <f t="shared" si="10"/>
        <v>0.29069767441860467</v>
      </c>
      <c r="G102" s="160">
        <f t="shared" si="11"/>
        <v>74.918566775244287</v>
      </c>
      <c r="H102" s="160">
        <f>SUM(H79:H101)</f>
        <v>3942</v>
      </c>
      <c r="I102" s="160">
        <f>SUM(I79:I101)</f>
        <v>3942</v>
      </c>
      <c r="J102" s="57">
        <f>SUM(J79:J101)</f>
        <v>2816903.1255411254</v>
      </c>
      <c r="K102" s="57">
        <f>SUM(K79:K101)</f>
        <v>1136650</v>
      </c>
      <c r="L102" s="57">
        <f>SUM(L79:L101)</f>
        <v>1149234</v>
      </c>
      <c r="M102" s="160">
        <f t="shared" si="12"/>
        <v>1.1071130075221045</v>
      </c>
      <c r="N102" s="160">
        <f t="shared" si="13"/>
        <v>40.79778213101428</v>
      </c>
      <c r="O102" s="57">
        <f>SUM(O79:O101)</f>
        <v>70363</v>
      </c>
      <c r="P102" s="57">
        <f>SUM(P79:P101)</f>
        <v>71009</v>
      </c>
      <c r="Q102" s="160">
        <f t="shared" si="14"/>
        <v>0.91809615849238946</v>
      </c>
      <c r="R102" s="162"/>
      <c r="S102" s="1">
        <v>1</v>
      </c>
    </row>
    <row r="103" spans="1:20" ht="5.25" customHeight="1" thickBot="1" x14ac:dyDescent="0.35">
      <c r="A103" s="35"/>
      <c r="B103" s="36"/>
      <c r="C103" s="28"/>
      <c r="D103" s="28"/>
      <c r="E103" s="28"/>
      <c r="F103" s="106"/>
      <c r="G103" s="106"/>
      <c r="H103" s="106"/>
      <c r="I103" s="106"/>
      <c r="J103" s="28"/>
      <c r="K103" s="28"/>
      <c r="L103" s="28"/>
      <c r="M103" s="28"/>
      <c r="N103" s="28"/>
      <c r="O103" s="28"/>
      <c r="P103" s="28"/>
      <c r="Q103" s="28"/>
      <c r="R103" s="15"/>
      <c r="S103" s="1">
        <v>1</v>
      </c>
    </row>
    <row r="104" spans="1:20" s="6" customFormat="1" x14ac:dyDescent="0.25">
      <c r="A104" s="18" t="s">
        <v>108</v>
      </c>
      <c r="B104" s="19"/>
      <c r="C104" s="20"/>
      <c r="D104" s="29"/>
      <c r="E104" s="29"/>
      <c r="F104" s="107"/>
      <c r="G104" s="107"/>
      <c r="H104" s="107"/>
      <c r="I104" s="107"/>
      <c r="J104" s="20"/>
      <c r="K104" s="29"/>
      <c r="L104" s="29"/>
      <c r="M104" s="29"/>
      <c r="N104" s="29"/>
      <c r="O104" s="29"/>
      <c r="P104" s="29"/>
      <c r="Q104" s="29"/>
      <c r="R104" s="22"/>
      <c r="S104" s="1">
        <v>1</v>
      </c>
    </row>
    <row r="105" spans="1:20" s="7" customFormat="1" x14ac:dyDescent="0.25">
      <c r="A105" s="23">
        <v>1</v>
      </c>
      <c r="B105" s="24" t="s">
        <v>109</v>
      </c>
      <c r="C105" s="30">
        <v>65</v>
      </c>
      <c r="D105" s="25">
        <v>12</v>
      </c>
      <c r="E105" s="25">
        <v>12</v>
      </c>
      <c r="F105" s="105">
        <f t="shared" ref="F105:F152" si="15">(E105-D105)/D105%</f>
        <v>0</v>
      </c>
      <c r="G105" s="105">
        <f t="shared" ref="G105:G152" si="16">E105/C105%</f>
        <v>18.46153846153846</v>
      </c>
      <c r="H105" s="25">
        <f>'[4]1.RSP Districts '!H105</f>
        <v>69</v>
      </c>
      <c r="I105" s="25">
        <v>69</v>
      </c>
      <c r="J105" s="25">
        <v>164849</v>
      </c>
      <c r="K105" s="25">
        <v>18442</v>
      </c>
      <c r="L105" s="25">
        <v>18782</v>
      </c>
      <c r="M105" s="105">
        <f t="shared" ref="M105:M152" si="17">(L105-K105)/K105%</f>
        <v>1.8436178288688863</v>
      </c>
      <c r="N105" s="105">
        <f t="shared" ref="N105:N152" si="18">L105/J105%</f>
        <v>11.393457042505565</v>
      </c>
      <c r="O105" s="25">
        <v>1559</v>
      </c>
      <c r="P105" s="25">
        <v>1579</v>
      </c>
      <c r="Q105" s="105">
        <f t="shared" ref="Q105:Q152" si="19">(P105-O105)/O105%</f>
        <v>1.2828736369467608</v>
      </c>
      <c r="R105" s="32" t="s">
        <v>4</v>
      </c>
      <c r="S105" s="1">
        <v>1</v>
      </c>
      <c r="T105" s="169"/>
    </row>
    <row r="106" spans="1:20" x14ac:dyDescent="0.25">
      <c r="A106" s="23">
        <v>1</v>
      </c>
      <c r="B106" s="24" t="s">
        <v>110</v>
      </c>
      <c r="C106" s="25">
        <v>65</v>
      </c>
      <c r="D106" s="25">
        <v>64</v>
      </c>
      <c r="E106" s="39">
        <v>64</v>
      </c>
      <c r="F106" s="105">
        <f t="shared" si="15"/>
        <v>0</v>
      </c>
      <c r="G106" s="105">
        <f t="shared" si="16"/>
        <v>98.461538461538453</v>
      </c>
      <c r="H106" s="143">
        <v>454</v>
      </c>
      <c r="I106" s="39">
        <v>454</v>
      </c>
      <c r="J106" s="25">
        <v>164849</v>
      </c>
      <c r="K106" s="25">
        <v>64157</v>
      </c>
      <c r="L106" s="39">
        <v>66651</v>
      </c>
      <c r="M106" s="105">
        <f t="shared" si="17"/>
        <v>3.8873388718300417</v>
      </c>
      <c r="N106" s="105">
        <f t="shared" si="18"/>
        <v>40.431546445535005</v>
      </c>
      <c r="O106" s="25">
        <v>3935</v>
      </c>
      <c r="P106" s="39">
        <v>4318</v>
      </c>
      <c r="Q106" s="105">
        <f t="shared" si="19"/>
        <v>9.7331639135959342</v>
      </c>
      <c r="R106" s="27" t="s">
        <v>5</v>
      </c>
      <c r="S106" s="1">
        <v>1</v>
      </c>
      <c r="T106" s="169"/>
    </row>
    <row r="107" spans="1:20" s="7" customFormat="1" x14ac:dyDescent="0.25">
      <c r="A107" s="23">
        <v>2</v>
      </c>
      <c r="B107" s="24" t="s">
        <v>111</v>
      </c>
      <c r="C107" s="25">
        <v>101</v>
      </c>
      <c r="D107" s="25">
        <v>101</v>
      </c>
      <c r="E107" s="39">
        <v>101</v>
      </c>
      <c r="F107" s="105">
        <f t="shared" si="15"/>
        <v>0</v>
      </c>
      <c r="G107" s="105">
        <f t="shared" si="16"/>
        <v>100</v>
      </c>
      <c r="H107" s="144">
        <v>869</v>
      </c>
      <c r="I107" s="39">
        <v>869</v>
      </c>
      <c r="J107" s="30">
        <v>158489</v>
      </c>
      <c r="K107" s="25">
        <v>208536</v>
      </c>
      <c r="L107" s="39">
        <v>212125</v>
      </c>
      <c r="M107" s="105">
        <f t="shared" si="17"/>
        <v>1.7210457666781753</v>
      </c>
      <c r="N107" s="105">
        <f t="shared" si="18"/>
        <v>133.84209629690389</v>
      </c>
      <c r="O107" s="25">
        <v>15166</v>
      </c>
      <c r="P107" s="39">
        <v>15377</v>
      </c>
      <c r="Q107" s="105">
        <f t="shared" si="19"/>
        <v>1.3912699459316893</v>
      </c>
      <c r="R107" s="32" t="s">
        <v>5</v>
      </c>
      <c r="S107" s="1">
        <v>1</v>
      </c>
      <c r="T107" s="169"/>
    </row>
    <row r="108" spans="1:20" s="7" customFormat="1" x14ac:dyDescent="0.25">
      <c r="A108" s="23">
        <v>3</v>
      </c>
      <c r="B108" s="24" t="s">
        <v>112</v>
      </c>
      <c r="C108" s="25">
        <v>97</v>
      </c>
      <c r="D108" s="25">
        <v>97</v>
      </c>
      <c r="E108" s="39">
        <v>97</v>
      </c>
      <c r="F108" s="105">
        <f t="shared" si="15"/>
        <v>0</v>
      </c>
      <c r="G108" s="105">
        <f t="shared" si="16"/>
        <v>100</v>
      </c>
      <c r="H108" s="144">
        <v>609</v>
      </c>
      <c r="I108" s="39">
        <v>609</v>
      </c>
      <c r="J108" s="30">
        <v>128856</v>
      </c>
      <c r="K108" s="25">
        <v>247927</v>
      </c>
      <c r="L108" s="39">
        <v>264491</v>
      </c>
      <c r="M108" s="105">
        <f t="shared" si="17"/>
        <v>6.6809988424011904</v>
      </c>
      <c r="N108" s="105">
        <f t="shared" si="18"/>
        <v>205.2609114049792</v>
      </c>
      <c r="O108" s="25">
        <v>16980</v>
      </c>
      <c r="P108" s="39">
        <v>17855</v>
      </c>
      <c r="Q108" s="105">
        <f t="shared" si="19"/>
        <v>5.153121319199057</v>
      </c>
      <c r="R108" s="32" t="s">
        <v>5</v>
      </c>
      <c r="S108" s="1">
        <v>1</v>
      </c>
      <c r="T108" s="169"/>
    </row>
    <row r="109" spans="1:20" s="7" customFormat="1" x14ac:dyDescent="0.25">
      <c r="A109" s="23">
        <v>4</v>
      </c>
      <c r="B109" s="24" t="s">
        <v>113</v>
      </c>
      <c r="C109" s="25">
        <v>42</v>
      </c>
      <c r="D109" s="25">
        <v>40</v>
      </c>
      <c r="E109" s="39">
        <v>40</v>
      </c>
      <c r="F109" s="105">
        <f t="shared" si="15"/>
        <v>0</v>
      </c>
      <c r="G109" s="105">
        <f t="shared" si="16"/>
        <v>95.238095238095241</v>
      </c>
      <c r="H109" s="144">
        <v>530</v>
      </c>
      <c r="I109" s="39">
        <v>530</v>
      </c>
      <c r="J109" s="30">
        <v>90682.077922077922</v>
      </c>
      <c r="K109" s="25">
        <v>138197</v>
      </c>
      <c r="L109" s="39">
        <v>143276</v>
      </c>
      <c r="M109" s="105">
        <f t="shared" si="17"/>
        <v>3.6751883181255742</v>
      </c>
      <c r="N109" s="105">
        <f t="shared" si="18"/>
        <v>157.99814393657306</v>
      </c>
      <c r="O109" s="25">
        <v>8782</v>
      </c>
      <c r="P109" s="39">
        <v>8957</v>
      </c>
      <c r="Q109" s="105">
        <f t="shared" si="19"/>
        <v>1.9927123662035984</v>
      </c>
      <c r="R109" s="32" t="s">
        <v>5</v>
      </c>
      <c r="S109" s="1">
        <v>1</v>
      </c>
      <c r="T109" s="169"/>
    </row>
    <row r="110" spans="1:20" s="7" customFormat="1" x14ac:dyDescent="0.25">
      <c r="A110" s="23">
        <v>5</v>
      </c>
      <c r="B110" s="24" t="s">
        <v>114</v>
      </c>
      <c r="C110" s="25">
        <v>65</v>
      </c>
      <c r="D110" s="25">
        <v>60</v>
      </c>
      <c r="E110" s="39">
        <v>60</v>
      </c>
      <c r="F110" s="105">
        <f t="shared" si="15"/>
        <v>0</v>
      </c>
      <c r="G110" s="105">
        <f t="shared" si="16"/>
        <v>92.307692307692307</v>
      </c>
      <c r="H110" s="144">
        <v>418</v>
      </c>
      <c r="I110" s="39">
        <v>418</v>
      </c>
      <c r="J110" s="30">
        <v>88816</v>
      </c>
      <c r="K110" s="25">
        <v>61489</v>
      </c>
      <c r="L110" s="39">
        <v>69180</v>
      </c>
      <c r="M110" s="105">
        <f t="shared" si="17"/>
        <v>12.50792824732879</v>
      </c>
      <c r="N110" s="105">
        <f t="shared" si="18"/>
        <v>77.891370924157812</v>
      </c>
      <c r="O110" s="25">
        <v>3372</v>
      </c>
      <c r="P110" s="39">
        <v>3764</v>
      </c>
      <c r="Q110" s="105">
        <f t="shared" si="19"/>
        <v>11.625148279952551</v>
      </c>
      <c r="R110" s="32" t="s">
        <v>5</v>
      </c>
      <c r="S110" s="1">
        <v>1</v>
      </c>
      <c r="T110" s="169"/>
    </row>
    <row r="111" spans="1:20" s="7" customFormat="1" x14ac:dyDescent="0.25">
      <c r="A111" s="23">
        <v>6</v>
      </c>
      <c r="B111" s="24" t="s">
        <v>247</v>
      </c>
      <c r="C111" s="25">
        <v>42</v>
      </c>
      <c r="D111" s="25">
        <v>0</v>
      </c>
      <c r="E111" s="25">
        <v>0</v>
      </c>
      <c r="F111" s="105">
        <v>0</v>
      </c>
      <c r="G111" s="105">
        <f t="shared" si="16"/>
        <v>0</v>
      </c>
      <c r="H111" s="25"/>
      <c r="I111" s="25">
        <v>0</v>
      </c>
      <c r="J111" s="180">
        <v>81625.384615384493</v>
      </c>
      <c r="K111" s="25">
        <v>1069</v>
      </c>
      <c r="L111" s="25">
        <v>1069</v>
      </c>
      <c r="M111" s="105">
        <f t="shared" si="17"/>
        <v>0</v>
      </c>
      <c r="N111" s="105">
        <v>0</v>
      </c>
      <c r="O111" s="25">
        <v>60</v>
      </c>
      <c r="P111" s="25">
        <v>60</v>
      </c>
      <c r="Q111" s="105">
        <f t="shared" si="19"/>
        <v>0</v>
      </c>
      <c r="R111" s="81" t="s">
        <v>6</v>
      </c>
      <c r="S111" s="1">
        <v>1</v>
      </c>
      <c r="T111" s="169"/>
    </row>
    <row r="112" spans="1:20" s="7" customFormat="1" x14ac:dyDescent="0.25">
      <c r="A112" s="23">
        <v>7</v>
      </c>
      <c r="B112" s="24" t="s">
        <v>115</v>
      </c>
      <c r="C112" s="25">
        <v>55</v>
      </c>
      <c r="D112" s="25">
        <v>50</v>
      </c>
      <c r="E112" s="39">
        <v>50</v>
      </c>
      <c r="F112" s="105">
        <f t="shared" si="15"/>
        <v>0</v>
      </c>
      <c r="G112" s="105">
        <f t="shared" si="16"/>
        <v>90.909090909090907</v>
      </c>
      <c r="H112" s="143">
        <v>492</v>
      </c>
      <c r="I112" s="39">
        <v>492</v>
      </c>
      <c r="J112" s="25">
        <v>208270</v>
      </c>
      <c r="K112" s="25">
        <v>130916</v>
      </c>
      <c r="L112" s="39">
        <v>131480</v>
      </c>
      <c r="M112" s="105">
        <f t="shared" si="17"/>
        <v>0.43081059610742761</v>
      </c>
      <c r="N112" s="105">
        <f t="shared" si="18"/>
        <v>63.129591395784324</v>
      </c>
      <c r="O112" s="25">
        <v>9483</v>
      </c>
      <c r="P112" s="39">
        <v>9526</v>
      </c>
      <c r="Q112" s="105">
        <f t="shared" si="19"/>
        <v>0.45344300326900772</v>
      </c>
      <c r="R112" s="32" t="s">
        <v>5</v>
      </c>
      <c r="S112" s="1">
        <v>1</v>
      </c>
      <c r="T112" s="169"/>
    </row>
    <row r="113" spans="1:20" s="7" customFormat="1" x14ac:dyDescent="0.25">
      <c r="A113" s="23">
        <v>7</v>
      </c>
      <c r="B113" s="24" t="s">
        <v>248</v>
      </c>
      <c r="C113" s="25">
        <v>55</v>
      </c>
      <c r="D113" s="25">
        <v>0</v>
      </c>
      <c r="E113" s="25">
        <v>0</v>
      </c>
      <c r="F113" s="105">
        <v>0</v>
      </c>
      <c r="G113" s="105">
        <f t="shared" si="16"/>
        <v>0</v>
      </c>
      <c r="H113" s="25"/>
      <c r="I113" s="25">
        <v>0</v>
      </c>
      <c r="J113" s="25">
        <v>208270</v>
      </c>
      <c r="K113" s="25">
        <v>20260</v>
      </c>
      <c r="L113" s="25">
        <v>20260</v>
      </c>
      <c r="M113" s="105">
        <f t="shared" si="17"/>
        <v>0</v>
      </c>
      <c r="N113" s="105">
        <f t="shared" si="18"/>
        <v>9.7277572382004145</v>
      </c>
      <c r="O113" s="25">
        <v>1302</v>
      </c>
      <c r="P113" s="25">
        <v>1302</v>
      </c>
      <c r="Q113" s="105">
        <f t="shared" si="19"/>
        <v>0</v>
      </c>
      <c r="R113" s="32" t="s">
        <v>6</v>
      </c>
      <c r="S113" s="1">
        <v>1</v>
      </c>
      <c r="T113" s="169"/>
    </row>
    <row r="114" spans="1:20" s="7" customFormat="1" x14ac:dyDescent="0.25">
      <c r="A114" s="23">
        <v>8</v>
      </c>
      <c r="B114" s="24" t="s">
        <v>116</v>
      </c>
      <c r="C114" s="25">
        <v>71</v>
      </c>
      <c r="D114" s="25">
        <v>71</v>
      </c>
      <c r="E114" s="25">
        <v>71</v>
      </c>
      <c r="F114" s="105">
        <f t="shared" si="15"/>
        <v>0</v>
      </c>
      <c r="G114" s="105">
        <f t="shared" si="16"/>
        <v>100</v>
      </c>
      <c r="H114" s="25">
        <f>[8]FSD!$K$16</f>
        <v>336</v>
      </c>
      <c r="I114" s="25">
        <v>336</v>
      </c>
      <c r="J114" s="25">
        <v>121639.04761904762</v>
      </c>
      <c r="K114" s="25">
        <v>56225</v>
      </c>
      <c r="L114" s="25">
        <v>57935</v>
      </c>
      <c r="M114" s="105">
        <f t="shared" si="17"/>
        <v>3.0413517118719429</v>
      </c>
      <c r="N114" s="105">
        <f t="shared" si="18"/>
        <v>47.628620195582556</v>
      </c>
      <c r="O114" s="25">
        <v>3697</v>
      </c>
      <c r="P114" s="25">
        <v>3802</v>
      </c>
      <c r="Q114" s="105">
        <f t="shared" si="19"/>
        <v>2.8401406545847987</v>
      </c>
      <c r="R114" s="32" t="s">
        <v>6</v>
      </c>
      <c r="S114" s="1">
        <v>1</v>
      </c>
      <c r="T114" s="169"/>
    </row>
    <row r="115" spans="1:20" s="7" customFormat="1" x14ac:dyDescent="0.25">
      <c r="A115" s="23">
        <v>9</v>
      </c>
      <c r="B115" s="24" t="s">
        <v>117</v>
      </c>
      <c r="C115" s="25">
        <v>97</v>
      </c>
      <c r="D115" s="25">
        <v>62</v>
      </c>
      <c r="E115" s="25">
        <v>62</v>
      </c>
      <c r="F115" s="105">
        <f t="shared" si="15"/>
        <v>0</v>
      </c>
      <c r="G115" s="105">
        <f t="shared" si="16"/>
        <v>63.917525773195877</v>
      </c>
      <c r="H115" s="25">
        <f>[8]GRW!$I$16</f>
        <v>372</v>
      </c>
      <c r="I115" s="25">
        <v>372</v>
      </c>
      <c r="J115" s="25">
        <v>47026</v>
      </c>
      <c r="K115" s="25">
        <v>49110</v>
      </c>
      <c r="L115" s="25">
        <v>50598</v>
      </c>
      <c r="M115" s="105">
        <f t="shared" si="17"/>
        <v>3.0299328039095905</v>
      </c>
      <c r="N115" s="105">
        <f t="shared" si="18"/>
        <v>107.59579806915323</v>
      </c>
      <c r="O115" s="25">
        <v>2848</v>
      </c>
      <c r="P115" s="25">
        <v>2919</v>
      </c>
      <c r="Q115" s="105">
        <f t="shared" si="19"/>
        <v>2.4929775280898876</v>
      </c>
      <c r="R115" s="32" t="s">
        <v>6</v>
      </c>
      <c r="S115" s="1">
        <v>1</v>
      </c>
      <c r="T115" s="169"/>
    </row>
    <row r="116" spans="1:20" s="7" customFormat="1" x14ac:dyDescent="0.25">
      <c r="A116" s="23">
        <v>10</v>
      </c>
      <c r="B116" s="24" t="s">
        <v>118</v>
      </c>
      <c r="C116" s="25">
        <v>87</v>
      </c>
      <c r="D116" s="25">
        <v>35</v>
      </c>
      <c r="E116" s="25">
        <v>35</v>
      </c>
      <c r="F116" s="105">
        <f t="shared" si="15"/>
        <v>0</v>
      </c>
      <c r="G116" s="105">
        <f t="shared" si="16"/>
        <v>40.229885057471265</v>
      </c>
      <c r="H116" s="25">
        <f>[8]GRT!$I$16</f>
        <v>368</v>
      </c>
      <c r="I116" s="25">
        <v>368</v>
      </c>
      <c r="J116" s="25">
        <v>111973</v>
      </c>
      <c r="K116" s="25">
        <v>45489</v>
      </c>
      <c r="L116" s="25">
        <v>46713</v>
      </c>
      <c r="M116" s="105">
        <f t="shared" si="17"/>
        <v>2.6907604036140604</v>
      </c>
      <c r="N116" s="105">
        <f t="shared" si="18"/>
        <v>41.718092754503317</v>
      </c>
      <c r="O116" s="25">
        <v>2935</v>
      </c>
      <c r="P116" s="25">
        <v>2995</v>
      </c>
      <c r="Q116" s="105">
        <f t="shared" si="19"/>
        <v>2.0442930153321974</v>
      </c>
      <c r="R116" s="32" t="s">
        <v>6</v>
      </c>
      <c r="S116" s="1">
        <v>1</v>
      </c>
      <c r="T116" s="169"/>
    </row>
    <row r="117" spans="1:20" s="7" customFormat="1" x14ac:dyDescent="0.25">
      <c r="A117" s="23">
        <v>11</v>
      </c>
      <c r="B117" s="24" t="s">
        <v>119</v>
      </c>
      <c r="C117" s="25">
        <v>40</v>
      </c>
      <c r="D117" s="25">
        <v>16</v>
      </c>
      <c r="E117" s="25">
        <v>16</v>
      </c>
      <c r="F117" s="105">
        <f t="shared" si="15"/>
        <v>0</v>
      </c>
      <c r="G117" s="105">
        <f t="shared" si="16"/>
        <v>40</v>
      </c>
      <c r="H117" s="25">
        <f>[8]HFD!$G$16</f>
        <v>108</v>
      </c>
      <c r="I117" s="25">
        <v>108</v>
      </c>
      <c r="J117" s="25">
        <v>164715</v>
      </c>
      <c r="K117" s="25">
        <v>26397</v>
      </c>
      <c r="L117" s="25">
        <v>27409</v>
      </c>
      <c r="M117" s="105">
        <f t="shared" si="17"/>
        <v>3.8337689889002533</v>
      </c>
      <c r="N117" s="105">
        <f t="shared" si="18"/>
        <v>16.640257414321706</v>
      </c>
      <c r="O117" s="25">
        <v>1640</v>
      </c>
      <c r="P117" s="25">
        <v>1695</v>
      </c>
      <c r="Q117" s="105">
        <f t="shared" si="19"/>
        <v>3.3536585365853662</v>
      </c>
      <c r="R117" s="32" t="s">
        <v>6</v>
      </c>
      <c r="S117" s="1">
        <v>1</v>
      </c>
      <c r="T117" s="169"/>
    </row>
    <row r="118" spans="1:20" s="7" customFormat="1" x14ac:dyDescent="0.25">
      <c r="A118" s="23">
        <v>12</v>
      </c>
      <c r="B118" s="24" t="s">
        <v>120</v>
      </c>
      <c r="C118" s="25">
        <v>79</v>
      </c>
      <c r="D118" s="25">
        <v>21</v>
      </c>
      <c r="E118" s="25">
        <v>21</v>
      </c>
      <c r="F118" s="105">
        <f t="shared" si="15"/>
        <v>0</v>
      </c>
      <c r="G118" s="105">
        <f t="shared" si="16"/>
        <v>26.582278481012658</v>
      </c>
      <c r="H118" s="25">
        <f>[8]JHG!$G$16</f>
        <v>181</v>
      </c>
      <c r="I118" s="25">
        <v>181</v>
      </c>
      <c r="J118" s="25">
        <v>141671</v>
      </c>
      <c r="K118" s="25">
        <v>26042</v>
      </c>
      <c r="L118" s="25">
        <v>26809</v>
      </c>
      <c r="M118" s="105">
        <f t="shared" si="17"/>
        <v>2.9452423008985482</v>
      </c>
      <c r="N118" s="105">
        <f t="shared" si="18"/>
        <v>18.923421165940805</v>
      </c>
      <c r="O118" s="25">
        <v>1792</v>
      </c>
      <c r="P118" s="25">
        <v>1840</v>
      </c>
      <c r="Q118" s="105">
        <f t="shared" si="19"/>
        <v>2.6785714285714284</v>
      </c>
      <c r="R118" s="32" t="s">
        <v>6</v>
      </c>
      <c r="S118" s="1">
        <v>1</v>
      </c>
      <c r="T118" s="169"/>
    </row>
    <row r="119" spans="1:20" s="7" customFormat="1" x14ac:dyDescent="0.25">
      <c r="A119" s="23">
        <v>13</v>
      </c>
      <c r="B119" s="24" t="s">
        <v>121</v>
      </c>
      <c r="C119" s="25">
        <v>50</v>
      </c>
      <c r="D119" s="25">
        <v>35</v>
      </c>
      <c r="E119" s="39">
        <v>35</v>
      </c>
      <c r="F119" s="105">
        <f t="shared" si="15"/>
        <v>0</v>
      </c>
      <c r="G119" s="105">
        <f t="shared" si="16"/>
        <v>70</v>
      </c>
      <c r="H119" s="144">
        <v>637</v>
      </c>
      <c r="I119" s="39">
        <v>637</v>
      </c>
      <c r="J119" s="30">
        <v>128408</v>
      </c>
      <c r="K119" s="25">
        <v>43045</v>
      </c>
      <c r="L119" s="39">
        <f>K119</f>
        <v>43045</v>
      </c>
      <c r="M119" s="105">
        <f t="shared" si="17"/>
        <v>0</v>
      </c>
      <c r="N119" s="105">
        <f t="shared" si="18"/>
        <v>33.522054700641704</v>
      </c>
      <c r="O119" s="25">
        <v>2243</v>
      </c>
      <c r="P119" s="39">
        <v>2380</v>
      </c>
      <c r="Q119" s="105">
        <f t="shared" si="19"/>
        <v>6.1078912171199287</v>
      </c>
      <c r="R119" s="32" t="s">
        <v>5</v>
      </c>
      <c r="S119" s="1">
        <v>1</v>
      </c>
      <c r="T119" s="169"/>
    </row>
    <row r="120" spans="1:20" s="7" customFormat="1" x14ac:dyDescent="0.25">
      <c r="A120" s="23">
        <v>14</v>
      </c>
      <c r="B120" s="24" t="s">
        <v>122</v>
      </c>
      <c r="C120" s="25">
        <v>89</v>
      </c>
      <c r="D120" s="25">
        <v>7</v>
      </c>
      <c r="E120" s="25">
        <v>7</v>
      </c>
      <c r="F120" s="105">
        <f t="shared" si="15"/>
        <v>0</v>
      </c>
      <c r="G120" s="105">
        <f t="shared" si="16"/>
        <v>7.8651685393258424</v>
      </c>
      <c r="H120" s="25">
        <v>20</v>
      </c>
      <c r="I120" s="25">
        <v>20</v>
      </c>
      <c r="J120" s="25">
        <v>122340</v>
      </c>
      <c r="K120" s="25">
        <v>11035</v>
      </c>
      <c r="L120" s="25">
        <v>11035</v>
      </c>
      <c r="M120" s="105">
        <f t="shared" si="17"/>
        <v>0</v>
      </c>
      <c r="N120" s="105">
        <f t="shared" si="18"/>
        <v>9.0199444171979728</v>
      </c>
      <c r="O120" s="25">
        <v>847</v>
      </c>
      <c r="P120" s="25">
        <v>847</v>
      </c>
      <c r="Q120" s="105">
        <f t="shared" si="19"/>
        <v>0</v>
      </c>
      <c r="R120" s="32" t="s">
        <v>6</v>
      </c>
      <c r="S120" s="1">
        <v>1</v>
      </c>
      <c r="T120" s="169"/>
    </row>
    <row r="121" spans="1:20" s="7" customFormat="1" x14ac:dyDescent="0.25">
      <c r="A121" s="23">
        <v>15</v>
      </c>
      <c r="B121" s="24" t="s">
        <v>123</v>
      </c>
      <c r="C121" s="25">
        <v>98</v>
      </c>
      <c r="D121" s="25">
        <v>19</v>
      </c>
      <c r="E121" s="25">
        <v>19</v>
      </c>
      <c r="F121" s="105">
        <f t="shared" si="15"/>
        <v>0</v>
      </c>
      <c r="G121" s="105">
        <f t="shared" si="16"/>
        <v>19.387755102040817</v>
      </c>
      <c r="H121" s="25">
        <f>[8]KNW!$G$16</f>
        <v>129</v>
      </c>
      <c r="I121" s="25">
        <v>129</v>
      </c>
      <c r="J121" s="25">
        <v>122340</v>
      </c>
      <c r="K121" s="25">
        <v>25203</v>
      </c>
      <c r="L121" s="25">
        <v>25886</v>
      </c>
      <c r="M121" s="105">
        <f t="shared" si="17"/>
        <v>2.7099948418839026</v>
      </c>
      <c r="N121" s="105">
        <f t="shared" si="18"/>
        <v>21.159064901095306</v>
      </c>
      <c r="O121" s="25">
        <v>1542</v>
      </c>
      <c r="P121" s="25">
        <v>1587</v>
      </c>
      <c r="Q121" s="105">
        <f t="shared" si="19"/>
        <v>2.9182879377431905</v>
      </c>
      <c r="R121" s="32" t="s">
        <v>6</v>
      </c>
      <c r="S121" s="1">
        <v>1</v>
      </c>
      <c r="T121" s="169"/>
    </row>
    <row r="122" spans="1:20" x14ac:dyDescent="0.25">
      <c r="A122" s="23">
        <v>15</v>
      </c>
      <c r="B122" s="24" t="s">
        <v>124</v>
      </c>
      <c r="C122" s="25">
        <v>98</v>
      </c>
      <c r="D122" s="25">
        <v>70</v>
      </c>
      <c r="E122" s="39">
        <v>70</v>
      </c>
      <c r="F122" s="105">
        <f t="shared" si="15"/>
        <v>0</v>
      </c>
      <c r="G122" s="105">
        <f t="shared" si="16"/>
        <v>71.428571428571431</v>
      </c>
      <c r="H122" s="143">
        <v>305</v>
      </c>
      <c r="I122" s="39">
        <v>305</v>
      </c>
      <c r="J122" s="25">
        <v>78458</v>
      </c>
      <c r="K122" s="25">
        <v>17775</v>
      </c>
      <c r="L122" s="39">
        <v>17775</v>
      </c>
      <c r="M122" s="105">
        <f t="shared" si="17"/>
        <v>0</v>
      </c>
      <c r="N122" s="105">
        <f t="shared" si="18"/>
        <v>22.655433480333425</v>
      </c>
      <c r="O122" s="25">
        <v>1662</v>
      </c>
      <c r="P122" s="39">
        <v>1662</v>
      </c>
      <c r="Q122" s="105">
        <f t="shared" si="19"/>
        <v>0</v>
      </c>
      <c r="R122" s="27" t="s">
        <v>5</v>
      </c>
      <c r="S122" s="1">
        <v>1</v>
      </c>
      <c r="T122" s="169"/>
    </row>
    <row r="123" spans="1:20" s="7" customFormat="1" x14ac:dyDescent="0.25">
      <c r="A123" s="23">
        <v>16</v>
      </c>
      <c r="B123" s="24" t="s">
        <v>125</v>
      </c>
      <c r="C123" s="25">
        <v>49</v>
      </c>
      <c r="D123" s="25">
        <v>45</v>
      </c>
      <c r="E123" s="39">
        <v>45</v>
      </c>
      <c r="F123" s="105">
        <f t="shared" si="15"/>
        <v>0</v>
      </c>
      <c r="G123" s="105">
        <f t="shared" si="16"/>
        <v>91.83673469387756</v>
      </c>
      <c r="H123" s="144">
        <v>329</v>
      </c>
      <c r="I123" s="39">
        <v>329</v>
      </c>
      <c r="J123" s="30">
        <v>47082</v>
      </c>
      <c r="K123" s="25">
        <v>124354</v>
      </c>
      <c r="L123" s="39">
        <v>130559</v>
      </c>
      <c r="M123" s="105">
        <f t="shared" si="17"/>
        <v>4.9897872203547937</v>
      </c>
      <c r="N123" s="105">
        <f t="shared" si="18"/>
        <v>277.30130410772693</v>
      </c>
      <c r="O123" s="25">
        <v>7164</v>
      </c>
      <c r="P123" s="39">
        <v>7503</v>
      </c>
      <c r="Q123" s="105">
        <f t="shared" si="19"/>
        <v>4.7319932998324958</v>
      </c>
      <c r="R123" s="32" t="s">
        <v>5</v>
      </c>
      <c r="S123" s="1">
        <v>1</v>
      </c>
      <c r="T123" s="169"/>
    </row>
    <row r="124" spans="1:20" s="7" customFormat="1" x14ac:dyDescent="0.25">
      <c r="A124" s="23">
        <v>17</v>
      </c>
      <c r="B124" s="24" t="s">
        <v>126</v>
      </c>
      <c r="C124" s="25">
        <v>30</v>
      </c>
      <c r="D124" s="25">
        <v>27</v>
      </c>
      <c r="E124" s="25">
        <v>27</v>
      </c>
      <c r="F124" s="105">
        <f t="shared" si="15"/>
        <v>0</v>
      </c>
      <c r="G124" s="105">
        <f t="shared" si="16"/>
        <v>90</v>
      </c>
      <c r="H124" s="25">
        <v>156</v>
      </c>
      <c r="I124" s="25">
        <v>156</v>
      </c>
      <c r="J124" s="25">
        <v>39648</v>
      </c>
      <c r="K124" s="25">
        <v>38241</v>
      </c>
      <c r="L124" s="25">
        <v>39475</v>
      </c>
      <c r="M124" s="105">
        <f t="shared" si="17"/>
        <v>3.2269030621584163</v>
      </c>
      <c r="N124" s="105">
        <f t="shared" si="18"/>
        <v>99.563660209846645</v>
      </c>
      <c r="O124" s="25">
        <v>2526</v>
      </c>
      <c r="P124" s="25">
        <v>2628</v>
      </c>
      <c r="Q124" s="105">
        <f t="shared" si="19"/>
        <v>4.0380047505938244</v>
      </c>
      <c r="R124" s="32" t="s">
        <v>6</v>
      </c>
      <c r="S124" s="1">
        <v>1</v>
      </c>
      <c r="T124" s="169"/>
    </row>
    <row r="125" spans="1:20" s="7" customFormat="1" x14ac:dyDescent="0.25">
      <c r="A125" s="23">
        <v>18</v>
      </c>
      <c r="B125" s="24" t="s">
        <v>127</v>
      </c>
      <c r="C125" s="25">
        <v>44</v>
      </c>
      <c r="D125" s="25">
        <v>24</v>
      </c>
      <c r="E125" s="25">
        <v>24</v>
      </c>
      <c r="F125" s="105">
        <f t="shared" si="15"/>
        <v>0</v>
      </c>
      <c r="G125" s="105">
        <f t="shared" si="16"/>
        <v>54.545454545454547</v>
      </c>
      <c r="H125" s="25">
        <f>[8]LYH!$K$16</f>
        <v>346</v>
      </c>
      <c r="I125" s="25">
        <v>346</v>
      </c>
      <c r="J125" s="25">
        <v>159486</v>
      </c>
      <c r="K125" s="25">
        <v>118224</v>
      </c>
      <c r="L125" s="25">
        <v>119394</v>
      </c>
      <c r="M125" s="105">
        <f t="shared" si="17"/>
        <v>0.989646772228989</v>
      </c>
      <c r="N125" s="105">
        <f t="shared" si="18"/>
        <v>74.861743350513535</v>
      </c>
      <c r="O125" s="25">
        <v>7839</v>
      </c>
      <c r="P125" s="25">
        <v>7914</v>
      </c>
      <c r="Q125" s="105">
        <f t="shared" si="19"/>
        <v>0.95675468809797171</v>
      </c>
      <c r="R125" s="32" t="s">
        <v>6</v>
      </c>
      <c r="S125" s="1">
        <v>1</v>
      </c>
      <c r="T125" s="169"/>
    </row>
    <row r="126" spans="1:20" s="7" customFormat="1" x14ac:dyDescent="0.25">
      <c r="A126" s="23">
        <v>19</v>
      </c>
      <c r="B126" s="24" t="s">
        <v>128</v>
      </c>
      <c r="C126" s="25">
        <v>70</v>
      </c>
      <c r="D126" s="25">
        <v>70</v>
      </c>
      <c r="E126" s="39">
        <v>70</v>
      </c>
      <c r="F126" s="105">
        <f t="shared" si="15"/>
        <v>0</v>
      </c>
      <c r="G126" s="105">
        <f t="shared" si="16"/>
        <v>100</v>
      </c>
      <c r="H126" s="144">
        <v>386</v>
      </c>
      <c r="I126" s="39">
        <v>386</v>
      </c>
      <c r="J126" s="30">
        <v>202554</v>
      </c>
      <c r="K126" s="25">
        <v>46705</v>
      </c>
      <c r="L126" s="39">
        <v>46705</v>
      </c>
      <c r="M126" s="105">
        <f t="shared" si="17"/>
        <v>0</v>
      </c>
      <c r="N126" s="105">
        <f t="shared" si="18"/>
        <v>23.058048717872765</v>
      </c>
      <c r="O126" s="25">
        <v>3886</v>
      </c>
      <c r="P126" s="39">
        <v>3886</v>
      </c>
      <c r="Q126" s="105">
        <f t="shared" si="19"/>
        <v>0</v>
      </c>
      <c r="R126" s="32" t="s">
        <v>5</v>
      </c>
      <c r="S126" s="1">
        <v>1</v>
      </c>
      <c r="T126" s="169"/>
    </row>
    <row r="127" spans="1:20" s="7" customFormat="1" x14ac:dyDescent="0.25">
      <c r="A127" s="23">
        <v>19</v>
      </c>
      <c r="B127" s="24" t="s">
        <v>241</v>
      </c>
      <c r="C127" s="25">
        <v>70</v>
      </c>
      <c r="D127" s="25">
        <v>5</v>
      </c>
      <c r="E127" s="25">
        <v>5</v>
      </c>
      <c r="F127" s="105">
        <f t="shared" si="15"/>
        <v>0</v>
      </c>
      <c r="G127" s="105">
        <f t="shared" si="16"/>
        <v>7.1428571428571432</v>
      </c>
      <c r="H127" s="25">
        <f>[8]LDR!$G$16</f>
        <v>14</v>
      </c>
      <c r="I127" s="25">
        <v>14</v>
      </c>
      <c r="J127" s="30">
        <v>202554</v>
      </c>
      <c r="K127" s="25">
        <v>2740</v>
      </c>
      <c r="L127" s="25">
        <v>3501</v>
      </c>
      <c r="M127" s="105">
        <f t="shared" si="17"/>
        <v>27.773722627737229</v>
      </c>
      <c r="N127" s="105">
        <f t="shared" si="18"/>
        <v>1.7284279747622857</v>
      </c>
      <c r="O127" s="25">
        <v>185</v>
      </c>
      <c r="P127" s="25">
        <v>234</v>
      </c>
      <c r="Q127" s="105">
        <f t="shared" si="19"/>
        <v>26.486486486486484</v>
      </c>
      <c r="R127" s="32" t="s">
        <v>6</v>
      </c>
      <c r="S127" s="1">
        <v>1</v>
      </c>
      <c r="T127" s="169"/>
    </row>
    <row r="128" spans="1:20" s="7" customFormat="1" x14ac:dyDescent="0.25">
      <c r="A128" s="23">
        <v>20</v>
      </c>
      <c r="B128" s="24" t="s">
        <v>129</v>
      </c>
      <c r="C128" s="25">
        <v>65</v>
      </c>
      <c r="D128" s="25">
        <v>53</v>
      </c>
      <c r="E128" s="25">
        <v>53</v>
      </c>
      <c r="F128" s="105">
        <f t="shared" si="15"/>
        <v>0</v>
      </c>
      <c r="G128" s="105">
        <f t="shared" si="16"/>
        <v>81.538461538461533</v>
      </c>
      <c r="H128" s="25">
        <f>[8]MBD!$I$16</f>
        <v>244</v>
      </c>
      <c r="I128" s="25">
        <v>244</v>
      </c>
      <c r="J128" s="25">
        <v>106515</v>
      </c>
      <c r="K128" s="25">
        <v>32499</v>
      </c>
      <c r="L128" s="25">
        <v>33427</v>
      </c>
      <c r="M128" s="105">
        <f t="shared" si="17"/>
        <v>2.8554724760761867</v>
      </c>
      <c r="N128" s="105">
        <f t="shared" si="18"/>
        <v>31.382434398910949</v>
      </c>
      <c r="O128" s="25">
        <v>2129</v>
      </c>
      <c r="P128" s="25">
        <v>2188</v>
      </c>
      <c r="Q128" s="105">
        <f t="shared" si="19"/>
        <v>2.7712541099107564</v>
      </c>
      <c r="R128" s="32" t="s">
        <v>6</v>
      </c>
      <c r="S128" s="1">
        <v>1</v>
      </c>
      <c r="T128" s="169"/>
    </row>
    <row r="129" spans="1:20" s="7" customFormat="1" x14ac:dyDescent="0.25">
      <c r="A129" s="23">
        <v>21</v>
      </c>
      <c r="B129" s="24" t="s">
        <v>130</v>
      </c>
      <c r="C129" s="25">
        <v>53</v>
      </c>
      <c r="D129" s="25">
        <v>56</v>
      </c>
      <c r="E129" s="39">
        <v>56</v>
      </c>
      <c r="F129" s="105">
        <f t="shared" si="15"/>
        <v>0</v>
      </c>
      <c r="G129" s="105">
        <f t="shared" si="16"/>
        <v>105.66037735849056</v>
      </c>
      <c r="H129" s="144">
        <v>228</v>
      </c>
      <c r="I129" s="39">
        <v>228</v>
      </c>
      <c r="J129" s="30">
        <v>120486</v>
      </c>
      <c r="K129" s="25">
        <v>73167</v>
      </c>
      <c r="L129" s="39">
        <v>73767</v>
      </c>
      <c r="M129" s="105">
        <f t="shared" si="17"/>
        <v>0.82004182213292887</v>
      </c>
      <c r="N129" s="105">
        <f t="shared" si="18"/>
        <v>61.22454061052737</v>
      </c>
      <c r="O129" s="25">
        <v>4166</v>
      </c>
      <c r="P129" s="39">
        <v>4201</v>
      </c>
      <c r="Q129" s="105">
        <f t="shared" si="19"/>
        <v>0.84013442150744122</v>
      </c>
      <c r="R129" s="32" t="s">
        <v>5</v>
      </c>
      <c r="S129" s="1">
        <v>1</v>
      </c>
      <c r="T129" s="169"/>
    </row>
    <row r="130" spans="1:20" s="7" customFormat="1" x14ac:dyDescent="0.25">
      <c r="A130" s="23">
        <v>22</v>
      </c>
      <c r="B130" s="24" t="s">
        <v>131</v>
      </c>
      <c r="C130" s="25">
        <v>69</v>
      </c>
      <c r="D130" s="25">
        <v>22</v>
      </c>
      <c r="E130" s="25">
        <v>22</v>
      </c>
      <c r="F130" s="105">
        <f t="shared" si="15"/>
        <v>0</v>
      </c>
      <c r="G130" s="105">
        <f t="shared" si="16"/>
        <v>31.884057971014496</v>
      </c>
      <c r="H130" s="25">
        <f>[8]MTN!$G$16</f>
        <v>148</v>
      </c>
      <c r="I130" s="25">
        <v>148</v>
      </c>
      <c r="J130" s="25">
        <v>261678</v>
      </c>
      <c r="K130" s="25">
        <v>35212</v>
      </c>
      <c r="L130" s="25">
        <v>35212</v>
      </c>
      <c r="M130" s="105">
        <f t="shared" si="17"/>
        <v>0</v>
      </c>
      <c r="N130" s="105">
        <f t="shared" si="18"/>
        <v>13.456232468912173</v>
      </c>
      <c r="O130" s="25">
        <v>2382</v>
      </c>
      <c r="P130" s="25">
        <v>2382</v>
      </c>
      <c r="Q130" s="105">
        <f t="shared" si="19"/>
        <v>0</v>
      </c>
      <c r="R130" s="32" t="s">
        <v>6</v>
      </c>
      <c r="S130" s="1">
        <v>1</v>
      </c>
      <c r="T130" s="169"/>
    </row>
    <row r="131" spans="1:20" x14ac:dyDescent="0.25">
      <c r="A131" s="23">
        <v>22</v>
      </c>
      <c r="B131" s="24" t="s">
        <v>132</v>
      </c>
      <c r="C131" s="25">
        <v>69</v>
      </c>
      <c r="D131" s="25">
        <v>58</v>
      </c>
      <c r="E131" s="39">
        <v>58</v>
      </c>
      <c r="F131" s="105">
        <f t="shared" si="15"/>
        <v>0</v>
      </c>
      <c r="G131" s="105">
        <f t="shared" si="16"/>
        <v>84.057971014492765</v>
      </c>
      <c r="H131" s="143">
        <v>169</v>
      </c>
      <c r="I131" s="39">
        <v>169</v>
      </c>
      <c r="J131" s="25">
        <v>261678</v>
      </c>
      <c r="K131" s="25">
        <v>17654</v>
      </c>
      <c r="L131" s="39">
        <v>17654</v>
      </c>
      <c r="M131" s="105">
        <f t="shared" si="17"/>
        <v>0</v>
      </c>
      <c r="N131" s="105">
        <f t="shared" si="18"/>
        <v>6.7464593890200932</v>
      </c>
      <c r="O131" s="25">
        <v>1958</v>
      </c>
      <c r="P131" s="39">
        <v>1958</v>
      </c>
      <c r="Q131" s="105">
        <f t="shared" si="19"/>
        <v>0</v>
      </c>
      <c r="R131" s="27" t="s">
        <v>5</v>
      </c>
      <c r="S131" s="1">
        <v>1</v>
      </c>
      <c r="T131" s="169"/>
    </row>
    <row r="132" spans="1:20" s="7" customFormat="1" x14ac:dyDescent="0.25">
      <c r="A132" s="23">
        <v>23</v>
      </c>
      <c r="B132" s="24" t="s">
        <v>133</v>
      </c>
      <c r="C132" s="25">
        <v>93</v>
      </c>
      <c r="D132" s="25">
        <v>16</v>
      </c>
      <c r="E132" s="25">
        <v>16</v>
      </c>
      <c r="F132" s="105">
        <f t="shared" si="15"/>
        <v>0</v>
      </c>
      <c r="G132" s="105">
        <f t="shared" si="16"/>
        <v>17.204301075268816</v>
      </c>
      <c r="H132" s="25">
        <f>[8]MZG!$K$16</f>
        <v>256</v>
      </c>
      <c r="I132" s="25">
        <v>256</v>
      </c>
      <c r="J132" s="25">
        <v>317647</v>
      </c>
      <c r="K132" s="25">
        <v>145975</v>
      </c>
      <c r="L132" s="25">
        <v>146359</v>
      </c>
      <c r="M132" s="105">
        <f t="shared" si="17"/>
        <v>0.26305874293543413</v>
      </c>
      <c r="N132" s="105">
        <f t="shared" si="18"/>
        <v>46.075990014072225</v>
      </c>
      <c r="O132" s="25">
        <v>8862</v>
      </c>
      <c r="P132" s="25">
        <v>8884</v>
      </c>
      <c r="Q132" s="105">
        <f t="shared" si="19"/>
        <v>0.24825095915143308</v>
      </c>
      <c r="R132" s="32" t="s">
        <v>6</v>
      </c>
      <c r="S132" s="1">
        <v>1</v>
      </c>
      <c r="T132" s="169"/>
    </row>
    <row r="133" spans="1:20" x14ac:dyDescent="0.25">
      <c r="A133" s="23">
        <v>23</v>
      </c>
      <c r="B133" s="24" t="s">
        <v>134</v>
      </c>
      <c r="C133" s="25">
        <v>93</v>
      </c>
      <c r="D133" s="25">
        <v>24</v>
      </c>
      <c r="E133" s="39">
        <v>24</v>
      </c>
      <c r="F133" s="105">
        <f t="shared" si="15"/>
        <v>0</v>
      </c>
      <c r="G133" s="105">
        <f t="shared" si="16"/>
        <v>25.806451612903224</v>
      </c>
      <c r="H133" s="143">
        <v>0</v>
      </c>
      <c r="I133" s="39">
        <v>0</v>
      </c>
      <c r="J133" s="25">
        <v>317647</v>
      </c>
      <c r="K133" s="25">
        <v>0</v>
      </c>
      <c r="L133" s="39">
        <v>0</v>
      </c>
      <c r="M133" s="105">
        <v>0</v>
      </c>
      <c r="N133" s="105">
        <f t="shared" si="18"/>
        <v>0</v>
      </c>
      <c r="O133" s="25">
        <v>0</v>
      </c>
      <c r="P133" s="39">
        <v>0</v>
      </c>
      <c r="Q133" s="105">
        <v>0</v>
      </c>
      <c r="R133" s="27" t="s">
        <v>5</v>
      </c>
      <c r="S133" s="1">
        <v>1</v>
      </c>
      <c r="T133" s="169"/>
    </row>
    <row r="134" spans="1:20" x14ac:dyDescent="0.25">
      <c r="A134" s="23">
        <v>24</v>
      </c>
      <c r="B134" s="24" t="s">
        <v>249</v>
      </c>
      <c r="C134" s="25">
        <v>65</v>
      </c>
      <c r="D134" s="25">
        <v>0</v>
      </c>
      <c r="E134" s="25">
        <v>0</v>
      </c>
      <c r="F134" s="105">
        <v>0</v>
      </c>
      <c r="G134" s="105">
        <f t="shared" si="16"/>
        <v>0</v>
      </c>
      <c r="H134" s="25">
        <v>0</v>
      </c>
      <c r="I134" s="25">
        <v>0</v>
      </c>
      <c r="J134" s="25">
        <v>187137</v>
      </c>
      <c r="K134" s="25">
        <v>695</v>
      </c>
      <c r="L134" s="25">
        <v>695</v>
      </c>
      <c r="M134" s="105">
        <f t="shared" si="17"/>
        <v>0</v>
      </c>
      <c r="N134" s="105">
        <f t="shared" si="18"/>
        <v>0.37138566932247502</v>
      </c>
      <c r="O134" s="25">
        <v>45</v>
      </c>
      <c r="P134" s="25">
        <v>45</v>
      </c>
      <c r="Q134" s="105">
        <f t="shared" si="19"/>
        <v>0</v>
      </c>
      <c r="R134" s="81" t="s">
        <v>6</v>
      </c>
      <c r="S134" s="1">
        <v>1</v>
      </c>
      <c r="T134" s="169"/>
    </row>
    <row r="135" spans="1:20" s="7" customFormat="1" x14ac:dyDescent="0.25">
      <c r="A135" s="23">
        <v>25</v>
      </c>
      <c r="B135" s="24" t="s">
        <v>135</v>
      </c>
      <c r="C135" s="25">
        <v>74</v>
      </c>
      <c r="D135" s="25">
        <v>61</v>
      </c>
      <c r="E135" s="25">
        <v>61</v>
      </c>
      <c r="F135" s="105">
        <f t="shared" si="15"/>
        <v>0</v>
      </c>
      <c r="G135" s="105">
        <f t="shared" si="16"/>
        <v>82.432432432432435</v>
      </c>
      <c r="H135" s="25">
        <f>[8]NRW!$M$16</f>
        <v>554</v>
      </c>
      <c r="I135" s="25">
        <v>554</v>
      </c>
      <c r="J135" s="25">
        <v>150406</v>
      </c>
      <c r="K135" s="25">
        <v>103474</v>
      </c>
      <c r="L135" s="25">
        <v>106856</v>
      </c>
      <c r="M135" s="105">
        <f t="shared" si="17"/>
        <v>3.2684539111274331</v>
      </c>
      <c r="N135" s="105">
        <f t="shared" si="18"/>
        <v>71.04503809688444</v>
      </c>
      <c r="O135" s="25">
        <v>5074</v>
      </c>
      <c r="P135" s="25">
        <v>5200</v>
      </c>
      <c r="Q135" s="105">
        <f t="shared" si="19"/>
        <v>2.4832479306267246</v>
      </c>
      <c r="R135" s="32" t="s">
        <v>6</v>
      </c>
      <c r="S135" s="1">
        <v>1</v>
      </c>
      <c r="T135" s="169"/>
    </row>
    <row r="136" spans="1:20" s="7" customFormat="1" x14ac:dyDescent="0.25">
      <c r="A136" s="23">
        <v>26</v>
      </c>
      <c r="B136" s="24" t="s">
        <v>136</v>
      </c>
      <c r="C136" s="25">
        <v>111</v>
      </c>
      <c r="D136" s="25">
        <v>27</v>
      </c>
      <c r="E136" s="25">
        <v>27</v>
      </c>
      <c r="F136" s="105">
        <f t="shared" si="15"/>
        <v>0</v>
      </c>
      <c r="G136" s="105">
        <f t="shared" si="16"/>
        <v>24.324324324324323</v>
      </c>
      <c r="H136" s="25">
        <f>[8]OKR!$I$16</f>
        <v>229</v>
      </c>
      <c r="I136" s="25">
        <v>229</v>
      </c>
      <c r="J136" s="25">
        <v>270191</v>
      </c>
      <c r="K136" s="25">
        <v>31099</v>
      </c>
      <c r="L136" s="25">
        <v>32179</v>
      </c>
      <c r="M136" s="105">
        <f t="shared" si="17"/>
        <v>3.4727804752564388</v>
      </c>
      <c r="N136" s="105">
        <f t="shared" si="18"/>
        <v>11.909723121791622</v>
      </c>
      <c r="O136" s="25">
        <v>2053</v>
      </c>
      <c r="P136" s="25">
        <v>2125</v>
      </c>
      <c r="Q136" s="105">
        <f t="shared" si="19"/>
        <v>3.5070628348757915</v>
      </c>
      <c r="R136" s="32" t="s">
        <v>6</v>
      </c>
      <c r="S136" s="1">
        <v>1</v>
      </c>
      <c r="T136" s="169"/>
    </row>
    <row r="137" spans="1:20" s="7" customFormat="1" x14ac:dyDescent="0.25">
      <c r="A137" s="23">
        <v>27</v>
      </c>
      <c r="B137" s="24" t="s">
        <v>137</v>
      </c>
      <c r="C137" s="25">
        <v>63</v>
      </c>
      <c r="D137" s="25">
        <v>20</v>
      </c>
      <c r="E137" s="25">
        <v>20</v>
      </c>
      <c r="F137" s="105">
        <f t="shared" si="15"/>
        <v>0</v>
      </c>
      <c r="G137" s="105">
        <f t="shared" si="16"/>
        <v>31.746031746031747</v>
      </c>
      <c r="H137" s="25">
        <f>[8]PKP!$G$16</f>
        <v>174</v>
      </c>
      <c r="I137" s="25">
        <v>174</v>
      </c>
      <c r="J137" s="25">
        <v>174888</v>
      </c>
      <c r="K137" s="25">
        <v>21722</v>
      </c>
      <c r="L137" s="25">
        <v>22352</v>
      </c>
      <c r="M137" s="105">
        <f t="shared" si="17"/>
        <v>2.9002854249148329</v>
      </c>
      <c r="N137" s="105">
        <f t="shared" si="18"/>
        <v>12.780751109281368</v>
      </c>
      <c r="O137" s="25">
        <v>1404</v>
      </c>
      <c r="P137" s="25">
        <v>1446</v>
      </c>
      <c r="Q137" s="105">
        <f t="shared" si="19"/>
        <v>2.9914529914529915</v>
      </c>
      <c r="R137" s="32" t="s">
        <v>6</v>
      </c>
      <c r="S137" s="1">
        <v>1</v>
      </c>
      <c r="T137" s="169"/>
    </row>
    <row r="138" spans="1:20" x14ac:dyDescent="0.25">
      <c r="A138" s="23">
        <v>27</v>
      </c>
      <c r="B138" s="24" t="s">
        <v>138</v>
      </c>
      <c r="C138" s="25">
        <v>63</v>
      </c>
      <c r="D138" s="25">
        <v>54</v>
      </c>
      <c r="E138" s="39">
        <v>54</v>
      </c>
      <c r="F138" s="105">
        <f t="shared" si="15"/>
        <v>0</v>
      </c>
      <c r="G138" s="105">
        <f t="shared" si="16"/>
        <v>85.714285714285708</v>
      </c>
      <c r="H138" s="143">
        <v>291</v>
      </c>
      <c r="I138" s="39">
        <v>291</v>
      </c>
      <c r="J138" s="25">
        <v>174888</v>
      </c>
      <c r="K138" s="25">
        <v>12295</v>
      </c>
      <c r="L138" s="39">
        <v>12295</v>
      </c>
      <c r="M138" s="105">
        <f t="shared" si="17"/>
        <v>0</v>
      </c>
      <c r="N138" s="105">
        <f t="shared" si="18"/>
        <v>7.0302136224326421</v>
      </c>
      <c r="O138" s="25">
        <v>1486</v>
      </c>
      <c r="P138" s="39">
        <v>1486</v>
      </c>
      <c r="Q138" s="105">
        <f t="shared" si="19"/>
        <v>0</v>
      </c>
      <c r="R138" s="27" t="s">
        <v>5</v>
      </c>
      <c r="S138" s="1">
        <v>1</v>
      </c>
      <c r="T138" s="169"/>
    </row>
    <row r="139" spans="1:20" s="7" customFormat="1" x14ac:dyDescent="0.25">
      <c r="A139" s="23">
        <v>28</v>
      </c>
      <c r="B139" s="24" t="s">
        <v>139</v>
      </c>
      <c r="C139" s="25">
        <v>103</v>
      </c>
      <c r="D139" s="25">
        <v>103</v>
      </c>
      <c r="E139" s="39">
        <v>103</v>
      </c>
      <c r="F139" s="105">
        <f t="shared" si="15"/>
        <v>0</v>
      </c>
      <c r="G139" s="105">
        <f t="shared" si="16"/>
        <v>100</v>
      </c>
      <c r="H139" s="144">
        <v>474</v>
      </c>
      <c r="I139" s="39">
        <v>474</v>
      </c>
      <c r="J139" s="30">
        <v>338677</v>
      </c>
      <c r="K139" s="25">
        <v>74190</v>
      </c>
      <c r="L139" s="39">
        <v>74588</v>
      </c>
      <c r="M139" s="105">
        <f t="shared" si="17"/>
        <v>0.53646043941231969</v>
      </c>
      <c r="N139" s="105">
        <f t="shared" si="18"/>
        <v>22.023343775928097</v>
      </c>
      <c r="O139" s="25">
        <v>6801</v>
      </c>
      <c r="P139" s="39">
        <v>6828</v>
      </c>
      <c r="Q139" s="105">
        <f t="shared" si="19"/>
        <v>0.39700044111160121</v>
      </c>
      <c r="R139" s="32" t="s">
        <v>5</v>
      </c>
      <c r="S139" s="1">
        <v>1</v>
      </c>
      <c r="T139" s="169"/>
    </row>
    <row r="140" spans="1:20" s="7" customFormat="1" x14ac:dyDescent="0.25">
      <c r="A140" s="23">
        <v>29</v>
      </c>
      <c r="B140" s="24" t="s">
        <v>140</v>
      </c>
      <c r="C140" s="25">
        <v>44</v>
      </c>
      <c r="D140" s="25">
        <v>43</v>
      </c>
      <c r="E140" s="39">
        <v>43</v>
      </c>
      <c r="F140" s="105">
        <f t="shared" si="15"/>
        <v>0</v>
      </c>
      <c r="G140" s="105">
        <f t="shared" si="16"/>
        <v>97.727272727272734</v>
      </c>
      <c r="H140" s="144">
        <v>373</v>
      </c>
      <c r="I140" s="39">
        <v>373</v>
      </c>
      <c r="J140" s="30">
        <v>133182</v>
      </c>
      <c r="K140" s="25">
        <v>98421</v>
      </c>
      <c r="L140" s="39">
        <v>99426</v>
      </c>
      <c r="M140" s="105">
        <f t="shared" si="17"/>
        <v>1.0211235407077757</v>
      </c>
      <c r="N140" s="105">
        <f t="shared" si="18"/>
        <v>74.654232553948731</v>
      </c>
      <c r="O140" s="25">
        <v>6620</v>
      </c>
      <c r="P140" s="39">
        <v>6676</v>
      </c>
      <c r="Q140" s="105">
        <f t="shared" si="19"/>
        <v>0.84592145015105735</v>
      </c>
      <c r="R140" s="32" t="s">
        <v>5</v>
      </c>
      <c r="S140" s="1">
        <v>1</v>
      </c>
      <c r="T140" s="169"/>
    </row>
    <row r="141" spans="1:20" s="7" customFormat="1" x14ac:dyDescent="0.25">
      <c r="A141" s="23">
        <v>29</v>
      </c>
      <c r="B141" s="24" t="s">
        <v>250</v>
      </c>
      <c r="C141" s="25">
        <v>44</v>
      </c>
      <c r="D141" s="25">
        <v>0</v>
      </c>
      <c r="E141" s="25">
        <v>0</v>
      </c>
      <c r="F141" s="105">
        <v>0</v>
      </c>
      <c r="G141" s="105">
        <f t="shared" si="16"/>
        <v>0</v>
      </c>
      <c r="H141" s="25">
        <v>0</v>
      </c>
      <c r="I141" s="25">
        <v>0</v>
      </c>
      <c r="J141" s="25">
        <v>133182</v>
      </c>
      <c r="K141" s="25">
        <v>18650</v>
      </c>
      <c r="L141" s="25">
        <v>18650</v>
      </c>
      <c r="M141" s="105">
        <f t="shared" si="17"/>
        <v>0</v>
      </c>
      <c r="N141" s="105">
        <f t="shared" si="18"/>
        <v>14.003393852022045</v>
      </c>
      <c r="O141" s="25">
        <v>1218</v>
      </c>
      <c r="P141" s="25">
        <v>1218</v>
      </c>
      <c r="Q141" s="105">
        <f t="shared" si="19"/>
        <v>0</v>
      </c>
      <c r="R141" s="32" t="s">
        <v>6</v>
      </c>
      <c r="S141" s="1">
        <v>1</v>
      </c>
      <c r="T141" s="169"/>
    </row>
    <row r="142" spans="1:20" s="7" customFormat="1" x14ac:dyDescent="0.25">
      <c r="A142" s="23">
        <v>30</v>
      </c>
      <c r="B142" s="24" t="s">
        <v>141</v>
      </c>
      <c r="C142" s="25">
        <v>58</v>
      </c>
      <c r="D142" s="25">
        <v>58</v>
      </c>
      <c r="E142" s="39">
        <v>58</v>
      </c>
      <c r="F142" s="105">
        <f t="shared" si="15"/>
        <v>0</v>
      </c>
      <c r="G142" s="105">
        <f t="shared" si="16"/>
        <v>100</v>
      </c>
      <c r="H142" s="144">
        <v>319</v>
      </c>
      <c r="I142" s="39">
        <v>319</v>
      </c>
      <c r="J142" s="30">
        <v>256911</v>
      </c>
      <c r="K142" s="25">
        <v>83303</v>
      </c>
      <c r="L142" s="39">
        <v>88881</v>
      </c>
      <c r="M142" s="105">
        <f t="shared" si="17"/>
        <v>6.6960373575981658</v>
      </c>
      <c r="N142" s="105">
        <f t="shared" si="18"/>
        <v>34.596027418055279</v>
      </c>
      <c r="O142" s="25">
        <v>5558</v>
      </c>
      <c r="P142" s="39">
        <v>6018</v>
      </c>
      <c r="Q142" s="105">
        <f t="shared" si="19"/>
        <v>8.2763584023029875</v>
      </c>
      <c r="R142" s="32" t="s">
        <v>5</v>
      </c>
      <c r="S142" s="1">
        <v>1</v>
      </c>
      <c r="T142" s="169"/>
    </row>
    <row r="143" spans="1:20" s="7" customFormat="1" x14ac:dyDescent="0.25">
      <c r="A143" s="23">
        <v>31</v>
      </c>
      <c r="B143" s="24" t="s">
        <v>142</v>
      </c>
      <c r="C143" s="25">
        <v>83</v>
      </c>
      <c r="D143" s="25">
        <v>39</v>
      </c>
      <c r="E143" s="25">
        <v>39</v>
      </c>
      <c r="F143" s="105">
        <f t="shared" si="15"/>
        <v>0</v>
      </c>
      <c r="G143" s="105">
        <f t="shared" si="16"/>
        <v>46.987951807228917</v>
      </c>
      <c r="H143" s="25">
        <f>[8]SHW!$I$16</f>
        <v>272</v>
      </c>
      <c r="I143" s="25">
        <v>272</v>
      </c>
      <c r="J143" s="25">
        <v>227413</v>
      </c>
      <c r="K143" s="25">
        <v>41222</v>
      </c>
      <c r="L143" s="25">
        <v>42288</v>
      </c>
      <c r="M143" s="105">
        <f t="shared" si="17"/>
        <v>2.5859977681820387</v>
      </c>
      <c r="N143" s="105">
        <f t="shared" si="18"/>
        <v>18.595243016010517</v>
      </c>
      <c r="O143" s="25">
        <v>2584</v>
      </c>
      <c r="P143" s="25">
        <v>2655</v>
      </c>
      <c r="Q143" s="105">
        <f t="shared" si="19"/>
        <v>2.7476780185758516</v>
      </c>
      <c r="R143" s="32" t="s">
        <v>6</v>
      </c>
      <c r="S143" s="1">
        <v>1</v>
      </c>
      <c r="T143" s="169"/>
    </row>
    <row r="144" spans="1:20" x14ac:dyDescent="0.25">
      <c r="A144" s="23">
        <v>31</v>
      </c>
      <c r="B144" s="24" t="s">
        <v>143</v>
      </c>
      <c r="C144" s="25">
        <v>83</v>
      </c>
      <c r="D144" s="25">
        <v>52</v>
      </c>
      <c r="E144" s="39">
        <v>52</v>
      </c>
      <c r="F144" s="105">
        <f t="shared" si="15"/>
        <v>0</v>
      </c>
      <c r="G144" s="105">
        <f t="shared" si="16"/>
        <v>62.650602409638559</v>
      </c>
      <c r="H144" s="143">
        <v>218</v>
      </c>
      <c r="I144" s="39">
        <v>218</v>
      </c>
      <c r="J144" s="25">
        <v>227413</v>
      </c>
      <c r="K144" s="25">
        <v>12414</v>
      </c>
      <c r="L144" s="39">
        <v>12414</v>
      </c>
      <c r="M144" s="105">
        <f t="shared" si="17"/>
        <v>0</v>
      </c>
      <c r="N144" s="105">
        <f t="shared" si="18"/>
        <v>5.4587908342970719</v>
      </c>
      <c r="O144" s="25">
        <v>1201</v>
      </c>
      <c r="P144" s="39">
        <v>1201</v>
      </c>
      <c r="Q144" s="105">
        <f t="shared" si="19"/>
        <v>0</v>
      </c>
      <c r="R144" s="27" t="s">
        <v>5</v>
      </c>
      <c r="S144" s="1">
        <v>1</v>
      </c>
      <c r="T144" s="169"/>
    </row>
    <row r="145" spans="1:20" s="7" customFormat="1" x14ac:dyDescent="0.25">
      <c r="A145" s="23">
        <v>32</v>
      </c>
      <c r="B145" s="24" t="s">
        <v>144</v>
      </c>
      <c r="C145" s="25">
        <v>132</v>
      </c>
      <c r="D145" s="25">
        <v>57</v>
      </c>
      <c r="E145" s="25">
        <v>57</v>
      </c>
      <c r="F145" s="105">
        <f t="shared" si="15"/>
        <v>0</v>
      </c>
      <c r="G145" s="105">
        <f t="shared" si="16"/>
        <v>43.18181818181818</v>
      </c>
      <c r="H145" s="25">
        <f>[8]SGD!$I$16</f>
        <v>224</v>
      </c>
      <c r="I145" s="25">
        <v>224</v>
      </c>
      <c r="J145" s="25">
        <v>303958</v>
      </c>
      <c r="K145" s="25">
        <v>45190</v>
      </c>
      <c r="L145" s="25">
        <v>46436</v>
      </c>
      <c r="M145" s="105">
        <f t="shared" si="17"/>
        <v>2.7572471785793318</v>
      </c>
      <c r="N145" s="105">
        <f t="shared" si="18"/>
        <v>15.277110653445542</v>
      </c>
      <c r="O145" s="25">
        <v>2834</v>
      </c>
      <c r="P145" s="25">
        <v>2906</v>
      </c>
      <c r="Q145" s="105">
        <f t="shared" si="19"/>
        <v>2.5405786873676783</v>
      </c>
      <c r="R145" s="32" t="s">
        <v>6</v>
      </c>
      <c r="S145" s="1">
        <v>1</v>
      </c>
      <c r="T145" s="169"/>
    </row>
    <row r="146" spans="1:20" s="7" customFormat="1" x14ac:dyDescent="0.25">
      <c r="A146" s="23">
        <v>32</v>
      </c>
      <c r="B146" s="24" t="s">
        <v>264</v>
      </c>
      <c r="C146" s="25">
        <v>132</v>
      </c>
      <c r="D146" s="25">
        <v>116</v>
      </c>
      <c r="E146" s="39">
        <v>116</v>
      </c>
      <c r="F146" s="105">
        <v>0</v>
      </c>
      <c r="G146" s="105">
        <f t="shared" si="16"/>
        <v>87.878787878787875</v>
      </c>
      <c r="H146" s="143">
        <v>510</v>
      </c>
      <c r="I146" s="39">
        <v>510</v>
      </c>
      <c r="J146" s="25">
        <v>303958</v>
      </c>
      <c r="K146" s="25">
        <v>8735</v>
      </c>
      <c r="L146" s="39">
        <v>10679</v>
      </c>
      <c r="M146" s="105">
        <f t="shared" si="17"/>
        <v>22.255294791070408</v>
      </c>
      <c r="N146" s="105">
        <f t="shared" si="18"/>
        <v>3.5133143394811128</v>
      </c>
      <c r="O146" s="25">
        <v>758</v>
      </c>
      <c r="P146" s="39">
        <v>940</v>
      </c>
      <c r="Q146" s="105">
        <f t="shared" si="19"/>
        <v>24.010554089709764</v>
      </c>
      <c r="R146" s="32" t="s">
        <v>5</v>
      </c>
      <c r="S146" s="1">
        <v>1</v>
      </c>
      <c r="T146" s="169"/>
    </row>
    <row r="147" spans="1:20" s="7" customFormat="1" x14ac:dyDescent="0.25">
      <c r="A147" s="23">
        <v>33</v>
      </c>
      <c r="B147" s="24" t="s">
        <v>145</v>
      </c>
      <c r="C147" s="25">
        <v>91</v>
      </c>
      <c r="D147" s="25">
        <v>10</v>
      </c>
      <c r="E147" s="25">
        <v>10</v>
      </c>
      <c r="F147" s="105">
        <f t="shared" si="15"/>
        <v>0</v>
      </c>
      <c r="G147" s="105">
        <f t="shared" si="16"/>
        <v>10.989010989010989</v>
      </c>
      <c r="H147" s="25">
        <f>[8]SKP!$G$16</f>
        <v>143</v>
      </c>
      <c r="I147" s="25">
        <v>143</v>
      </c>
      <c r="J147" s="25">
        <v>207804.73300000001</v>
      </c>
      <c r="K147" s="25">
        <v>23004</v>
      </c>
      <c r="L147" s="25">
        <v>23885</v>
      </c>
      <c r="M147" s="105">
        <f t="shared" si="17"/>
        <v>3.8297687358720225</v>
      </c>
      <c r="N147" s="105">
        <f t="shared" si="18"/>
        <v>11.493963421901464</v>
      </c>
      <c r="O147" s="25">
        <v>1502</v>
      </c>
      <c r="P147" s="25">
        <v>1547</v>
      </c>
      <c r="Q147" s="105">
        <f t="shared" si="19"/>
        <v>2.9960053262316912</v>
      </c>
      <c r="R147" s="32" t="s">
        <v>6</v>
      </c>
      <c r="S147" s="1">
        <v>1</v>
      </c>
      <c r="T147" s="169"/>
    </row>
    <row r="148" spans="1:20" s="7" customFormat="1" x14ac:dyDescent="0.25">
      <c r="A148" s="23">
        <v>34</v>
      </c>
      <c r="B148" s="24" t="s">
        <v>146</v>
      </c>
      <c r="C148" s="25">
        <v>94</v>
      </c>
      <c r="D148" s="25">
        <v>89</v>
      </c>
      <c r="E148" s="25">
        <v>89</v>
      </c>
      <c r="F148" s="105">
        <f t="shared" si="15"/>
        <v>0</v>
      </c>
      <c r="G148" s="105">
        <f t="shared" si="16"/>
        <v>94.680851063829792</v>
      </c>
      <c r="H148" s="25">
        <f>[8]SKT!$Q$16</f>
        <v>788</v>
      </c>
      <c r="I148" s="25">
        <v>788</v>
      </c>
      <c r="J148" s="25">
        <v>275204</v>
      </c>
      <c r="K148" s="25">
        <v>146802</v>
      </c>
      <c r="L148" s="25">
        <v>151757</v>
      </c>
      <c r="M148" s="105">
        <f t="shared" si="17"/>
        <v>3.3752946145147886</v>
      </c>
      <c r="N148" s="105">
        <f t="shared" si="18"/>
        <v>55.14345721719161</v>
      </c>
      <c r="O148" s="25">
        <v>6665</v>
      </c>
      <c r="P148" s="25">
        <v>6839</v>
      </c>
      <c r="Q148" s="105">
        <f t="shared" si="19"/>
        <v>2.6106526631657911</v>
      </c>
      <c r="R148" s="32" t="s">
        <v>6</v>
      </c>
      <c r="S148" s="1">
        <v>1</v>
      </c>
      <c r="T148" s="169"/>
    </row>
    <row r="149" spans="1:20" s="7" customFormat="1" x14ac:dyDescent="0.25">
      <c r="A149" s="23">
        <v>35</v>
      </c>
      <c r="B149" s="24" t="s">
        <v>147</v>
      </c>
      <c r="C149" s="25">
        <v>79</v>
      </c>
      <c r="D149" s="25">
        <v>22</v>
      </c>
      <c r="E149" s="25">
        <v>22</v>
      </c>
      <c r="F149" s="105">
        <f t="shared" si="15"/>
        <v>0</v>
      </c>
      <c r="G149" s="105">
        <f t="shared" si="16"/>
        <v>27.848101265822784</v>
      </c>
      <c r="H149" s="25">
        <f>[8]TTS!$I$16</f>
        <v>152</v>
      </c>
      <c r="I149" s="25">
        <v>152</v>
      </c>
      <c r="J149" s="25">
        <v>187555</v>
      </c>
      <c r="K149" s="25">
        <v>35797</v>
      </c>
      <c r="L149" s="25">
        <v>36954</v>
      </c>
      <c r="M149" s="105">
        <f t="shared" si="17"/>
        <v>3.2321144229963403</v>
      </c>
      <c r="N149" s="105">
        <f t="shared" si="18"/>
        <v>19.703020447335447</v>
      </c>
      <c r="O149" s="25">
        <v>2371</v>
      </c>
      <c r="P149" s="25">
        <v>2438</v>
      </c>
      <c r="Q149" s="105">
        <f t="shared" si="19"/>
        <v>2.8258118937157315</v>
      </c>
      <c r="R149" s="32" t="s">
        <v>6</v>
      </c>
      <c r="S149" s="1">
        <v>1</v>
      </c>
      <c r="T149" s="169"/>
    </row>
    <row r="150" spans="1:20" x14ac:dyDescent="0.25">
      <c r="A150" s="23">
        <v>35</v>
      </c>
      <c r="B150" s="24" t="s">
        <v>148</v>
      </c>
      <c r="C150" s="25">
        <v>79</v>
      </c>
      <c r="D150" s="25">
        <v>61</v>
      </c>
      <c r="E150" s="39">
        <v>61</v>
      </c>
      <c r="F150" s="105">
        <f t="shared" si="15"/>
        <v>0</v>
      </c>
      <c r="G150" s="105">
        <f t="shared" si="16"/>
        <v>77.215189873417714</v>
      </c>
      <c r="H150" s="143">
        <v>214</v>
      </c>
      <c r="I150" s="39">
        <v>214</v>
      </c>
      <c r="J150" s="25">
        <v>187555</v>
      </c>
      <c r="K150" s="25">
        <v>13594</v>
      </c>
      <c r="L150" s="39">
        <v>13594</v>
      </c>
      <c r="M150" s="105">
        <f t="shared" si="17"/>
        <v>0</v>
      </c>
      <c r="N150" s="105">
        <f t="shared" si="18"/>
        <v>7.248007251206313</v>
      </c>
      <c r="O150" s="25">
        <v>1545</v>
      </c>
      <c r="P150" s="39">
        <v>1545</v>
      </c>
      <c r="Q150" s="105">
        <f t="shared" si="19"/>
        <v>0</v>
      </c>
      <c r="R150" s="27" t="s">
        <v>5</v>
      </c>
      <c r="S150" s="1">
        <v>1</v>
      </c>
      <c r="T150" s="169"/>
    </row>
    <row r="151" spans="1:20" s="7" customFormat="1" ht="14.4" thickBot="1" x14ac:dyDescent="0.3">
      <c r="A151" s="37">
        <v>36</v>
      </c>
      <c r="B151" s="38" t="s">
        <v>149</v>
      </c>
      <c r="C151" s="39">
        <v>87</v>
      </c>
      <c r="D151" s="25">
        <v>80</v>
      </c>
      <c r="E151" s="39">
        <v>80</v>
      </c>
      <c r="F151" s="140">
        <f t="shared" si="15"/>
        <v>0</v>
      </c>
      <c r="G151" s="140">
        <f t="shared" si="16"/>
        <v>91.954022988505741</v>
      </c>
      <c r="H151" s="145">
        <v>528</v>
      </c>
      <c r="I151" s="39">
        <v>528</v>
      </c>
      <c r="J151" s="40">
        <v>257583</v>
      </c>
      <c r="K151" s="25">
        <v>39089</v>
      </c>
      <c r="L151" s="39">
        <v>39089</v>
      </c>
      <c r="M151" s="140">
        <f t="shared" si="17"/>
        <v>0</v>
      </c>
      <c r="N151" s="140">
        <f t="shared" si="18"/>
        <v>15.175302717958871</v>
      </c>
      <c r="O151" s="25">
        <v>3149</v>
      </c>
      <c r="P151" s="39">
        <v>3149</v>
      </c>
      <c r="Q151" s="140">
        <f t="shared" si="19"/>
        <v>0</v>
      </c>
      <c r="R151" s="42" t="s">
        <v>5</v>
      </c>
      <c r="S151" s="1">
        <v>1</v>
      </c>
      <c r="T151" s="169"/>
    </row>
    <row r="152" spans="1:20" s="5" customFormat="1" ht="14.4" thickBot="1" x14ac:dyDescent="0.3">
      <c r="A152" s="159">
        <f>COUNTIF(R105:R151,"*")-13</f>
        <v>34</v>
      </c>
      <c r="B152" s="158" t="s">
        <v>84</v>
      </c>
      <c r="C152" s="57">
        <f>SUM(C105:C151)-(C105+C113+C127+C121+C130+C133+C137+C141+C143+C149+C146)</f>
        <v>2635</v>
      </c>
      <c r="D152" s="57">
        <f>SUM(D105:D151)-(D105+D113+D127+D121+D130+D133+D137+D141+D143+D149+D146)</f>
        <v>1773</v>
      </c>
      <c r="E152" s="57">
        <f>SUM(E105:E151)-(E105+E113+E127+E121+E130+E133+E137+E141+E143+E149+E146)</f>
        <v>1773</v>
      </c>
      <c r="F152" s="160">
        <f t="shared" si="15"/>
        <v>0</v>
      </c>
      <c r="G152" s="160">
        <f t="shared" si="16"/>
        <v>67.286527514231494</v>
      </c>
      <c r="H152" s="57">
        <f>SUM(H105:H151)</f>
        <v>13636</v>
      </c>
      <c r="I152" s="57">
        <f>SUM(I105:I151)</f>
        <v>13636</v>
      </c>
      <c r="J152" s="57">
        <f>SUM(J105:J151)-(J105+J113+J127+J121+J130+J133+J137+J141+J143+J149)</f>
        <v>6367781.2431565104</v>
      </c>
      <c r="K152" s="57">
        <f>SUM(K105:K151)</f>
        <v>2635781</v>
      </c>
      <c r="L152" s="57">
        <f>SUM(L105:L151)</f>
        <v>2713590</v>
      </c>
      <c r="M152" s="160">
        <f t="shared" si="17"/>
        <v>2.9520282603144947</v>
      </c>
      <c r="N152" s="160">
        <f t="shared" si="18"/>
        <v>42.614372202504761</v>
      </c>
      <c r="O152" s="57">
        <f>SUM(O105:O151)</f>
        <v>173810</v>
      </c>
      <c r="P152" s="57">
        <f>SUM(P105:P151)</f>
        <v>178505</v>
      </c>
      <c r="Q152" s="160">
        <f t="shared" si="19"/>
        <v>2.701225476094586</v>
      </c>
      <c r="R152" s="162"/>
      <c r="S152" s="1">
        <v>1</v>
      </c>
      <c r="T152" s="169"/>
    </row>
    <row r="153" spans="1:20" ht="26.25" customHeight="1" thickBot="1" x14ac:dyDescent="0.35">
      <c r="A153" s="35"/>
      <c r="B153" s="36"/>
      <c r="C153" s="28"/>
      <c r="D153" s="28"/>
      <c r="E153" s="28"/>
      <c r="F153" s="106"/>
      <c r="G153" s="106"/>
      <c r="H153" s="106"/>
      <c r="I153" s="106"/>
      <c r="J153" s="28"/>
      <c r="K153" s="28"/>
      <c r="L153" s="28"/>
      <c r="M153" s="28"/>
      <c r="N153" s="28"/>
      <c r="O153" s="28"/>
      <c r="P153" s="28"/>
      <c r="Q153" s="28"/>
      <c r="R153" s="15"/>
      <c r="S153" s="1">
        <v>1</v>
      </c>
    </row>
    <row r="154" spans="1:20" s="6" customFormat="1" x14ac:dyDescent="0.25">
      <c r="A154" s="18" t="s">
        <v>150</v>
      </c>
      <c r="B154" s="19"/>
      <c r="C154" s="20"/>
      <c r="D154" s="29"/>
      <c r="E154" s="29"/>
      <c r="F154" s="107"/>
      <c r="G154" s="107"/>
      <c r="H154" s="107"/>
      <c r="I154" s="107"/>
      <c r="J154" s="20"/>
      <c r="K154" s="29"/>
      <c r="L154" s="29"/>
      <c r="M154" s="29"/>
      <c r="N154" s="29"/>
      <c r="O154" s="29"/>
      <c r="P154" s="29"/>
      <c r="Q154" s="29"/>
      <c r="R154" s="22"/>
      <c r="S154" s="1">
        <v>1</v>
      </c>
    </row>
    <row r="155" spans="1:20" s="7" customFormat="1" x14ac:dyDescent="0.25">
      <c r="A155" s="23">
        <v>1</v>
      </c>
      <c r="B155" s="24" t="s">
        <v>151</v>
      </c>
      <c r="C155" s="25">
        <v>19</v>
      </c>
      <c r="D155" s="25">
        <v>19</v>
      </c>
      <c r="E155" s="39">
        <v>19</v>
      </c>
      <c r="F155" s="105">
        <f t="shared" ref="F155:F171" si="20">(E155-D155)/D155%</f>
        <v>0</v>
      </c>
      <c r="G155" s="105">
        <f t="shared" ref="G155:G171" si="21">E155/C155%</f>
        <v>100</v>
      </c>
      <c r="H155" s="144">
        <v>106</v>
      </c>
      <c r="I155" s="39">
        <v>106</v>
      </c>
      <c r="J155" s="30">
        <v>46469.594594594593</v>
      </c>
      <c r="K155" s="25">
        <v>21183</v>
      </c>
      <c r="L155" s="39">
        <v>22661</v>
      </c>
      <c r="M155" s="105">
        <f t="shared" ref="M155:M171" si="22">(L155-K155)/K155%</f>
        <v>6.9772931124014539</v>
      </c>
      <c r="N155" s="105">
        <f t="shared" ref="N155:N171" si="23">L155/J155%</f>
        <v>48.765219920029082</v>
      </c>
      <c r="O155" s="25">
        <v>1131</v>
      </c>
      <c r="P155" s="39">
        <v>1205</v>
      </c>
      <c r="Q155" s="105">
        <f t="shared" ref="Q155:Q171" si="24">(P155-O155)/O155%</f>
        <v>6.5428824049513699</v>
      </c>
      <c r="R155" s="32" t="s">
        <v>5</v>
      </c>
      <c r="S155" s="1">
        <v>1</v>
      </c>
    </row>
    <row r="156" spans="1:20" s="7" customFormat="1" x14ac:dyDescent="0.25">
      <c r="A156" s="23">
        <v>1</v>
      </c>
      <c r="B156" s="24" t="s">
        <v>178</v>
      </c>
      <c r="C156" s="25">
        <v>19</v>
      </c>
      <c r="D156" s="25">
        <v>10</v>
      </c>
      <c r="E156" s="25">
        <f>D156</f>
        <v>10</v>
      </c>
      <c r="F156" s="105">
        <f t="shared" si="20"/>
        <v>0</v>
      </c>
      <c r="G156" s="105">
        <f t="shared" si="21"/>
        <v>52.631578947368418</v>
      </c>
      <c r="H156" s="25">
        <f>G156</f>
        <v>52.631578947368418</v>
      </c>
      <c r="I156" s="25">
        <f>H156</f>
        <v>52.631578947368418</v>
      </c>
      <c r="J156" s="25">
        <v>46469.594594594593</v>
      </c>
      <c r="K156" s="25">
        <v>672</v>
      </c>
      <c r="L156" s="25">
        <f>K156</f>
        <v>672</v>
      </c>
      <c r="M156" s="105">
        <f t="shared" si="22"/>
        <v>0</v>
      </c>
      <c r="N156" s="105">
        <f t="shared" si="23"/>
        <v>1.4461068702290076</v>
      </c>
      <c r="O156" s="25">
        <v>32</v>
      </c>
      <c r="P156" s="25">
        <f>O156</f>
        <v>32</v>
      </c>
      <c r="Q156" s="105">
        <f t="shared" si="24"/>
        <v>0</v>
      </c>
      <c r="R156" s="32" t="s">
        <v>1</v>
      </c>
      <c r="S156" s="1">
        <v>1</v>
      </c>
    </row>
    <row r="157" spans="1:20" s="7" customFormat="1" x14ac:dyDescent="0.25">
      <c r="A157" s="23">
        <v>2</v>
      </c>
      <c r="B157" s="24" t="s">
        <v>177</v>
      </c>
      <c r="C157" s="25">
        <v>13</v>
      </c>
      <c r="D157" s="25">
        <v>5</v>
      </c>
      <c r="E157" s="39">
        <v>5</v>
      </c>
      <c r="F157" s="105">
        <f t="shared" si="20"/>
        <v>0</v>
      </c>
      <c r="G157" s="105">
        <f t="shared" si="21"/>
        <v>38.46153846153846</v>
      </c>
      <c r="H157" s="144">
        <v>161</v>
      </c>
      <c r="I157" s="39">
        <v>161</v>
      </c>
      <c r="J157" s="30">
        <v>21296</v>
      </c>
      <c r="K157" s="25">
        <v>12914</v>
      </c>
      <c r="L157" s="39">
        <v>12914</v>
      </c>
      <c r="M157" s="105">
        <f t="shared" si="22"/>
        <v>0</v>
      </c>
      <c r="N157" s="105">
        <f t="shared" si="23"/>
        <v>60.640495867768593</v>
      </c>
      <c r="O157" s="25">
        <v>593</v>
      </c>
      <c r="P157" s="39">
        <v>593</v>
      </c>
      <c r="Q157" s="105">
        <f t="shared" si="24"/>
        <v>0</v>
      </c>
      <c r="R157" s="32" t="s">
        <v>5</v>
      </c>
      <c r="S157" s="1">
        <v>1</v>
      </c>
    </row>
    <row r="158" spans="1:20" s="7" customFormat="1" x14ac:dyDescent="0.25">
      <c r="A158" s="23">
        <v>2</v>
      </c>
      <c r="B158" s="24" t="s">
        <v>179</v>
      </c>
      <c r="C158" s="25">
        <v>13</v>
      </c>
      <c r="D158" s="25">
        <v>10</v>
      </c>
      <c r="E158" s="25">
        <f>D158</f>
        <v>10</v>
      </c>
      <c r="F158" s="105">
        <f t="shared" si="20"/>
        <v>0</v>
      </c>
      <c r="G158" s="105">
        <f t="shared" si="21"/>
        <v>76.92307692307692</v>
      </c>
      <c r="H158" s="25">
        <f>G158</f>
        <v>76.92307692307692</v>
      </c>
      <c r="I158" s="25">
        <f>H158</f>
        <v>76.92307692307692</v>
      </c>
      <c r="J158" s="25">
        <v>21296</v>
      </c>
      <c r="K158" s="25">
        <v>16770</v>
      </c>
      <c r="L158" s="25">
        <f>K158</f>
        <v>16770</v>
      </c>
      <c r="M158" s="105">
        <f t="shared" si="22"/>
        <v>0</v>
      </c>
      <c r="N158" s="105">
        <f t="shared" si="23"/>
        <v>78.747182569496616</v>
      </c>
      <c r="O158" s="25">
        <v>827</v>
      </c>
      <c r="P158" s="25">
        <f>O158</f>
        <v>827</v>
      </c>
      <c r="Q158" s="105">
        <f t="shared" si="24"/>
        <v>0</v>
      </c>
      <c r="R158" s="32" t="s">
        <v>1</v>
      </c>
      <c r="S158" s="1">
        <v>1</v>
      </c>
    </row>
    <row r="159" spans="1:20" s="7" customFormat="1" x14ac:dyDescent="0.25">
      <c r="A159" s="23">
        <v>3</v>
      </c>
      <c r="B159" s="24" t="s">
        <v>152</v>
      </c>
      <c r="C159" s="25">
        <v>38</v>
      </c>
      <c r="D159" s="25">
        <v>33</v>
      </c>
      <c r="E159" s="39">
        <v>33</v>
      </c>
      <c r="F159" s="105">
        <f t="shared" si="20"/>
        <v>0</v>
      </c>
      <c r="G159" s="105">
        <f t="shared" si="21"/>
        <v>86.84210526315789</v>
      </c>
      <c r="H159" s="144">
        <v>163</v>
      </c>
      <c r="I159" s="39">
        <v>163</v>
      </c>
      <c r="J159" s="30">
        <v>67482.876712328754</v>
      </c>
      <c r="K159" s="25">
        <v>37284</v>
      </c>
      <c r="L159" s="39">
        <v>38032</v>
      </c>
      <c r="M159" s="105">
        <f t="shared" si="22"/>
        <v>2.0062225083145586</v>
      </c>
      <c r="N159" s="105">
        <f t="shared" si="23"/>
        <v>56.358000507485421</v>
      </c>
      <c r="O159" s="25">
        <v>2158</v>
      </c>
      <c r="P159" s="39">
        <v>2202</v>
      </c>
      <c r="Q159" s="105">
        <f t="shared" si="24"/>
        <v>2.0389249304911958</v>
      </c>
      <c r="R159" s="32" t="s">
        <v>5</v>
      </c>
      <c r="S159" s="1">
        <v>1</v>
      </c>
    </row>
    <row r="160" spans="1:20" s="7" customFormat="1" x14ac:dyDescent="0.25">
      <c r="A160" s="23">
        <v>3</v>
      </c>
      <c r="B160" s="24" t="s">
        <v>153</v>
      </c>
      <c r="C160" s="25">
        <v>38</v>
      </c>
      <c r="D160" s="25">
        <v>36</v>
      </c>
      <c r="E160" s="25">
        <f>D160</f>
        <v>36</v>
      </c>
      <c r="F160" s="105">
        <f t="shared" si="20"/>
        <v>0</v>
      </c>
      <c r="G160" s="105">
        <f t="shared" si="21"/>
        <v>94.73684210526315</v>
      </c>
      <c r="H160" s="25">
        <f>G160</f>
        <v>94.73684210526315</v>
      </c>
      <c r="I160" s="25">
        <f>H160</f>
        <v>94.73684210526315</v>
      </c>
      <c r="J160" s="25">
        <v>67482.876712328754</v>
      </c>
      <c r="K160" s="25">
        <v>13807</v>
      </c>
      <c r="L160" s="25">
        <f>K160</f>
        <v>13807</v>
      </c>
      <c r="M160" s="105">
        <f t="shared" si="22"/>
        <v>0</v>
      </c>
      <c r="N160" s="105">
        <f t="shared" si="23"/>
        <v>20.460005074854102</v>
      </c>
      <c r="O160" s="25">
        <v>566</v>
      </c>
      <c r="P160" s="25">
        <f>O160</f>
        <v>566</v>
      </c>
      <c r="Q160" s="105">
        <f t="shared" si="24"/>
        <v>0</v>
      </c>
      <c r="R160" s="32" t="s">
        <v>1</v>
      </c>
      <c r="S160" s="1">
        <v>1</v>
      </c>
    </row>
    <row r="161" spans="1:19" s="7" customFormat="1" x14ac:dyDescent="0.25">
      <c r="A161" s="23">
        <v>4</v>
      </c>
      <c r="B161" s="24" t="s">
        <v>154</v>
      </c>
      <c r="C161" s="25">
        <v>32</v>
      </c>
      <c r="D161" s="25">
        <v>18</v>
      </c>
      <c r="E161" s="39">
        <v>18</v>
      </c>
      <c r="F161" s="105">
        <f t="shared" si="20"/>
        <v>0</v>
      </c>
      <c r="G161" s="105">
        <f t="shared" si="21"/>
        <v>56.25</v>
      </c>
      <c r="H161" s="143">
        <v>415</v>
      </c>
      <c r="I161" s="39">
        <v>415</v>
      </c>
      <c r="J161" s="25">
        <v>60712</v>
      </c>
      <c r="K161" s="25">
        <v>21451</v>
      </c>
      <c r="L161" s="39">
        <v>21451</v>
      </c>
      <c r="M161" s="105">
        <f t="shared" si="22"/>
        <v>0</v>
      </c>
      <c r="N161" s="105">
        <f t="shared" si="23"/>
        <v>35.332388984055868</v>
      </c>
      <c r="O161" s="25">
        <v>992</v>
      </c>
      <c r="P161" s="39">
        <v>992</v>
      </c>
      <c r="Q161" s="105">
        <f t="shared" si="24"/>
        <v>0</v>
      </c>
      <c r="R161" s="32" t="s">
        <v>5</v>
      </c>
      <c r="S161" s="1">
        <v>1</v>
      </c>
    </row>
    <row r="162" spans="1:19" s="7" customFormat="1" x14ac:dyDescent="0.25">
      <c r="A162" s="23">
        <v>4</v>
      </c>
      <c r="B162" s="24" t="s">
        <v>155</v>
      </c>
      <c r="C162" s="25">
        <v>32</v>
      </c>
      <c r="D162" s="25">
        <v>26</v>
      </c>
      <c r="E162" s="25">
        <f>D162</f>
        <v>26</v>
      </c>
      <c r="F162" s="105">
        <f t="shared" si="20"/>
        <v>0</v>
      </c>
      <c r="G162" s="105">
        <f t="shared" si="21"/>
        <v>81.25</v>
      </c>
      <c r="H162" s="25">
        <f>G162</f>
        <v>81.25</v>
      </c>
      <c r="I162" s="25">
        <f>H162</f>
        <v>81.25</v>
      </c>
      <c r="J162" s="25">
        <v>60712</v>
      </c>
      <c r="K162" s="25">
        <v>45689</v>
      </c>
      <c r="L162" s="25">
        <f>K162</f>
        <v>45689</v>
      </c>
      <c r="M162" s="105">
        <f t="shared" si="22"/>
        <v>0</v>
      </c>
      <c r="N162" s="105">
        <f t="shared" si="23"/>
        <v>75.255303729081561</v>
      </c>
      <c r="O162" s="25">
        <v>2192</v>
      </c>
      <c r="P162" s="25">
        <f>O162</f>
        <v>2192</v>
      </c>
      <c r="Q162" s="105">
        <f t="shared" si="24"/>
        <v>0</v>
      </c>
      <c r="R162" s="32" t="s">
        <v>1</v>
      </c>
      <c r="S162" s="1">
        <v>1</v>
      </c>
    </row>
    <row r="163" spans="1:19" s="7" customFormat="1" x14ac:dyDescent="0.25">
      <c r="A163" s="23">
        <v>5</v>
      </c>
      <c r="B163" s="24" t="s">
        <v>156</v>
      </c>
      <c r="C163" s="25">
        <v>9</v>
      </c>
      <c r="D163" s="25">
        <v>9</v>
      </c>
      <c r="E163" s="39">
        <v>9</v>
      </c>
      <c r="F163" s="105">
        <f t="shared" si="20"/>
        <v>0</v>
      </c>
      <c r="G163" s="105">
        <f t="shared" si="21"/>
        <v>100</v>
      </c>
      <c r="H163" s="143">
        <v>85</v>
      </c>
      <c r="I163" s="39">
        <v>85</v>
      </c>
      <c r="J163" s="25">
        <v>15648.786335031467</v>
      </c>
      <c r="K163" s="25">
        <v>7213</v>
      </c>
      <c r="L163" s="39">
        <v>7213</v>
      </c>
      <c r="M163" s="105">
        <f t="shared" si="22"/>
        <v>0</v>
      </c>
      <c r="N163" s="105">
        <f t="shared" si="23"/>
        <v>46.093031405591717</v>
      </c>
      <c r="O163" s="25">
        <v>331</v>
      </c>
      <c r="P163" s="39">
        <v>331</v>
      </c>
      <c r="Q163" s="105">
        <f t="shared" si="24"/>
        <v>0</v>
      </c>
      <c r="R163" s="32" t="s">
        <v>5</v>
      </c>
      <c r="S163" s="1">
        <v>1</v>
      </c>
    </row>
    <row r="164" spans="1:19" s="7" customFormat="1" x14ac:dyDescent="0.25">
      <c r="A164" s="23">
        <v>5</v>
      </c>
      <c r="B164" s="24" t="s">
        <v>157</v>
      </c>
      <c r="C164" s="25">
        <v>9</v>
      </c>
      <c r="D164" s="25">
        <v>9</v>
      </c>
      <c r="E164" s="25">
        <f>D164</f>
        <v>9</v>
      </c>
      <c r="F164" s="105">
        <f t="shared" si="20"/>
        <v>0</v>
      </c>
      <c r="G164" s="105">
        <f t="shared" si="21"/>
        <v>100</v>
      </c>
      <c r="H164" s="25">
        <f>G164</f>
        <v>100</v>
      </c>
      <c r="I164" s="25">
        <f>H164</f>
        <v>100</v>
      </c>
      <c r="J164" s="25">
        <v>15648.786335031467</v>
      </c>
      <c r="K164" s="25">
        <v>6722</v>
      </c>
      <c r="L164" s="25">
        <f>K164</f>
        <v>6722</v>
      </c>
      <c r="M164" s="105">
        <f t="shared" si="22"/>
        <v>0</v>
      </c>
      <c r="N164" s="105">
        <f t="shared" si="23"/>
        <v>42.955407889697426</v>
      </c>
      <c r="O164" s="25">
        <v>267</v>
      </c>
      <c r="P164" s="25">
        <f>O164</f>
        <v>267</v>
      </c>
      <c r="Q164" s="105">
        <f t="shared" si="24"/>
        <v>0</v>
      </c>
      <c r="R164" s="32" t="s">
        <v>1</v>
      </c>
      <c r="S164" s="1">
        <v>1</v>
      </c>
    </row>
    <row r="165" spans="1:19" s="7" customFormat="1" x14ac:dyDescent="0.25">
      <c r="A165" s="23">
        <v>6</v>
      </c>
      <c r="B165" s="24" t="s">
        <v>158</v>
      </c>
      <c r="C165" s="25">
        <v>25</v>
      </c>
      <c r="D165" s="25">
        <v>25</v>
      </c>
      <c r="E165" s="39">
        <v>25</v>
      </c>
      <c r="F165" s="105">
        <f t="shared" si="20"/>
        <v>0</v>
      </c>
      <c r="G165" s="105">
        <f t="shared" si="21"/>
        <v>100</v>
      </c>
      <c r="H165" s="144">
        <v>108</v>
      </c>
      <c r="I165" s="39">
        <v>108</v>
      </c>
      <c r="J165" s="30">
        <v>47319.07894736842</v>
      </c>
      <c r="K165" s="25">
        <v>37859</v>
      </c>
      <c r="L165" s="39">
        <v>38589</v>
      </c>
      <c r="M165" s="105">
        <f t="shared" si="22"/>
        <v>1.9282072954911647</v>
      </c>
      <c r="N165" s="105">
        <f t="shared" si="23"/>
        <v>81.550615224191858</v>
      </c>
      <c r="O165" s="25">
        <v>1944</v>
      </c>
      <c r="P165" s="39">
        <v>1990</v>
      </c>
      <c r="Q165" s="105">
        <f t="shared" si="24"/>
        <v>2.3662551440329218</v>
      </c>
      <c r="R165" s="32" t="s">
        <v>5</v>
      </c>
      <c r="S165" s="1">
        <v>1</v>
      </c>
    </row>
    <row r="166" spans="1:19" s="136" customFormat="1" x14ac:dyDescent="0.25">
      <c r="A166" s="23">
        <v>6</v>
      </c>
      <c r="B166" s="24" t="s">
        <v>263</v>
      </c>
      <c r="C166" s="25">
        <v>25</v>
      </c>
      <c r="D166" s="25">
        <v>12</v>
      </c>
      <c r="E166" s="25">
        <f t="shared" ref="E166:E167" si="25">D166</f>
        <v>12</v>
      </c>
      <c r="F166" s="105">
        <f t="shared" si="20"/>
        <v>0</v>
      </c>
      <c r="G166" s="105">
        <f t="shared" si="21"/>
        <v>48</v>
      </c>
      <c r="H166" s="25">
        <f>G166</f>
        <v>48</v>
      </c>
      <c r="I166" s="25">
        <f t="shared" ref="I166:I167" si="26">H166</f>
        <v>48</v>
      </c>
      <c r="J166" s="30">
        <v>47319.07894736842</v>
      </c>
      <c r="K166" s="25">
        <v>4523</v>
      </c>
      <c r="L166" s="25">
        <f t="shared" ref="L166:L167" si="27">K166</f>
        <v>4523</v>
      </c>
      <c r="M166" s="105">
        <f t="shared" si="22"/>
        <v>0</v>
      </c>
      <c r="N166" s="105">
        <f t="shared" si="23"/>
        <v>9.5585123392422666</v>
      </c>
      <c r="O166" s="25">
        <v>260</v>
      </c>
      <c r="P166" s="25">
        <f t="shared" ref="P166:P167" si="28">O166</f>
        <v>260</v>
      </c>
      <c r="Q166" s="105">
        <f t="shared" si="24"/>
        <v>0</v>
      </c>
      <c r="R166" s="32" t="s">
        <v>1</v>
      </c>
      <c r="S166" s="1">
        <v>1</v>
      </c>
    </row>
    <row r="167" spans="1:19" s="7" customFormat="1" x14ac:dyDescent="0.25">
      <c r="A167" s="23">
        <v>7</v>
      </c>
      <c r="B167" s="24" t="s">
        <v>159</v>
      </c>
      <c r="C167" s="25">
        <v>18</v>
      </c>
      <c r="D167" s="25">
        <v>18</v>
      </c>
      <c r="E167" s="25">
        <f t="shared" si="25"/>
        <v>18</v>
      </c>
      <c r="F167" s="105">
        <f t="shared" si="20"/>
        <v>0</v>
      </c>
      <c r="G167" s="105">
        <f t="shared" si="21"/>
        <v>100</v>
      </c>
      <c r="H167" s="25">
        <f>G167</f>
        <v>100</v>
      </c>
      <c r="I167" s="25">
        <f t="shared" si="26"/>
        <v>100</v>
      </c>
      <c r="J167" s="25">
        <v>54333</v>
      </c>
      <c r="K167" s="25">
        <v>5541</v>
      </c>
      <c r="L167" s="25">
        <f t="shared" si="27"/>
        <v>5541</v>
      </c>
      <c r="M167" s="105">
        <f t="shared" si="22"/>
        <v>0</v>
      </c>
      <c r="N167" s="105">
        <f t="shared" si="23"/>
        <v>10.198222074982054</v>
      </c>
      <c r="O167" s="25">
        <v>227</v>
      </c>
      <c r="P167" s="25">
        <f t="shared" si="28"/>
        <v>227</v>
      </c>
      <c r="Q167" s="105">
        <f t="shared" si="24"/>
        <v>0</v>
      </c>
      <c r="R167" s="32" t="s">
        <v>1</v>
      </c>
      <c r="S167" s="1">
        <v>1</v>
      </c>
    </row>
    <row r="168" spans="1:19" s="7" customFormat="1" x14ac:dyDescent="0.25">
      <c r="A168" s="23">
        <v>8</v>
      </c>
      <c r="B168" s="24" t="s">
        <v>160</v>
      </c>
      <c r="C168" s="25">
        <v>12</v>
      </c>
      <c r="D168" s="25">
        <v>13</v>
      </c>
      <c r="E168" s="39">
        <v>13</v>
      </c>
      <c r="F168" s="105">
        <f t="shared" si="20"/>
        <v>0</v>
      </c>
      <c r="G168" s="105">
        <f t="shared" si="21"/>
        <v>108.33333333333334</v>
      </c>
      <c r="H168" s="144">
        <v>25</v>
      </c>
      <c r="I168" s="39">
        <v>25</v>
      </c>
      <c r="J168" s="30">
        <v>26849.31506849315</v>
      </c>
      <c r="K168" s="25">
        <v>11295</v>
      </c>
      <c r="L168" s="39">
        <v>13171</v>
      </c>
      <c r="M168" s="105">
        <f t="shared" si="22"/>
        <v>16.609119079238599</v>
      </c>
      <c r="N168" s="105">
        <f t="shared" si="23"/>
        <v>49.055255102040817</v>
      </c>
      <c r="O168" s="25">
        <v>656</v>
      </c>
      <c r="P168" s="39">
        <v>702</v>
      </c>
      <c r="Q168" s="105">
        <f t="shared" si="24"/>
        <v>7.01219512195122</v>
      </c>
      <c r="R168" s="32" t="s">
        <v>5</v>
      </c>
      <c r="S168" s="1">
        <v>1</v>
      </c>
    </row>
    <row r="169" spans="1:19" s="7" customFormat="1" x14ac:dyDescent="0.25">
      <c r="A169" s="23">
        <v>9</v>
      </c>
      <c r="B169" s="24" t="s">
        <v>161</v>
      </c>
      <c r="C169" s="25">
        <v>22</v>
      </c>
      <c r="D169" s="25">
        <v>15</v>
      </c>
      <c r="E169" s="25">
        <f>D169</f>
        <v>15</v>
      </c>
      <c r="F169" s="105">
        <f t="shared" si="20"/>
        <v>0</v>
      </c>
      <c r="G169" s="105">
        <f t="shared" si="21"/>
        <v>68.181818181818187</v>
      </c>
      <c r="H169" s="25">
        <f>G169</f>
        <v>68.181818181818187</v>
      </c>
      <c r="I169" s="25">
        <f>H169</f>
        <v>68.181818181818187</v>
      </c>
      <c r="J169" s="25">
        <v>40208</v>
      </c>
      <c r="K169" s="25">
        <v>8596</v>
      </c>
      <c r="L169" s="25">
        <f>K169</f>
        <v>8596</v>
      </c>
      <c r="M169" s="105">
        <f t="shared" si="22"/>
        <v>0</v>
      </c>
      <c r="N169" s="105">
        <f t="shared" si="23"/>
        <v>21.378830083565461</v>
      </c>
      <c r="O169" s="25">
        <v>379</v>
      </c>
      <c r="P169" s="25">
        <f>O169</f>
        <v>379</v>
      </c>
      <c r="Q169" s="105">
        <f t="shared" si="24"/>
        <v>0</v>
      </c>
      <c r="R169" s="32" t="s">
        <v>1</v>
      </c>
      <c r="S169" s="1">
        <v>1</v>
      </c>
    </row>
    <row r="170" spans="1:19" s="7" customFormat="1" ht="14.4" thickBot="1" x14ac:dyDescent="0.3">
      <c r="A170" s="37">
        <v>10</v>
      </c>
      <c r="B170" s="38" t="s">
        <v>176</v>
      </c>
      <c r="C170" s="39">
        <v>8</v>
      </c>
      <c r="D170" s="39">
        <v>8</v>
      </c>
      <c r="E170" s="39">
        <v>8</v>
      </c>
      <c r="F170" s="140">
        <f t="shared" si="20"/>
        <v>0</v>
      </c>
      <c r="G170" s="140">
        <f t="shared" si="21"/>
        <v>100</v>
      </c>
      <c r="H170" s="145">
        <v>88</v>
      </c>
      <c r="I170" s="39">
        <v>88</v>
      </c>
      <c r="J170" s="40">
        <v>18651</v>
      </c>
      <c r="K170" s="25">
        <v>10339</v>
      </c>
      <c r="L170" s="39">
        <v>10680</v>
      </c>
      <c r="M170" s="140">
        <f t="shared" si="22"/>
        <v>3.298191314440468</v>
      </c>
      <c r="N170" s="140">
        <f t="shared" si="23"/>
        <v>57.262345182563941</v>
      </c>
      <c r="O170" s="25">
        <v>565</v>
      </c>
      <c r="P170" s="39">
        <v>591</v>
      </c>
      <c r="Q170" s="140">
        <f t="shared" si="24"/>
        <v>4.6017699115044248</v>
      </c>
      <c r="R170" s="42" t="s">
        <v>5</v>
      </c>
      <c r="S170" s="1">
        <v>1</v>
      </c>
    </row>
    <row r="171" spans="1:19" s="5" customFormat="1" ht="14.4" thickBot="1" x14ac:dyDescent="0.3">
      <c r="A171" s="159">
        <f>COUNTIF(R155:R170,"*")-6</f>
        <v>10</v>
      </c>
      <c r="B171" s="158" t="s">
        <v>39</v>
      </c>
      <c r="C171" s="57">
        <f>(C155+C157+C159+C161+C163+C165+C167+C168+C169+C170)</f>
        <v>196</v>
      </c>
      <c r="D171" s="57">
        <f>(D155+D158+D160+D162+D164+D165+D167+D168+D169+D170)</f>
        <v>179</v>
      </c>
      <c r="E171" s="57">
        <f>(E155+E158+E160+E162+E164+E165+E167+E168+E169+E170)</f>
        <v>179</v>
      </c>
      <c r="F171" s="160">
        <f t="shared" si="20"/>
        <v>0</v>
      </c>
      <c r="G171" s="160">
        <f t="shared" si="21"/>
        <v>91.326530612244895</v>
      </c>
      <c r="H171" s="160">
        <f>SUM(H155:H170)</f>
        <v>1772.7233161575266</v>
      </c>
      <c r="I171" s="160">
        <f>SUM(I155:I170)</f>
        <v>1772.7233161575266</v>
      </c>
      <c r="J171" s="57">
        <f>(J155+J157+J159+J161+J163+J165+J167+J168+J169+J170)</f>
        <v>398969.65165781637</v>
      </c>
      <c r="K171" s="57">
        <f>SUM(K155:K170)</f>
        <v>261858</v>
      </c>
      <c r="L171" s="57">
        <f>SUM(L155:L170)</f>
        <v>267031</v>
      </c>
      <c r="M171" s="160">
        <f t="shared" si="22"/>
        <v>1.9754981707643073</v>
      </c>
      <c r="N171" s="160">
        <f t="shared" si="23"/>
        <v>66.930153431575803</v>
      </c>
      <c r="O171" s="57">
        <f>SUM(O155:O170)</f>
        <v>13120</v>
      </c>
      <c r="P171" s="57">
        <f>SUM(P155:P170)</f>
        <v>13356</v>
      </c>
      <c r="Q171" s="160">
        <f t="shared" si="24"/>
        <v>1.7987804878048783</v>
      </c>
      <c r="R171" s="162"/>
      <c r="S171" s="1">
        <v>1</v>
      </c>
    </row>
    <row r="172" spans="1:19" ht="13.5" customHeight="1" thickBot="1" x14ac:dyDescent="0.35">
      <c r="A172" s="35"/>
      <c r="B172" s="36"/>
      <c r="C172" s="28"/>
      <c r="D172" s="28"/>
      <c r="E172" s="28"/>
      <c r="F172" s="106"/>
      <c r="G172" s="106"/>
      <c r="H172" s="106"/>
      <c r="I172" s="106"/>
      <c r="J172" s="28"/>
      <c r="K172" s="28"/>
      <c r="L172" s="28"/>
      <c r="M172" s="28"/>
      <c r="N172" s="28"/>
      <c r="O172" s="28"/>
      <c r="P172" s="28"/>
      <c r="Q172" s="28"/>
      <c r="R172" s="15"/>
      <c r="S172" s="1">
        <v>1</v>
      </c>
    </row>
    <row r="173" spans="1:19" s="6" customFormat="1" x14ac:dyDescent="0.25">
      <c r="A173" s="18" t="s">
        <v>162</v>
      </c>
      <c r="B173" s="19"/>
      <c r="C173" s="20"/>
      <c r="D173" s="29"/>
      <c r="E173" s="29"/>
      <c r="F173" s="107"/>
      <c r="G173" s="107"/>
      <c r="H173" s="107"/>
      <c r="I173" s="107"/>
      <c r="J173" s="20"/>
      <c r="K173" s="29"/>
      <c r="L173" s="29"/>
      <c r="M173" s="29"/>
      <c r="N173" s="29"/>
      <c r="O173" s="29"/>
      <c r="P173" s="29"/>
      <c r="Q173" s="29"/>
      <c r="R173" s="22"/>
      <c r="S173" s="1">
        <v>1</v>
      </c>
    </row>
    <row r="174" spans="1:19" s="7" customFormat="1" x14ac:dyDescent="0.25">
      <c r="A174" s="23">
        <v>1</v>
      </c>
      <c r="B174" s="24" t="s">
        <v>163</v>
      </c>
      <c r="C174" s="25">
        <v>8</v>
      </c>
      <c r="D174" s="25">
        <v>8</v>
      </c>
      <c r="E174" s="25">
        <v>8</v>
      </c>
      <c r="F174" s="105">
        <f t="shared" ref="F174:F181" si="29">(E174-D174)/D174%</f>
        <v>0</v>
      </c>
      <c r="G174" s="105">
        <f t="shared" ref="G174:G181" si="30">E174/C174%</f>
        <v>100</v>
      </c>
      <c r="H174" s="141">
        <v>44</v>
      </c>
      <c r="I174" s="141">
        <v>44</v>
      </c>
      <c r="J174" s="30">
        <v>10999.903096902348</v>
      </c>
      <c r="K174" s="25">
        <v>6444</v>
      </c>
      <c r="L174" s="25">
        <f>K174</f>
        <v>6444</v>
      </c>
      <c r="M174" s="105">
        <f t="shared" ref="M174:M181" si="31">(L174-K174)/K174%</f>
        <v>0</v>
      </c>
      <c r="N174" s="105">
        <f t="shared" ref="N174:N181" si="32">L174/J174%</f>
        <v>58.582334255423369</v>
      </c>
      <c r="O174" s="25">
        <v>304</v>
      </c>
      <c r="P174" s="25">
        <f>O174</f>
        <v>304</v>
      </c>
      <c r="Q174" s="105">
        <f t="shared" ref="Q174:Q181" si="33">(P174-O174)/O174%</f>
        <v>0</v>
      </c>
      <c r="R174" s="32" t="s">
        <v>2</v>
      </c>
      <c r="S174" s="1">
        <v>1</v>
      </c>
    </row>
    <row r="175" spans="1:19" s="7" customFormat="1" x14ac:dyDescent="0.25">
      <c r="A175" s="23">
        <v>2</v>
      </c>
      <c r="B175" s="24" t="s">
        <v>205</v>
      </c>
      <c r="C175" s="25">
        <v>9</v>
      </c>
      <c r="D175" s="25"/>
      <c r="E175" s="25"/>
      <c r="F175" s="105">
        <v>0</v>
      </c>
      <c r="G175" s="105">
        <f t="shared" si="30"/>
        <v>0</v>
      </c>
      <c r="H175" s="141">
        <v>0</v>
      </c>
      <c r="I175" s="141"/>
      <c r="J175" s="30">
        <v>0</v>
      </c>
      <c r="K175" s="25">
        <v>0</v>
      </c>
      <c r="L175" s="25">
        <v>0</v>
      </c>
      <c r="M175" s="105">
        <v>0</v>
      </c>
      <c r="N175" s="105">
        <v>0</v>
      </c>
      <c r="O175" s="25">
        <v>0</v>
      </c>
      <c r="P175" s="25"/>
      <c r="Q175" s="105">
        <v>0</v>
      </c>
      <c r="R175" s="81">
        <v>0</v>
      </c>
      <c r="S175" s="1">
        <v>1</v>
      </c>
    </row>
    <row r="176" spans="1:19" s="7" customFormat="1" x14ac:dyDescent="0.25">
      <c r="A176" s="23">
        <v>3</v>
      </c>
      <c r="B176" s="24" t="s">
        <v>164</v>
      </c>
      <c r="C176" s="25">
        <v>14</v>
      </c>
      <c r="D176" s="25">
        <v>14</v>
      </c>
      <c r="E176" s="25">
        <v>14</v>
      </c>
      <c r="F176" s="105">
        <f t="shared" si="29"/>
        <v>0</v>
      </c>
      <c r="G176" s="105">
        <f t="shared" si="30"/>
        <v>99.999999999999986</v>
      </c>
      <c r="H176" s="141">
        <v>56</v>
      </c>
      <c r="I176" s="141">
        <v>56</v>
      </c>
      <c r="J176" s="30">
        <v>18452.493081471035</v>
      </c>
      <c r="K176" s="25">
        <v>10401</v>
      </c>
      <c r="L176" s="25">
        <f t="shared" ref="L176:L180" si="34">K176</f>
        <v>10401</v>
      </c>
      <c r="M176" s="105">
        <f t="shared" si="31"/>
        <v>0</v>
      </c>
      <c r="N176" s="105">
        <f t="shared" si="32"/>
        <v>56.366367157422779</v>
      </c>
      <c r="O176" s="25">
        <v>477</v>
      </c>
      <c r="P176" s="25">
        <f t="shared" ref="P176:P180" si="35">O176</f>
        <v>477</v>
      </c>
      <c r="Q176" s="105">
        <f t="shared" si="33"/>
        <v>0</v>
      </c>
      <c r="R176" s="32" t="s">
        <v>2</v>
      </c>
      <c r="S176" s="1">
        <v>1</v>
      </c>
    </row>
    <row r="177" spans="1:19" s="7" customFormat="1" x14ac:dyDescent="0.25">
      <c r="A177" s="23">
        <v>4</v>
      </c>
      <c r="B177" s="24" t="s">
        <v>165</v>
      </c>
      <c r="C177" s="25">
        <v>16</v>
      </c>
      <c r="D177" s="25">
        <v>16</v>
      </c>
      <c r="E177" s="25">
        <v>16</v>
      </c>
      <c r="F177" s="105">
        <f t="shared" si="29"/>
        <v>0</v>
      </c>
      <c r="G177" s="105">
        <f t="shared" si="30"/>
        <v>100</v>
      </c>
      <c r="H177" s="141">
        <v>44</v>
      </c>
      <c r="I177" s="141">
        <v>44</v>
      </c>
      <c r="J177" s="30">
        <v>13563.115170309828</v>
      </c>
      <c r="K177" s="25">
        <v>12420</v>
      </c>
      <c r="L177" s="25">
        <f t="shared" si="34"/>
        <v>12420</v>
      </c>
      <c r="M177" s="105">
        <f t="shared" si="31"/>
        <v>0</v>
      </c>
      <c r="N177" s="105">
        <f t="shared" si="32"/>
        <v>91.571883332435675</v>
      </c>
      <c r="O177" s="25">
        <v>552</v>
      </c>
      <c r="P177" s="25">
        <f t="shared" si="35"/>
        <v>552</v>
      </c>
      <c r="Q177" s="105">
        <f t="shared" si="33"/>
        <v>0</v>
      </c>
      <c r="R177" s="32" t="s">
        <v>2</v>
      </c>
      <c r="S177" s="1">
        <v>1</v>
      </c>
    </row>
    <row r="178" spans="1:19" s="7" customFormat="1" x14ac:dyDescent="0.25">
      <c r="A178" s="23">
        <v>5</v>
      </c>
      <c r="B178" s="24" t="s">
        <v>166</v>
      </c>
      <c r="C178" s="25">
        <v>10</v>
      </c>
      <c r="D178" s="25">
        <v>10</v>
      </c>
      <c r="E178" s="25">
        <v>10</v>
      </c>
      <c r="F178" s="105">
        <f t="shared" si="29"/>
        <v>0</v>
      </c>
      <c r="G178" s="105">
        <f t="shared" si="30"/>
        <v>100</v>
      </c>
      <c r="H178" s="141">
        <v>55</v>
      </c>
      <c r="I178" s="141">
        <v>55</v>
      </c>
      <c r="J178" s="30">
        <v>17721</v>
      </c>
      <c r="K178" s="25">
        <v>10924</v>
      </c>
      <c r="L178" s="25">
        <f t="shared" si="34"/>
        <v>10924</v>
      </c>
      <c r="M178" s="105">
        <f t="shared" si="31"/>
        <v>0</v>
      </c>
      <c r="N178" s="105">
        <f t="shared" si="32"/>
        <v>61.644376728175608</v>
      </c>
      <c r="O178" s="25">
        <v>456</v>
      </c>
      <c r="P178" s="25">
        <f t="shared" si="35"/>
        <v>456</v>
      </c>
      <c r="Q178" s="105">
        <f t="shared" si="33"/>
        <v>0</v>
      </c>
      <c r="R178" s="32" t="s">
        <v>2</v>
      </c>
      <c r="S178" s="1">
        <v>1</v>
      </c>
    </row>
    <row r="179" spans="1:19" s="7" customFormat="1" x14ac:dyDescent="0.25">
      <c r="A179" s="23">
        <v>6</v>
      </c>
      <c r="B179" s="24" t="s">
        <v>167</v>
      </c>
      <c r="C179" s="25">
        <v>15</v>
      </c>
      <c r="D179" s="25">
        <v>15</v>
      </c>
      <c r="E179" s="25">
        <v>15</v>
      </c>
      <c r="F179" s="105">
        <f t="shared" si="29"/>
        <v>0</v>
      </c>
      <c r="G179" s="105">
        <f t="shared" si="30"/>
        <v>100</v>
      </c>
      <c r="H179" s="141">
        <v>83</v>
      </c>
      <c r="I179" s="141">
        <v>83</v>
      </c>
      <c r="J179" s="30">
        <v>12779</v>
      </c>
      <c r="K179" s="25">
        <v>11965</v>
      </c>
      <c r="L179" s="25">
        <f t="shared" si="34"/>
        <v>11965</v>
      </c>
      <c r="M179" s="105">
        <f t="shared" si="31"/>
        <v>0</v>
      </c>
      <c r="N179" s="105">
        <f t="shared" si="32"/>
        <v>93.630174505047336</v>
      </c>
      <c r="O179" s="25">
        <v>483</v>
      </c>
      <c r="P179" s="25">
        <f t="shared" si="35"/>
        <v>483</v>
      </c>
      <c r="Q179" s="105">
        <f t="shared" si="33"/>
        <v>0</v>
      </c>
      <c r="R179" s="32" t="s">
        <v>2</v>
      </c>
      <c r="S179" s="1">
        <v>1</v>
      </c>
    </row>
    <row r="180" spans="1:19" s="7" customFormat="1" ht="14.4" thickBot="1" x14ac:dyDescent="0.3">
      <c r="A180" s="37">
        <v>7</v>
      </c>
      <c r="B180" s="38" t="s">
        <v>168</v>
      </c>
      <c r="C180" s="39">
        <v>31</v>
      </c>
      <c r="D180" s="39">
        <v>31</v>
      </c>
      <c r="E180" s="25">
        <v>31</v>
      </c>
      <c r="F180" s="140">
        <f t="shared" si="29"/>
        <v>0</v>
      </c>
      <c r="G180" s="140">
        <f t="shared" si="30"/>
        <v>100</v>
      </c>
      <c r="H180" s="157">
        <v>168</v>
      </c>
      <c r="I180" s="157">
        <v>168</v>
      </c>
      <c r="J180" s="40">
        <v>35134.322614801174</v>
      </c>
      <c r="K180" s="39">
        <v>23627</v>
      </c>
      <c r="L180" s="25">
        <f t="shared" si="34"/>
        <v>23627</v>
      </c>
      <c r="M180" s="140">
        <f t="shared" si="31"/>
        <v>0</v>
      </c>
      <c r="N180" s="140">
        <f t="shared" si="32"/>
        <v>67.247632063487004</v>
      </c>
      <c r="O180" s="39">
        <v>1010</v>
      </c>
      <c r="P180" s="25">
        <f t="shared" si="35"/>
        <v>1010</v>
      </c>
      <c r="Q180" s="140">
        <f t="shared" si="33"/>
        <v>0</v>
      </c>
      <c r="R180" s="42" t="s">
        <v>2</v>
      </c>
      <c r="S180" s="1">
        <v>1</v>
      </c>
    </row>
    <row r="181" spans="1:19" s="5" customFormat="1" ht="14.4" thickBot="1" x14ac:dyDescent="0.3">
      <c r="A181" s="159">
        <f>COUNTIF(R174:R180,"*")</f>
        <v>6</v>
      </c>
      <c r="B181" s="158" t="s">
        <v>39</v>
      </c>
      <c r="C181" s="57">
        <f>SUM(C174:C180)</f>
        <v>103</v>
      </c>
      <c r="D181" s="57">
        <f>SUM(D174:D180)</f>
        <v>94</v>
      </c>
      <c r="E181" s="57">
        <f>SUM(E174:E180)</f>
        <v>94</v>
      </c>
      <c r="F181" s="160">
        <f t="shared" si="29"/>
        <v>0</v>
      </c>
      <c r="G181" s="160">
        <f t="shared" si="30"/>
        <v>91.262135922330089</v>
      </c>
      <c r="H181" s="160">
        <f>SUM(H174:H180)</f>
        <v>450</v>
      </c>
      <c r="I181" s="160">
        <f>SUM(I174:I180)</f>
        <v>450</v>
      </c>
      <c r="J181" s="57">
        <f>SUM(J174:J180)</f>
        <v>108649.83396348439</v>
      </c>
      <c r="K181" s="57">
        <f>SUM(K174:K180)</f>
        <v>75781</v>
      </c>
      <c r="L181" s="57">
        <f>SUM(L174:L180)</f>
        <v>75781</v>
      </c>
      <c r="M181" s="160">
        <f t="shared" si="31"/>
        <v>0</v>
      </c>
      <c r="N181" s="160">
        <f t="shared" si="32"/>
        <v>69.747920669136846</v>
      </c>
      <c r="O181" s="57">
        <f>SUM(O174:O180)</f>
        <v>3282</v>
      </c>
      <c r="P181" s="57">
        <f>SUM(P174:P180)</f>
        <v>3282</v>
      </c>
      <c r="Q181" s="160">
        <f t="shared" si="33"/>
        <v>0</v>
      </c>
      <c r="R181" s="162"/>
      <c r="S181" s="1">
        <v>1</v>
      </c>
    </row>
    <row r="182" spans="1:19" s="5" customFormat="1" ht="3.75" customHeight="1" thickBot="1" x14ac:dyDescent="0.3">
      <c r="A182" s="43"/>
      <c r="B182" s="44"/>
      <c r="C182" s="45"/>
      <c r="D182" s="28"/>
      <c r="E182" s="28"/>
      <c r="F182" s="156" t="e">
        <f>(D182-#REF!)/#REF!%</f>
        <v>#REF!</v>
      </c>
      <c r="G182" s="108"/>
      <c r="H182" s="108"/>
      <c r="I182" s="108"/>
      <c r="J182" s="45"/>
      <c r="K182" s="46"/>
      <c r="L182" s="46"/>
      <c r="M182" s="46"/>
      <c r="N182" s="46"/>
      <c r="O182" s="46"/>
      <c r="P182" s="46"/>
      <c r="Q182" s="46"/>
      <c r="R182" s="47"/>
      <c r="S182" s="1">
        <v>1</v>
      </c>
    </row>
    <row r="183" spans="1:19" s="6" customFormat="1" x14ac:dyDescent="0.25">
      <c r="A183" s="18" t="s">
        <v>226</v>
      </c>
      <c r="B183" s="19"/>
      <c r="C183" s="20"/>
      <c r="D183" s="29"/>
      <c r="E183" s="29"/>
      <c r="F183" s="107"/>
      <c r="G183" s="107"/>
      <c r="H183" s="107"/>
      <c r="I183" s="107"/>
      <c r="J183" s="20"/>
      <c r="K183" s="29"/>
      <c r="L183" s="29"/>
      <c r="M183" s="29"/>
      <c r="N183" s="29"/>
      <c r="O183" s="29"/>
      <c r="P183" s="29"/>
      <c r="Q183" s="29"/>
      <c r="R183" s="22"/>
      <c r="S183" s="1">
        <v>1</v>
      </c>
    </row>
    <row r="184" spans="1:19" s="7" customFormat="1" x14ac:dyDescent="0.25">
      <c r="A184" s="94">
        <v>1</v>
      </c>
      <c r="B184" s="24" t="s">
        <v>204</v>
      </c>
      <c r="C184" s="58">
        <v>37</v>
      </c>
      <c r="D184" s="58"/>
      <c r="E184" s="58"/>
      <c r="F184" s="105">
        <v>0</v>
      </c>
      <c r="G184" s="105">
        <f t="shared" ref="G184:G197" si="36">E184/C184%</f>
        <v>0</v>
      </c>
      <c r="H184" s="105">
        <v>0</v>
      </c>
      <c r="I184" s="105">
        <v>0</v>
      </c>
      <c r="J184" s="58">
        <v>65409.560439560439</v>
      </c>
      <c r="K184" s="25">
        <v>0</v>
      </c>
      <c r="L184" s="58">
        <v>0</v>
      </c>
      <c r="M184" s="105">
        <v>0</v>
      </c>
      <c r="N184" s="105">
        <v>0</v>
      </c>
      <c r="O184" s="25"/>
      <c r="P184" s="101"/>
      <c r="Q184" s="105">
        <v>0</v>
      </c>
      <c r="R184" s="95">
        <v>0</v>
      </c>
      <c r="S184" s="1">
        <v>1</v>
      </c>
    </row>
    <row r="185" spans="1:19" s="7" customFormat="1" x14ac:dyDescent="0.25">
      <c r="A185" s="94">
        <v>2</v>
      </c>
      <c r="B185" s="24" t="s">
        <v>194</v>
      </c>
      <c r="C185" s="58">
        <v>28</v>
      </c>
      <c r="D185" s="58"/>
      <c r="E185" s="58"/>
      <c r="F185" s="105">
        <v>0</v>
      </c>
      <c r="G185" s="105">
        <f t="shared" si="36"/>
        <v>0</v>
      </c>
      <c r="H185" s="105">
        <v>0</v>
      </c>
      <c r="I185" s="105">
        <v>0</v>
      </c>
      <c r="J185" s="58">
        <v>55225.252525252523</v>
      </c>
      <c r="K185" s="25">
        <v>0</v>
      </c>
      <c r="L185" s="58">
        <v>0</v>
      </c>
      <c r="M185" s="105">
        <v>0</v>
      </c>
      <c r="N185" s="105">
        <v>0</v>
      </c>
      <c r="O185" s="25"/>
      <c r="P185" s="101"/>
      <c r="Q185" s="105">
        <v>0</v>
      </c>
      <c r="R185" s="95">
        <v>0</v>
      </c>
      <c r="S185" s="1">
        <v>1</v>
      </c>
    </row>
    <row r="186" spans="1:19" s="7" customFormat="1" x14ac:dyDescent="0.25">
      <c r="A186" s="94">
        <v>3</v>
      </c>
      <c r="B186" s="24" t="s">
        <v>169</v>
      </c>
      <c r="C186" s="25">
        <v>23</v>
      </c>
      <c r="D186" s="25">
        <v>3</v>
      </c>
      <c r="E186" s="25">
        <v>3</v>
      </c>
      <c r="F186" s="105">
        <f>(E186-D186)/D186%</f>
        <v>0</v>
      </c>
      <c r="G186" s="105">
        <f t="shared" si="36"/>
        <v>13.043478260869565</v>
      </c>
      <c r="H186" s="25">
        <f>'[3]1.RSP Districts '!H186</f>
        <v>0</v>
      </c>
      <c r="I186" s="25">
        <v>0</v>
      </c>
      <c r="J186" s="25">
        <v>42293.396226415098</v>
      </c>
      <c r="K186" s="25">
        <v>4668</v>
      </c>
      <c r="L186" s="25">
        <v>4668</v>
      </c>
      <c r="M186" s="105">
        <f>(L186-K186)/K186%</f>
        <v>0</v>
      </c>
      <c r="N186" s="105">
        <f>L186/J186%</f>
        <v>11.037184091365349</v>
      </c>
      <c r="O186" s="25">
        <v>143</v>
      </c>
      <c r="P186" s="25">
        <v>143</v>
      </c>
      <c r="Q186" s="105">
        <f>(P186-O186)/O186%</f>
        <v>0</v>
      </c>
      <c r="R186" s="32" t="s">
        <v>9</v>
      </c>
      <c r="S186" s="1">
        <v>1</v>
      </c>
    </row>
    <row r="187" spans="1:19" s="7" customFormat="1" x14ac:dyDescent="0.25">
      <c r="A187" s="94">
        <v>4</v>
      </c>
      <c r="B187" s="24" t="s">
        <v>195</v>
      </c>
      <c r="C187" s="25">
        <v>21</v>
      </c>
      <c r="D187" s="58"/>
      <c r="E187" s="58"/>
      <c r="F187" s="105">
        <v>0</v>
      </c>
      <c r="G187" s="105">
        <f t="shared" si="36"/>
        <v>0</v>
      </c>
      <c r="H187" s="105">
        <v>0</v>
      </c>
      <c r="I187" s="105">
        <v>0</v>
      </c>
      <c r="J187" s="58">
        <v>37161.444444444445</v>
      </c>
      <c r="K187" s="25">
        <v>0</v>
      </c>
      <c r="L187" s="58">
        <v>0</v>
      </c>
      <c r="M187" s="105">
        <v>0</v>
      </c>
      <c r="N187" s="105">
        <v>0</v>
      </c>
      <c r="O187" s="25"/>
      <c r="P187" s="25"/>
      <c r="Q187" s="105">
        <v>0</v>
      </c>
      <c r="R187" s="95">
        <v>0</v>
      </c>
      <c r="S187" s="1">
        <v>1</v>
      </c>
    </row>
    <row r="188" spans="1:19" s="7" customFormat="1" x14ac:dyDescent="0.25">
      <c r="A188" s="94">
        <v>5</v>
      </c>
      <c r="B188" s="24" t="s">
        <v>196</v>
      </c>
      <c r="C188" s="25">
        <v>22</v>
      </c>
      <c r="D188" s="58"/>
      <c r="E188" s="58"/>
      <c r="F188" s="105">
        <v>0</v>
      </c>
      <c r="G188" s="105">
        <f t="shared" si="36"/>
        <v>0</v>
      </c>
      <c r="H188" s="105">
        <v>0</v>
      </c>
      <c r="I188" s="105">
        <v>0</v>
      </c>
      <c r="J188" s="58">
        <v>39697.362637362639</v>
      </c>
      <c r="K188" s="25">
        <v>0</v>
      </c>
      <c r="L188" s="58">
        <v>0</v>
      </c>
      <c r="M188" s="105">
        <v>0</v>
      </c>
      <c r="N188" s="105">
        <v>0</v>
      </c>
      <c r="O188" s="25"/>
      <c r="P188" s="25"/>
      <c r="Q188" s="105">
        <v>0</v>
      </c>
      <c r="R188" s="95">
        <v>0</v>
      </c>
      <c r="S188" s="1">
        <v>1</v>
      </c>
    </row>
    <row r="189" spans="1:19" s="7" customFormat="1" x14ac:dyDescent="0.25">
      <c r="A189" s="94">
        <v>6</v>
      </c>
      <c r="B189" s="24" t="s">
        <v>197</v>
      </c>
      <c r="C189" s="25">
        <v>15</v>
      </c>
      <c r="D189" s="58"/>
      <c r="E189" s="58"/>
      <c r="F189" s="105">
        <v>0</v>
      </c>
      <c r="G189" s="105">
        <v>0</v>
      </c>
      <c r="H189" s="105">
        <v>0</v>
      </c>
      <c r="I189" s="105">
        <v>0</v>
      </c>
      <c r="J189" s="58">
        <v>25618.295454545452</v>
      </c>
      <c r="K189" s="25">
        <v>0</v>
      </c>
      <c r="L189" s="58">
        <v>0</v>
      </c>
      <c r="M189" s="105">
        <v>0</v>
      </c>
      <c r="N189" s="105">
        <v>0</v>
      </c>
      <c r="O189" s="25"/>
      <c r="P189" s="25"/>
      <c r="Q189" s="105">
        <v>0</v>
      </c>
      <c r="R189" s="95">
        <v>0</v>
      </c>
      <c r="S189" s="1">
        <v>1</v>
      </c>
    </row>
    <row r="190" spans="1:19" s="7" customFormat="1" x14ac:dyDescent="0.25">
      <c r="A190" s="94">
        <v>7</v>
      </c>
      <c r="B190" s="24" t="s">
        <v>198</v>
      </c>
      <c r="C190" s="25">
        <v>29</v>
      </c>
      <c r="D190" s="58"/>
      <c r="E190" s="58"/>
      <c r="F190" s="105">
        <v>0</v>
      </c>
      <c r="G190" s="105">
        <v>0</v>
      </c>
      <c r="H190" s="105">
        <v>0</v>
      </c>
      <c r="I190" s="105">
        <v>0</v>
      </c>
      <c r="J190" s="58">
        <v>50569.529411764706</v>
      </c>
      <c r="K190" s="25">
        <v>0</v>
      </c>
      <c r="L190" s="58">
        <v>0</v>
      </c>
      <c r="M190" s="105">
        <v>0</v>
      </c>
      <c r="N190" s="105">
        <v>0</v>
      </c>
      <c r="O190" s="25"/>
      <c r="P190" s="25"/>
      <c r="Q190" s="105">
        <v>0</v>
      </c>
      <c r="R190" s="95">
        <v>0</v>
      </c>
      <c r="S190" s="1">
        <v>1</v>
      </c>
    </row>
    <row r="191" spans="1:19" s="7" customFormat="1" x14ac:dyDescent="0.25">
      <c r="A191" s="94">
        <v>8</v>
      </c>
      <c r="B191" s="24" t="s">
        <v>199</v>
      </c>
      <c r="C191" s="25">
        <v>1</v>
      </c>
      <c r="D191" s="58"/>
      <c r="E191" s="58"/>
      <c r="F191" s="105">
        <v>0</v>
      </c>
      <c r="G191" s="105">
        <v>0</v>
      </c>
      <c r="H191" s="105">
        <v>0</v>
      </c>
      <c r="I191" s="105">
        <v>0</v>
      </c>
      <c r="J191" s="58">
        <v>931.6</v>
      </c>
      <c r="K191" s="25">
        <v>0</v>
      </c>
      <c r="L191" s="58">
        <v>0</v>
      </c>
      <c r="M191" s="105">
        <v>0</v>
      </c>
      <c r="N191" s="105">
        <v>0</v>
      </c>
      <c r="O191" s="25"/>
      <c r="P191" s="25"/>
      <c r="Q191" s="105">
        <v>0</v>
      </c>
      <c r="R191" s="95">
        <v>0</v>
      </c>
      <c r="S191" s="1">
        <v>1</v>
      </c>
    </row>
    <row r="192" spans="1:19" s="7" customFormat="1" x14ac:dyDescent="0.25">
      <c r="A192" s="94">
        <v>9</v>
      </c>
      <c r="B192" s="24" t="s">
        <v>200</v>
      </c>
      <c r="C192" s="25">
        <v>1</v>
      </c>
      <c r="D192" s="58"/>
      <c r="E192" s="58"/>
      <c r="F192" s="105">
        <v>0</v>
      </c>
      <c r="G192" s="105">
        <f t="shared" si="36"/>
        <v>0</v>
      </c>
      <c r="H192" s="105">
        <v>0</v>
      </c>
      <c r="I192" s="105">
        <v>0</v>
      </c>
      <c r="J192" s="58">
        <v>2040.9375</v>
      </c>
      <c r="K192" s="25">
        <v>0</v>
      </c>
      <c r="L192" s="58">
        <v>0</v>
      </c>
      <c r="M192" s="105">
        <v>0</v>
      </c>
      <c r="N192" s="105">
        <v>0</v>
      </c>
      <c r="O192" s="25"/>
      <c r="P192" s="25"/>
      <c r="Q192" s="105">
        <v>0</v>
      </c>
      <c r="R192" s="95">
        <v>0</v>
      </c>
      <c r="S192" s="1">
        <v>1</v>
      </c>
    </row>
    <row r="193" spans="1:20" s="7" customFormat="1" x14ac:dyDescent="0.25">
      <c r="A193" s="94">
        <v>10</v>
      </c>
      <c r="B193" s="24" t="s">
        <v>201</v>
      </c>
      <c r="C193" s="25">
        <v>3</v>
      </c>
      <c r="D193" s="58"/>
      <c r="E193" s="58"/>
      <c r="F193" s="105">
        <v>0</v>
      </c>
      <c r="G193" s="105">
        <v>0</v>
      </c>
      <c r="H193" s="105">
        <v>0</v>
      </c>
      <c r="I193" s="105">
        <v>0</v>
      </c>
      <c r="J193" s="58">
        <v>5491.5492957746483</v>
      </c>
      <c r="K193" s="25">
        <v>0</v>
      </c>
      <c r="L193" s="58">
        <v>0</v>
      </c>
      <c r="M193" s="105">
        <v>0</v>
      </c>
      <c r="N193" s="105">
        <v>0</v>
      </c>
      <c r="O193" s="25"/>
      <c r="P193" s="25"/>
      <c r="Q193" s="105">
        <v>0</v>
      </c>
      <c r="R193" s="95">
        <v>0</v>
      </c>
      <c r="S193" s="1">
        <v>1</v>
      </c>
    </row>
    <row r="194" spans="1:20" s="7" customFormat="1" x14ac:dyDescent="0.25">
      <c r="A194" s="94">
        <v>11</v>
      </c>
      <c r="B194" s="24" t="s">
        <v>202</v>
      </c>
      <c r="C194" s="25">
        <v>5</v>
      </c>
      <c r="D194" s="58"/>
      <c r="E194" s="58"/>
      <c r="F194" s="105">
        <v>0</v>
      </c>
      <c r="G194" s="105">
        <f t="shared" si="36"/>
        <v>0</v>
      </c>
      <c r="H194" s="105">
        <v>0</v>
      </c>
      <c r="I194" s="105">
        <v>0</v>
      </c>
      <c r="J194" s="58">
        <v>9511.3978494623643</v>
      </c>
      <c r="K194" s="25">
        <v>0</v>
      </c>
      <c r="L194" s="58">
        <v>0</v>
      </c>
      <c r="M194" s="105">
        <v>0</v>
      </c>
      <c r="N194" s="105">
        <v>0</v>
      </c>
      <c r="O194" s="25"/>
      <c r="P194" s="25"/>
      <c r="Q194" s="105">
        <v>0</v>
      </c>
      <c r="R194" s="95">
        <v>0</v>
      </c>
      <c r="S194" s="1">
        <v>1</v>
      </c>
    </row>
    <row r="195" spans="1:20" s="7" customFormat="1" ht="14.4" x14ac:dyDescent="0.3">
      <c r="A195" s="94">
        <v>12</v>
      </c>
      <c r="B195" s="48" t="s">
        <v>170</v>
      </c>
      <c r="C195" s="25">
        <v>3</v>
      </c>
      <c r="D195" s="25">
        <v>3</v>
      </c>
      <c r="E195" s="25">
        <v>3</v>
      </c>
      <c r="F195" s="105">
        <f>(E195-D195)/D195%</f>
        <v>0</v>
      </c>
      <c r="G195" s="105">
        <f t="shared" si="36"/>
        <v>100</v>
      </c>
      <c r="H195" s="25">
        <f>'[3]1.RSP Districts '!H195</f>
        <v>0</v>
      </c>
      <c r="I195" s="25">
        <v>0</v>
      </c>
      <c r="J195" s="25">
        <v>6118.295454545454</v>
      </c>
      <c r="K195" s="25">
        <v>1738</v>
      </c>
      <c r="L195" s="25">
        <v>1738</v>
      </c>
      <c r="M195" s="105">
        <f>(L195-K195)/K195%</f>
        <v>0</v>
      </c>
      <c r="N195" s="105">
        <f>L195/J195%</f>
        <v>28.406604632157652</v>
      </c>
      <c r="O195" s="25">
        <v>116</v>
      </c>
      <c r="P195" s="25">
        <v>116</v>
      </c>
      <c r="Q195" s="105">
        <f>(P195-O195)/O195%</f>
        <v>0</v>
      </c>
      <c r="R195" s="32" t="s">
        <v>9</v>
      </c>
      <c r="S195" s="1">
        <v>1</v>
      </c>
    </row>
    <row r="196" spans="1:20" s="7" customFormat="1" ht="14.4" thickBot="1" x14ac:dyDescent="0.3">
      <c r="A196" s="155">
        <v>13</v>
      </c>
      <c r="B196" s="38" t="s">
        <v>203</v>
      </c>
      <c r="C196" s="39">
        <v>2</v>
      </c>
      <c r="D196" s="154"/>
      <c r="E196" s="154"/>
      <c r="F196" s="140">
        <v>0</v>
      </c>
      <c r="G196" s="140">
        <f t="shared" si="36"/>
        <v>0</v>
      </c>
      <c r="H196" s="140">
        <v>0</v>
      </c>
      <c r="I196" s="140">
        <v>0</v>
      </c>
      <c r="J196" s="154">
        <v>3581.0526315789475</v>
      </c>
      <c r="K196" s="39">
        <v>0</v>
      </c>
      <c r="L196" s="154">
        <v>0</v>
      </c>
      <c r="M196" s="140">
        <v>0</v>
      </c>
      <c r="N196" s="140">
        <v>0</v>
      </c>
      <c r="O196" s="39"/>
      <c r="P196" s="153"/>
      <c r="Q196" s="140">
        <v>0</v>
      </c>
      <c r="R196" s="152">
        <v>0</v>
      </c>
      <c r="S196" s="1">
        <v>1</v>
      </c>
    </row>
    <row r="197" spans="1:20" s="5" customFormat="1" ht="14.4" thickBot="1" x14ac:dyDescent="0.3">
      <c r="A197" s="159">
        <f>COUNTIF(R184:R196,"*")</f>
        <v>2</v>
      </c>
      <c r="B197" s="158" t="s">
        <v>39</v>
      </c>
      <c r="C197" s="57">
        <f>SUM(C184:C196)</f>
        <v>190</v>
      </c>
      <c r="D197" s="57">
        <f>SUM(D184:D196)</f>
        <v>6</v>
      </c>
      <c r="E197" s="57">
        <f>SUM(E184:E196)</f>
        <v>6</v>
      </c>
      <c r="F197" s="160">
        <f>(E197-D197)/D197%</f>
        <v>0</v>
      </c>
      <c r="G197" s="160">
        <f t="shared" si="36"/>
        <v>3.1578947368421053</v>
      </c>
      <c r="H197" s="160">
        <f>SUM(H184:H196)</f>
        <v>0</v>
      </c>
      <c r="I197" s="160">
        <f>SUM(I184:I196)</f>
        <v>0</v>
      </c>
      <c r="J197" s="57">
        <f>SUM(J184:J196)</f>
        <v>343649.6738707067</v>
      </c>
      <c r="K197" s="57">
        <f>SUM(K184:K196)</f>
        <v>6406</v>
      </c>
      <c r="L197" s="57">
        <f>SUM(L184:L196)</f>
        <v>6406</v>
      </c>
      <c r="M197" s="160">
        <f>(L197-K197)/K197%</f>
        <v>0</v>
      </c>
      <c r="N197" s="160">
        <f>L197/J197%</f>
        <v>1.8641076907904084</v>
      </c>
      <c r="O197" s="57">
        <f>SUM(O184:O196)</f>
        <v>259</v>
      </c>
      <c r="P197" s="57">
        <f>SUM(P184:P196)</f>
        <v>259</v>
      </c>
      <c r="Q197" s="160">
        <f>(P197-O197)/O197%</f>
        <v>0</v>
      </c>
      <c r="R197" s="162"/>
      <c r="S197" s="1">
        <v>1</v>
      </c>
    </row>
    <row r="198" spans="1:20" s="5" customFormat="1" ht="6.75" customHeight="1" thickBot="1" x14ac:dyDescent="0.3">
      <c r="A198" s="35"/>
      <c r="B198" s="49"/>
      <c r="C198" s="35"/>
      <c r="D198" s="28"/>
      <c r="E198" s="28"/>
      <c r="F198" s="106"/>
      <c r="G198" s="106"/>
      <c r="H198" s="106"/>
      <c r="I198" s="106"/>
      <c r="J198" s="35"/>
      <c r="K198" s="28"/>
      <c r="L198" s="28"/>
      <c r="M198" s="28"/>
      <c r="N198" s="28"/>
      <c r="O198" s="28"/>
      <c r="P198" s="28"/>
      <c r="Q198" s="28"/>
      <c r="R198" s="50"/>
      <c r="S198" s="1">
        <v>1</v>
      </c>
    </row>
    <row r="199" spans="1:20" s="5" customFormat="1" ht="13.5" customHeight="1" thickBot="1" x14ac:dyDescent="0.35">
      <c r="A199" s="51">
        <f>A40+A76+A102+A152+A171+A181+A7+A197</f>
        <v>113</v>
      </c>
      <c r="B199" s="52" t="s">
        <v>171</v>
      </c>
      <c r="C199" s="57">
        <f>C40+C76+C102+C152+C171+C181+C7+C197</f>
        <v>5565</v>
      </c>
      <c r="D199" s="57">
        <f>D40+D76+D102+D152+D171+D181+D7+D197</f>
        <v>3606</v>
      </c>
      <c r="E199" s="57">
        <f>E40+E76+E102+E152+E171+E181+E7+E197</f>
        <v>3639</v>
      </c>
      <c r="F199" s="160">
        <f>(E199-D199)/D199%</f>
        <v>0.91514143094841927</v>
      </c>
      <c r="G199" s="160">
        <f>E199/C199%</f>
        <v>65.390835579514828</v>
      </c>
      <c r="H199" s="57">
        <f>H40+H76+H102+H152+H171+H181+H7+H197</f>
        <v>27189.723316157528</v>
      </c>
      <c r="I199" s="57">
        <f>I40+I76+I102+I152+I171+I181+I7+I197</f>
        <v>27195.723316157528</v>
      </c>
      <c r="J199" s="57">
        <f>J197+J181+J171+J152+J102+J76+J40+J7</f>
        <v>12783932.528189644</v>
      </c>
      <c r="K199" s="57">
        <f>K40+K76+K102+K152+K171+K181+K7+K197</f>
        <v>5190417</v>
      </c>
      <c r="L199" s="57">
        <f>L40+L76+L102+L152+L171+L181+L7+L197</f>
        <v>5330687</v>
      </c>
      <c r="M199" s="160">
        <f>(L199-K199)/K199%</f>
        <v>2.7024803594778608</v>
      </c>
      <c r="N199" s="160">
        <f>L199/J199%</f>
        <v>41.698334907864911</v>
      </c>
      <c r="O199" s="57">
        <f>O197+O181+O171+O152+O102+O76+O40+O7</f>
        <v>313144</v>
      </c>
      <c r="P199" s="57">
        <f>P197+P181+P171+P152+P102+P76+P40+P7</f>
        <v>321476</v>
      </c>
      <c r="Q199" s="160">
        <f>(P199-O199)/O199%</f>
        <v>2.6607567125667426</v>
      </c>
      <c r="R199" s="138"/>
      <c r="S199" s="1">
        <v>1</v>
      </c>
    </row>
    <row r="200" spans="1:20" ht="6" customHeight="1" x14ac:dyDescent="0.3">
      <c r="A200" s="16"/>
      <c r="B200" s="14"/>
      <c r="C200" s="59"/>
      <c r="D200" s="28"/>
      <c r="E200" s="28"/>
      <c r="F200" s="106"/>
      <c r="G200" s="106"/>
      <c r="H200" s="106"/>
      <c r="I200" s="106"/>
      <c r="J200" s="59"/>
      <c r="K200" s="59"/>
      <c r="L200" s="59"/>
      <c r="M200" s="59"/>
      <c r="N200" s="59"/>
      <c r="O200" s="59"/>
      <c r="P200" s="59"/>
      <c r="Q200" s="156"/>
      <c r="R200" s="15"/>
      <c r="S200" s="1">
        <v>1</v>
      </c>
    </row>
    <row r="201" spans="1:20" ht="16.5" customHeight="1" thickBot="1" x14ac:dyDescent="0.35">
      <c r="A201" s="84" t="s">
        <v>172</v>
      </c>
      <c r="B201" s="14"/>
      <c r="C201" s="59"/>
      <c r="D201" s="28"/>
      <c r="E201" s="28"/>
      <c r="F201" s="106"/>
      <c r="G201" s="106"/>
      <c r="H201" s="106"/>
      <c r="I201" s="106"/>
      <c r="J201" s="59"/>
      <c r="K201" s="59"/>
      <c r="L201" s="59"/>
      <c r="M201" s="59"/>
      <c r="N201" s="59"/>
      <c r="O201" s="59"/>
      <c r="P201" s="59"/>
      <c r="Q201" s="59"/>
      <c r="R201" s="15"/>
      <c r="S201" s="1">
        <v>1</v>
      </c>
    </row>
    <row r="202" spans="1:20" x14ac:dyDescent="0.25">
      <c r="A202" s="96" t="s">
        <v>213</v>
      </c>
      <c r="B202" s="97" t="s">
        <v>215</v>
      </c>
      <c r="C202" s="53"/>
      <c r="D202" s="102"/>
      <c r="E202" s="102"/>
      <c r="F202" s="110"/>
      <c r="G202" s="110"/>
      <c r="H202" s="142"/>
      <c r="I202" s="142"/>
      <c r="J202" s="54"/>
      <c r="K202" s="55"/>
      <c r="L202" s="55"/>
      <c r="M202" s="55"/>
      <c r="N202" s="55"/>
      <c r="O202" s="55"/>
      <c r="P202" s="55"/>
      <c r="Q202" s="55"/>
      <c r="R202" s="56"/>
      <c r="S202" s="1">
        <v>1</v>
      </c>
    </row>
    <row r="203" spans="1:20" x14ac:dyDescent="0.25">
      <c r="A203" s="23">
        <f>COUNTIF($R$6:$R$197,"AJKRSP")</f>
        <v>8</v>
      </c>
      <c r="B203" s="24" t="s">
        <v>232</v>
      </c>
      <c r="C203" s="30">
        <f>SUMIF($R$6:$R$196,"AJKRSP",$C$6:$C$196)</f>
        <v>176</v>
      </c>
      <c r="D203" s="30">
        <f>SUMIF($R$6:$R$196,"AJKRSP",$D$6:$D$196)</f>
        <v>136</v>
      </c>
      <c r="E203" s="30">
        <f>SUMIF($R$6:$R$196,"AJKRSP",$E$6:$E$196)</f>
        <v>136</v>
      </c>
      <c r="F203" s="105">
        <f>(E203-D203)/D203%</f>
        <v>0</v>
      </c>
      <c r="G203" s="105">
        <f t="shared" ref="G203:G213" si="37">E203/C203%</f>
        <v>77.272727272727266</v>
      </c>
      <c r="H203" s="30">
        <f>SUMIF($R$6:$R$196,"AJKRSP",$H$6:$H$196)</f>
        <v>621.7233161575266</v>
      </c>
      <c r="I203" s="30">
        <f>SUMIF($R$6:$R$196,"AJKRSP",$I$6:$I$196)</f>
        <v>621.7233161575266</v>
      </c>
      <c r="J203" s="30">
        <f>SUMIF($R$6:$R$196,"AJKRSP",$J$6:$J$196)</f>
        <v>353469.33658932324</v>
      </c>
      <c r="K203" s="30">
        <f>SUMIF($R$6:$R$196,"AJKRSP",$K$6:$K$196)</f>
        <v>102320</v>
      </c>
      <c r="L203" s="30">
        <f>SUMIF($R$6:$R$196,"AJKRSP",$L$6:$L$196)</f>
        <v>102320</v>
      </c>
      <c r="M203" s="105">
        <f t="shared" ref="M203:M213" si="38">(L203-K203)/K203%</f>
        <v>0</v>
      </c>
      <c r="N203" s="105">
        <f t="shared" ref="N203:N213" si="39">L203/J203%</f>
        <v>28.947348301072019</v>
      </c>
      <c r="O203" s="30">
        <f>SUMIF($R$6:$R$196,"AJKRSP",$O$6:$O$196)</f>
        <v>4750</v>
      </c>
      <c r="P203" s="30">
        <f>SUMIF($R$6:$R$196,"AJKRSP",$P$6:$P$196)</f>
        <v>4750</v>
      </c>
      <c r="Q203" s="105">
        <f t="shared" ref="Q203:Q213" si="40">(P203-O203)/O203%</f>
        <v>0</v>
      </c>
      <c r="R203" s="32" t="s">
        <v>1</v>
      </c>
      <c r="S203" s="1">
        <v>1</v>
      </c>
    </row>
    <row r="204" spans="1:20" s="7" customFormat="1" x14ac:dyDescent="0.25">
      <c r="A204" s="23">
        <f>COUNTIF($R$6:$R$197,"AKRSP")</f>
        <v>7</v>
      </c>
      <c r="B204" s="33" t="s">
        <v>233</v>
      </c>
      <c r="C204" s="30">
        <f>SUMIF($R$6:$R$196,"AKRSP",$C$6:$C$196)</f>
        <v>118</v>
      </c>
      <c r="D204" s="30">
        <f>SUMIF($R$6:$R$196,"AKRSP",$D$6:$D$196)</f>
        <v>145</v>
      </c>
      <c r="E204" s="30">
        <f>SUMIF($R$6:$R$196,"AKRSP",$E$6:$E$196)</f>
        <v>145</v>
      </c>
      <c r="F204" s="105">
        <f t="shared" ref="F204:F213" si="41">(E204-D204)/D204%</f>
        <v>0</v>
      </c>
      <c r="G204" s="105">
        <f t="shared" si="37"/>
        <v>122.88135593220339</v>
      </c>
      <c r="H204" s="30">
        <f>SUMIF($R$6:$R$196,"AKRSP",$H$6:$H$196)</f>
        <v>450</v>
      </c>
      <c r="I204" s="30">
        <f>SUMIF($R$6:$R$196,"AKRSP",$I$6:$I$196)</f>
        <v>450</v>
      </c>
      <c r="J204" s="30">
        <f>SUMIF($R$6:$R$196,"AKRSP",$J$6:$J$196)</f>
        <v>145528.83396348439</v>
      </c>
      <c r="K204" s="30">
        <f>SUMIF($R$6:$R$196,"AKRSP",$K$6:$K$196)</f>
        <v>108969</v>
      </c>
      <c r="L204" s="30">
        <f>SUMIF($R$6:$R$196,"AKRSP",$L$6:$L$196)</f>
        <v>108969</v>
      </c>
      <c r="M204" s="105">
        <f t="shared" si="38"/>
        <v>0</v>
      </c>
      <c r="N204" s="105">
        <f t="shared" si="39"/>
        <v>74.877944825244839</v>
      </c>
      <c r="O204" s="30">
        <f>SUMIF($R$6:$R$196,"AKRSP",$O$6:$O$196)</f>
        <v>4721</v>
      </c>
      <c r="P204" s="30">
        <f>SUMIF($R$6:$R$196,"AKRSP",$P$6:$P$196)</f>
        <v>4721</v>
      </c>
      <c r="Q204" s="105">
        <f t="shared" si="40"/>
        <v>0</v>
      </c>
      <c r="R204" s="32" t="s">
        <v>2</v>
      </c>
      <c r="S204" s="1">
        <v>1</v>
      </c>
    </row>
    <row r="205" spans="1:20" s="7" customFormat="1" x14ac:dyDescent="0.25">
      <c r="A205" s="23">
        <f>COUNTIF($R$6:$R$197,"BRSP")</f>
        <v>14</v>
      </c>
      <c r="B205" s="33" t="s">
        <v>234</v>
      </c>
      <c r="C205" s="30">
        <f>SUMIF($R$6:$R$196,"BRSP",$C$6:$C$196)</f>
        <v>313</v>
      </c>
      <c r="D205" s="30">
        <f>SUMIF($R$6:$R$196,"BRSP",$D$6:$D$196)</f>
        <v>203</v>
      </c>
      <c r="E205" s="30">
        <f>SUMIF($R$6:$R$196,"BRSP",$E$6:$E$196)</f>
        <v>204</v>
      </c>
      <c r="F205" s="105">
        <f t="shared" si="41"/>
        <v>0.49261083743842371</v>
      </c>
      <c r="G205" s="105">
        <f t="shared" si="37"/>
        <v>65.175718849840251</v>
      </c>
      <c r="H205" s="30">
        <f>SUMIF($R$6:$R$196,"BRSP",$H$6:$H$196)</f>
        <v>1334</v>
      </c>
      <c r="I205" s="30">
        <f>SUMIF($R$6:$R$196,"BRSP",$I$6:$I$196)</f>
        <v>1338</v>
      </c>
      <c r="J205" s="30">
        <f>SUMIF($R$6:$R$196,"BRSP",$J$6:$J$196)</f>
        <v>423186.125</v>
      </c>
      <c r="K205" s="30">
        <f>SUMIF($R$6:$R$196,"BRSP",$K$6:$K$196)</f>
        <v>183364</v>
      </c>
      <c r="L205" s="30">
        <f>SUMIF($R$6:$R$196,"BRSP",$L$6:$L$196)</f>
        <v>187074</v>
      </c>
      <c r="M205" s="105">
        <f t="shared" si="38"/>
        <v>2.0232979210750202</v>
      </c>
      <c r="N205" s="105">
        <f t="shared" si="39"/>
        <v>44.206080716847701</v>
      </c>
      <c r="O205" s="30">
        <f>SUMIF($R$6:$R$196,"BRSP",$O$6:$O$196)</f>
        <v>11118</v>
      </c>
      <c r="P205" s="30">
        <f>SUMIF($R$6:$R$196,"BRSP",$P$6:$P$196)</f>
        <v>11360</v>
      </c>
      <c r="Q205" s="105">
        <f t="shared" si="40"/>
        <v>2.176650476704443</v>
      </c>
      <c r="R205" s="32" t="s">
        <v>3</v>
      </c>
      <c r="S205" s="1">
        <v>1</v>
      </c>
      <c r="T205" s="88"/>
    </row>
    <row r="206" spans="1:20" s="7" customFormat="1" x14ac:dyDescent="0.25">
      <c r="A206" s="23">
        <f>COUNTIF($R$6:$R$197,"GBTI")</f>
        <v>3</v>
      </c>
      <c r="B206" s="33" t="s">
        <v>235</v>
      </c>
      <c r="C206" s="30">
        <f>SUMIF($R$6:$R$196,"GBTI",$C$6:$C$196)</f>
        <v>165</v>
      </c>
      <c r="D206" s="30">
        <f>SUMIF($R$6:$R$196,"GBTI",$D$6:$D$196)</f>
        <v>20</v>
      </c>
      <c r="E206" s="30">
        <f>SUMIF($R$6:$R$196,"GBTI",$E$6:$E$196)</f>
        <v>22</v>
      </c>
      <c r="F206" s="105">
        <f t="shared" si="41"/>
        <v>10</v>
      </c>
      <c r="G206" s="105">
        <f t="shared" si="37"/>
        <v>13.333333333333334</v>
      </c>
      <c r="H206" s="30">
        <f>SUMIF($R$6:$R$196,"GBTI",$H$6:$H$196)</f>
        <v>110</v>
      </c>
      <c r="I206" s="30">
        <f>SUMIF($R$6:$R$196,"GBTI",$I$6:$I$196)</f>
        <v>112</v>
      </c>
      <c r="J206" s="30">
        <f>SUMIF($R$6:$R$196,"GBTI",$J$6:$J$196)</f>
        <v>371315</v>
      </c>
      <c r="K206" s="30">
        <f>SUMIF($R$6:$R$196,"GBTI",$K$6:$K$196)</f>
        <v>32679</v>
      </c>
      <c r="L206" s="30">
        <f>SUMIF($R$6:$R$196,"GBTI",$L$6:$L$196)</f>
        <v>33579</v>
      </c>
      <c r="M206" s="105">
        <f t="shared" si="38"/>
        <v>2.7540622418066647</v>
      </c>
      <c r="N206" s="105">
        <f t="shared" si="39"/>
        <v>9.0432651522292389</v>
      </c>
      <c r="O206" s="30">
        <f>SUMIF($R$6:$R$196,"GBTI",$O$6:$O$196)</f>
        <v>2825</v>
      </c>
      <c r="P206" s="30">
        <f>SUMIF($R$6:$R$196,"GBTI",$P$6:$P$196)</f>
        <v>2894</v>
      </c>
      <c r="Q206" s="105">
        <f t="shared" si="40"/>
        <v>2.4424778761061945</v>
      </c>
      <c r="R206" s="32" t="s">
        <v>4</v>
      </c>
      <c r="S206" s="1">
        <v>1</v>
      </c>
    </row>
    <row r="207" spans="1:20" s="7" customFormat="1" x14ac:dyDescent="0.25">
      <c r="A207" s="23">
        <f>COUNTIF($R$6:$R$197,"NRSP")</f>
        <v>50</v>
      </c>
      <c r="B207" s="33" t="s">
        <v>236</v>
      </c>
      <c r="C207" s="30">
        <f>SUMIF($R$6:$R$196,"NRSP",$C$6:$C$196)</f>
        <v>2452</v>
      </c>
      <c r="D207" s="30">
        <f>SUMIF($R$6:$R$196,"NRSP",$D$6:$D$196)</f>
        <v>1971</v>
      </c>
      <c r="E207" s="30">
        <f>SUMIF($R$6:$R$196,"NRSP",$E$6:$E$196)</f>
        <v>1971</v>
      </c>
      <c r="F207" s="105">
        <f t="shared" si="41"/>
        <v>0</v>
      </c>
      <c r="G207" s="105">
        <f t="shared" si="37"/>
        <v>80.383360522022841</v>
      </c>
      <c r="H207" s="30">
        <f>SUMIF($R$6:$R$196,"NRSP",$H$6:$H$196)</f>
        <v>13859</v>
      </c>
      <c r="I207" s="30">
        <f>SUMIF($R$6:$R$196,"NRSP",$I$6:$I$196)</f>
        <v>13859</v>
      </c>
      <c r="J207" s="30">
        <f>SUMIF($R$6:$R$196,"NRSP",$J$6:$J$196)</f>
        <v>5976549.7295798948</v>
      </c>
      <c r="K207" s="30">
        <f>SUMIF($R$6:$R$196,"NRSP",$K$6:$K$196)</f>
        <v>2185950</v>
      </c>
      <c r="L207" s="30">
        <f>SUMIF($R$6:$R$196,"NRSP",$L$6:$L$196)</f>
        <v>2259826</v>
      </c>
      <c r="M207" s="105">
        <f t="shared" si="38"/>
        <v>3.3795832475582697</v>
      </c>
      <c r="N207" s="105">
        <f t="shared" si="39"/>
        <v>37.811548506245735</v>
      </c>
      <c r="O207" s="30">
        <f>SUMIF($R$6:$R$196,"NRSP",$O$6:$O$196)</f>
        <v>145068</v>
      </c>
      <c r="P207" s="30">
        <f>SUMIF($R$6:$R$196,"NRSP",$P$6:$P$196)</f>
        <v>149546</v>
      </c>
      <c r="Q207" s="105">
        <f t="shared" si="40"/>
        <v>3.0868282460639147</v>
      </c>
      <c r="R207" s="32" t="s">
        <v>5</v>
      </c>
      <c r="S207" s="1">
        <v>1</v>
      </c>
    </row>
    <row r="208" spans="1:20" s="7" customFormat="1" x14ac:dyDescent="0.25">
      <c r="A208" s="23">
        <f>COUNTIF($R$6:$R$197,"PRSP")-4</f>
        <v>21</v>
      </c>
      <c r="B208" s="33" t="s">
        <v>251</v>
      </c>
      <c r="C208" s="30">
        <f>SUMIF($R$6:$R$196,"pRSP",$C$6:$C$196)</f>
        <v>1865</v>
      </c>
      <c r="D208" s="30">
        <f>SUMIF($R$6:$R$196,"pRSP",$D$6:$D$196)</f>
        <v>703</v>
      </c>
      <c r="E208" s="30">
        <f>SUMIF($R$6:$R$196,"PRSP",$E$6:$E$196)</f>
        <v>703</v>
      </c>
      <c r="F208" s="105">
        <f t="shared" si="41"/>
        <v>0</v>
      </c>
      <c r="G208" s="105">
        <f t="shared" si="37"/>
        <v>37.694369973190348</v>
      </c>
      <c r="H208" s="30">
        <f>SUMIF($R$6:$R$196,"PRSP",$H$6:$H$196)</f>
        <v>5214</v>
      </c>
      <c r="I208" s="30">
        <f>SUMIF($R$6:$R$196,"PRSP",$I$6:$I$196)</f>
        <v>5214</v>
      </c>
      <c r="J208" s="30">
        <f>SUMIF($R$6:$R$196,"pRSP",$J$6:$J$196)</f>
        <v>4326866.1652344316</v>
      </c>
      <c r="K208" s="30">
        <f>SUMIF($R$6:$R$196,"pRSP",$K$6:$K$196)</f>
        <v>1101376</v>
      </c>
      <c r="L208" s="30">
        <f>SUMIF($R$6:$R$196,"PRSP",$L$6:$L$196)</f>
        <v>1127134</v>
      </c>
      <c r="M208" s="105">
        <f t="shared" si="38"/>
        <v>2.3387108489743738</v>
      </c>
      <c r="N208" s="105">
        <f t="shared" si="39"/>
        <v>26.049661740321735</v>
      </c>
      <c r="O208" s="30">
        <f>SUMIF($R$6:$R$196,"pRSP",$O$6:$O$196)</f>
        <v>66336</v>
      </c>
      <c r="P208" s="30">
        <f>SUMIF($R$6:$R$196,"PRSP",$P$6:$P$196)</f>
        <v>67696</v>
      </c>
      <c r="Q208" s="105">
        <f t="shared" si="40"/>
        <v>2.0501688374336711</v>
      </c>
      <c r="R208" s="32" t="s">
        <v>6</v>
      </c>
      <c r="S208" s="1">
        <v>1</v>
      </c>
      <c r="T208" s="169"/>
    </row>
    <row r="209" spans="1:20" s="7" customFormat="1" x14ac:dyDescent="0.25">
      <c r="A209" s="23">
        <f>COUNTIF($R$6:$R$197,"SGA")</f>
        <v>1</v>
      </c>
      <c r="B209" s="33" t="s">
        <v>237</v>
      </c>
      <c r="C209" s="30">
        <f>SUMIF($R$6:$R$196,"SGA",$C$6:$C$196)</f>
        <v>55</v>
      </c>
      <c r="D209" s="30">
        <f>SUMIF($R$6:$R$196,"SGA",$D$6:$D$196)</f>
        <v>11</v>
      </c>
      <c r="E209" s="30">
        <f>SUMIF($R$6:$R$196,"SGA",$E$6:$E$196)</f>
        <v>13</v>
      </c>
      <c r="F209" s="105">
        <f t="shared" si="41"/>
        <v>18.181818181818183</v>
      </c>
      <c r="G209" s="105">
        <f t="shared" si="37"/>
        <v>23.636363636363633</v>
      </c>
      <c r="H209" s="30">
        <f>SUMIF($R$6:$R$196,"SGA",$H$6:$H$196)</f>
        <v>260</v>
      </c>
      <c r="I209" s="30">
        <f>SUMIF($R$6:$R$196,"SGA",$I$6:$I$196)</f>
        <v>260</v>
      </c>
      <c r="J209" s="30">
        <f>SUMIF($R$6:$R$196,"SGA",$J$6:$J$196)</f>
        <v>209191</v>
      </c>
      <c r="K209" s="30">
        <f>SUMIF($R$6:$R$196,"SGA",$K$6:$K$196)</f>
        <v>15430</v>
      </c>
      <c r="L209" s="30">
        <f>SUMIF($R$6:$R$196,"SGA",$L$6:$L$196)</f>
        <v>16500</v>
      </c>
      <c r="M209" s="105">
        <f t="shared" si="38"/>
        <v>6.934543097861309</v>
      </c>
      <c r="N209" s="105">
        <f t="shared" si="39"/>
        <v>7.8875286221682579</v>
      </c>
      <c r="O209" s="30">
        <f>SUMIF($R$6:$R$196,"SGA",$O$6:$O$196)</f>
        <v>850</v>
      </c>
      <c r="P209" s="30">
        <f>SUMIF($R$6:$R$196,"SGA",$P$6:$P$196)</f>
        <v>860</v>
      </c>
      <c r="Q209" s="105">
        <f t="shared" si="40"/>
        <v>1.1764705882352942</v>
      </c>
      <c r="R209" s="32" t="s">
        <v>7</v>
      </c>
      <c r="S209" s="1">
        <v>1</v>
      </c>
    </row>
    <row r="210" spans="1:20" s="7" customFormat="1" x14ac:dyDescent="0.25">
      <c r="A210" s="23">
        <f>COUNTIF($R$6:$R$197,"SRSO")</f>
        <v>9</v>
      </c>
      <c r="B210" s="33" t="s">
        <v>238</v>
      </c>
      <c r="C210" s="30">
        <f>SUMIF($R$6:$R$196,"SRSO",$C$6:$C$196)</f>
        <v>431</v>
      </c>
      <c r="D210" s="30">
        <f>SUMIF($R$6:$R$196,"SRSO",$D$6:$D$196)</f>
        <v>338</v>
      </c>
      <c r="E210" s="30">
        <f>SUMIF($R$6:$R$196,"SRSO",$E$6:$E$196)</f>
        <v>338</v>
      </c>
      <c r="F210" s="105">
        <f t="shared" si="41"/>
        <v>0</v>
      </c>
      <c r="G210" s="105">
        <f t="shared" si="37"/>
        <v>78.422273781902561</v>
      </c>
      <c r="H210" s="30">
        <f>SUMIF($R$6:$R$196,"SRSO",$H$6:$H$196)</f>
        <v>1864</v>
      </c>
      <c r="I210" s="30">
        <f>SUMIF($R$6:$R$196,"SRSO",$I$6:$I$196)</f>
        <v>1864</v>
      </c>
      <c r="J210" s="30">
        <f>SUMIF($R$6:$R$196,"SRSO",$J$6:$J$196)</f>
        <v>1183970.1255411254</v>
      </c>
      <c r="K210" s="30">
        <f>SUMIF($R$6:$R$196,"SRSO",$K$6:$K$196)</f>
        <v>590991</v>
      </c>
      <c r="L210" s="30">
        <f>SUMIF($R$6:$R$196,"SRSO",$L$6:$L$196)</f>
        <v>591660</v>
      </c>
      <c r="M210" s="105">
        <f t="shared" si="38"/>
        <v>0.11319969339634614</v>
      </c>
      <c r="N210" s="105">
        <f t="shared" si="39"/>
        <v>49.972544681360596</v>
      </c>
      <c r="O210" s="30">
        <f>SUMIF($R$6:$R$196,"SRSO",$O$6:$O$196)</f>
        <v>37021</v>
      </c>
      <c r="P210" s="30">
        <f>SUMIF($R$6:$R$196,"SRSO",$P$6:$P$196)</f>
        <v>37061</v>
      </c>
      <c r="Q210" s="105">
        <f t="shared" si="40"/>
        <v>0.10804678425758354</v>
      </c>
      <c r="R210" s="32" t="s">
        <v>8</v>
      </c>
      <c r="S210" s="1">
        <v>1</v>
      </c>
    </row>
    <row r="211" spans="1:20" s="7" customFormat="1" x14ac:dyDescent="0.25">
      <c r="A211" s="23">
        <f>COUNTIF($R$6:$R$197,"SRSP")</f>
        <v>20</v>
      </c>
      <c r="B211" s="33" t="s">
        <v>239</v>
      </c>
      <c r="C211" s="30">
        <f>SUMIF($R$6:$R$196,"SRSP",$C$6:$C$196)</f>
        <v>750</v>
      </c>
      <c r="D211" s="30">
        <f>SUMIF($R$6:$R$196,"SRSP",$D$6:$D$196)</f>
        <v>500</v>
      </c>
      <c r="E211" s="30">
        <f>SUMIF($R$6:$R$196,"SRSP",$E$6:$E$196)</f>
        <v>527</v>
      </c>
      <c r="F211" s="105">
        <f t="shared" si="41"/>
        <v>5.4</v>
      </c>
      <c r="G211" s="105">
        <f t="shared" si="37"/>
        <v>70.266666666666666</v>
      </c>
      <c r="H211" s="30">
        <f>SUMIF($R$6:$R$196,"SRSP",$H$6:$H$196)</f>
        <v>2916</v>
      </c>
      <c r="I211" s="30">
        <f>SUMIF($R$6:$R$196,"SRSP",$I$6:$I$196)</f>
        <v>2916</v>
      </c>
      <c r="J211" s="30">
        <f>SUMIF($R$6:$R$196,"SRSP",$J$6:$J$196)</f>
        <v>1516957.6916809606</v>
      </c>
      <c r="K211" s="30">
        <f>SUMIF($R$6:$R$196,"SRSP",$K$6:$K$196)</f>
        <v>603544</v>
      </c>
      <c r="L211" s="30">
        <f>SUMIF($R$6:$R$196,"SRSP",$L$6:$L$196)</f>
        <v>634109</v>
      </c>
      <c r="M211" s="105">
        <f t="shared" si="38"/>
        <v>5.0642538075103065</v>
      </c>
      <c r="N211" s="105">
        <f t="shared" si="39"/>
        <v>41.80136357641824</v>
      </c>
      <c r="O211" s="30">
        <f>SUMIF($R$6:$R$196,"SRSP",$O$6:$O$196)</f>
        <v>24277</v>
      </c>
      <c r="P211" s="30">
        <f>SUMIF($R$6:$R$196,"SRSP",$P$6:$P$196)</f>
        <v>26251</v>
      </c>
      <c r="Q211" s="105">
        <f t="shared" si="40"/>
        <v>8.1311529431148823</v>
      </c>
      <c r="R211" s="32" t="s">
        <v>9</v>
      </c>
      <c r="S211" s="1">
        <v>1</v>
      </c>
      <c r="T211" s="88"/>
    </row>
    <row r="212" spans="1:20" s="7" customFormat="1" ht="14.4" thickBot="1" x14ac:dyDescent="0.3">
      <c r="A212" s="37">
        <f>COUNTIF($R$6:$R$197,"TRDP")</f>
        <v>4</v>
      </c>
      <c r="B212" s="151" t="s">
        <v>240</v>
      </c>
      <c r="C212" s="40">
        <f>SUMIF($R$6:$R$196,"TRDP",$C$6:$C$196)</f>
        <v>151</v>
      </c>
      <c r="D212" s="40">
        <f>SUMIF($R$6:$R$196,"TRDP",$D$6:$D$196)</f>
        <v>113</v>
      </c>
      <c r="E212" s="40">
        <f>SUMIF($R$6:$R$196,"TRDP",$E$6:$E$196)</f>
        <v>113</v>
      </c>
      <c r="F212" s="140">
        <f t="shared" si="41"/>
        <v>0</v>
      </c>
      <c r="G212" s="140">
        <f t="shared" si="37"/>
        <v>74.83443708609272</v>
      </c>
      <c r="H212" s="40">
        <f>SUMIF($R$6:$R$196,"TRDP",$H$6:$H$196)</f>
        <v>561</v>
      </c>
      <c r="I212" s="40">
        <f>SUMIF($R$6:$R$196,"TRDP",$I$6:$I$196)</f>
        <v>561</v>
      </c>
      <c r="J212" s="40">
        <f>SUMIF($R$6:$R$196,"TRDP",$J$6:$J$196)</f>
        <v>519666</v>
      </c>
      <c r="K212" s="40">
        <f>SUMIF($R$6:$R$196,"TRDP",$K$6:$K$196)</f>
        <v>265794</v>
      </c>
      <c r="L212" s="40">
        <f>SUMIF($R$6:$R$196,"TRDP",$L$6:$L$196)</f>
        <v>266298</v>
      </c>
      <c r="M212" s="140">
        <f t="shared" si="38"/>
        <v>0.18962053319488023</v>
      </c>
      <c r="N212" s="140">
        <f t="shared" si="39"/>
        <v>51.244068305411552</v>
      </c>
      <c r="O212" s="40">
        <f>SUMIF($R$6:$R$196,"TRDP",$O$6:$O$196)</f>
        <v>16178</v>
      </c>
      <c r="P212" s="40">
        <f>SUMIF($R$6:$R$196,"TRDP",$P$6:$P$196)</f>
        <v>16205</v>
      </c>
      <c r="Q212" s="140">
        <f t="shared" si="40"/>
        <v>0.16689331190505624</v>
      </c>
      <c r="R212" s="42" t="s">
        <v>10</v>
      </c>
      <c r="S212" s="1">
        <v>1</v>
      </c>
    </row>
    <row r="213" spans="1:20" s="8" customFormat="1" ht="14.4" thickBot="1" x14ac:dyDescent="0.3">
      <c r="A213" s="159">
        <f>SUM(A203:A212)-24</f>
        <v>113</v>
      </c>
      <c r="B213" s="158" t="s">
        <v>171</v>
      </c>
      <c r="C213" s="150">
        <f>C225</f>
        <v>5565</v>
      </c>
      <c r="D213" s="150">
        <f>D225</f>
        <v>3606</v>
      </c>
      <c r="E213" s="150">
        <f>E225</f>
        <v>3639</v>
      </c>
      <c r="F213" s="160">
        <f t="shared" si="41"/>
        <v>0.91514143094841927</v>
      </c>
      <c r="G213" s="160">
        <f t="shared" si="37"/>
        <v>65.390835579514828</v>
      </c>
      <c r="H213" s="57">
        <f>SUM(H203:H212)</f>
        <v>27189.723316157528</v>
      </c>
      <c r="I213" s="57">
        <f>SUM(I203:I212)</f>
        <v>27195.723316157528</v>
      </c>
      <c r="J213" s="150">
        <f>J225</f>
        <v>12783932.528189642</v>
      </c>
      <c r="K213" s="57">
        <f>SUM(K203:K212)</f>
        <v>5190417</v>
      </c>
      <c r="L213" s="57">
        <f>SUM(L203:L212)</f>
        <v>5327469</v>
      </c>
      <c r="M213" s="160">
        <f t="shared" si="38"/>
        <v>2.6404814873255851</v>
      </c>
      <c r="N213" s="160">
        <f t="shared" si="39"/>
        <v>41.673162684897505</v>
      </c>
      <c r="O213" s="57">
        <f>SUM(O203:O212)</f>
        <v>313144</v>
      </c>
      <c r="P213" s="57">
        <f>SUM(P203:P212)</f>
        <v>321344</v>
      </c>
      <c r="Q213" s="160">
        <f t="shared" si="40"/>
        <v>2.6186035817387525</v>
      </c>
      <c r="R213" s="149"/>
      <c r="S213" s="1">
        <v>1</v>
      </c>
    </row>
    <row r="214" spans="1:20" s="8" customFormat="1" ht="26.25" customHeight="1" x14ac:dyDescent="0.25">
      <c r="A214" s="124" t="s">
        <v>252</v>
      </c>
      <c r="B214" s="49"/>
      <c r="C214" s="35"/>
      <c r="D214" s="35"/>
      <c r="E214" s="35"/>
      <c r="F214" s="109"/>
      <c r="G214" s="109"/>
      <c r="H214" s="109"/>
      <c r="I214" s="109"/>
      <c r="J214" s="35"/>
      <c r="K214" s="35"/>
      <c r="L214" s="35"/>
      <c r="M214" s="35"/>
      <c r="N214" s="35"/>
      <c r="O214" s="35"/>
      <c r="P214" s="35"/>
      <c r="Q214" s="35"/>
      <c r="R214" s="82"/>
      <c r="S214" s="1">
        <v>1</v>
      </c>
    </row>
    <row r="215" spans="1:20" ht="18" customHeight="1" thickBot="1" x14ac:dyDescent="0.35">
      <c r="A215" s="83" t="s">
        <v>214</v>
      </c>
      <c r="B215" s="14"/>
      <c r="C215" s="59"/>
      <c r="D215" s="28"/>
      <c r="E215" s="28"/>
      <c r="F215" s="106"/>
      <c r="G215" s="106"/>
      <c r="H215" s="106"/>
      <c r="I215" s="106"/>
      <c r="J215" s="59"/>
      <c r="K215" s="59"/>
      <c r="L215" s="59"/>
      <c r="M215" s="59"/>
      <c r="N215" s="59"/>
      <c r="O215" s="59"/>
      <c r="P215" s="59"/>
      <c r="Q215" s="59"/>
      <c r="R215" s="15"/>
      <c r="S215" s="1">
        <v>1</v>
      </c>
    </row>
    <row r="216" spans="1:20" ht="138" x14ac:dyDescent="0.25">
      <c r="A216" s="85" t="s">
        <v>244</v>
      </c>
      <c r="B216" s="98" t="s">
        <v>216</v>
      </c>
      <c r="C216" s="53"/>
      <c r="D216" s="102"/>
      <c r="E216" s="102"/>
      <c r="F216" s="110"/>
      <c r="G216" s="110"/>
      <c r="H216" s="110"/>
      <c r="I216" s="110"/>
      <c r="J216" s="53"/>
      <c r="K216" s="53"/>
      <c r="L216" s="53"/>
      <c r="M216" s="53"/>
      <c r="N216" s="53"/>
      <c r="O216" s="55"/>
      <c r="P216" s="55"/>
      <c r="Q216" s="55"/>
      <c r="R216" s="99" t="s">
        <v>245</v>
      </c>
      <c r="S216" s="1">
        <v>1</v>
      </c>
    </row>
    <row r="217" spans="1:20" x14ac:dyDescent="0.25">
      <c r="A217" s="23">
        <f>A7</f>
        <v>1</v>
      </c>
      <c r="B217" s="33" t="s">
        <v>227</v>
      </c>
      <c r="C217" s="25">
        <f>C7</f>
        <v>12</v>
      </c>
      <c r="D217" s="25">
        <f>D7</f>
        <v>12</v>
      </c>
      <c r="E217" s="25">
        <f>E7</f>
        <v>12</v>
      </c>
      <c r="F217" s="105">
        <f>(E217-D217)/D217%</f>
        <v>0</v>
      </c>
      <c r="G217" s="105">
        <f t="shared" ref="G217:G225" si="42">E217/C217%</f>
        <v>100</v>
      </c>
      <c r="H217" s="25">
        <f>H7</f>
        <v>722</v>
      </c>
      <c r="I217" s="25">
        <f>I7</f>
        <v>722</v>
      </c>
      <c r="J217" s="25">
        <f>J7</f>
        <v>43884</v>
      </c>
      <c r="K217" s="25">
        <f>K7</f>
        <v>21134</v>
      </c>
      <c r="L217" s="25">
        <f>L7</f>
        <v>25415</v>
      </c>
      <c r="M217" s="105">
        <f t="shared" ref="M217:M225" si="43">(L217-K217)/K217%</f>
        <v>20.256458786789061</v>
      </c>
      <c r="N217" s="105">
        <f t="shared" ref="N217:N225" si="44">L217/J217%</f>
        <v>57.914046121593294</v>
      </c>
      <c r="O217" s="25">
        <f>O7</f>
        <v>1317</v>
      </c>
      <c r="P217" s="25">
        <f>P7</f>
        <v>1535</v>
      </c>
      <c r="Q217" s="105">
        <f t="shared" ref="Q217:Q225" si="45">(P217-O217)/O217%</f>
        <v>16.552771450265755</v>
      </c>
      <c r="R217" s="81">
        <f>A7</f>
        <v>1</v>
      </c>
      <c r="S217" s="1">
        <v>1</v>
      </c>
    </row>
    <row r="218" spans="1:20" x14ac:dyDescent="0.25">
      <c r="A218" s="23">
        <f>A40</f>
        <v>19</v>
      </c>
      <c r="B218" s="33" t="s">
        <v>173</v>
      </c>
      <c r="C218" s="25">
        <f>C40</f>
        <v>547</v>
      </c>
      <c r="D218" s="25">
        <f>D40</f>
        <v>278</v>
      </c>
      <c r="E218" s="25">
        <f>E40</f>
        <v>279</v>
      </c>
      <c r="F218" s="105">
        <f t="shared" ref="F218:F225" si="46">(E218-D218)/D218%</f>
        <v>0.35971223021582738</v>
      </c>
      <c r="G218" s="105">
        <f t="shared" si="42"/>
        <v>51.005484460694703</v>
      </c>
      <c r="H218" s="25">
        <f>H40</f>
        <v>2358</v>
      </c>
      <c r="I218" s="25">
        <f>I40</f>
        <v>2362</v>
      </c>
      <c r="J218" s="25">
        <f>J40</f>
        <v>814191</v>
      </c>
      <c r="K218" s="25">
        <f>K40</f>
        <v>279782</v>
      </c>
      <c r="L218" s="25">
        <f>L40</f>
        <v>283522</v>
      </c>
      <c r="M218" s="105">
        <f t="shared" si="43"/>
        <v>1.3367550449993209</v>
      </c>
      <c r="N218" s="105">
        <f t="shared" si="44"/>
        <v>34.822541639492457</v>
      </c>
      <c r="O218" s="25">
        <f>O40</f>
        <v>15965</v>
      </c>
      <c r="P218" s="25">
        <f>P40</f>
        <v>16209</v>
      </c>
      <c r="Q218" s="105">
        <f t="shared" si="45"/>
        <v>1.5283432508612589</v>
      </c>
      <c r="R218" s="80">
        <f>A39</f>
        <v>30</v>
      </c>
      <c r="S218" s="1">
        <v>1</v>
      </c>
    </row>
    <row r="219" spans="1:20" x14ac:dyDescent="0.25">
      <c r="A219" s="23">
        <f>A76</f>
        <v>19</v>
      </c>
      <c r="B219" s="33" t="s">
        <v>228</v>
      </c>
      <c r="C219" s="25">
        <f>C76</f>
        <v>961</v>
      </c>
      <c r="D219" s="25">
        <f>D76</f>
        <v>576</v>
      </c>
      <c r="E219" s="25">
        <f>E76</f>
        <v>606</v>
      </c>
      <c r="F219" s="105">
        <f t="shared" si="46"/>
        <v>5.2083333333333339</v>
      </c>
      <c r="G219" s="105">
        <f t="shared" si="42"/>
        <v>63.059313215400628</v>
      </c>
      <c r="H219" s="25">
        <f>H76</f>
        <v>4309</v>
      </c>
      <c r="I219" s="25">
        <f>I76</f>
        <v>4311</v>
      </c>
      <c r="J219" s="25">
        <f>J76</f>
        <v>1889904</v>
      </c>
      <c r="K219" s="25">
        <f>K76</f>
        <v>773025</v>
      </c>
      <c r="L219" s="25">
        <f>L76</f>
        <v>809708</v>
      </c>
      <c r="M219" s="105">
        <f t="shared" si="43"/>
        <v>4.74538339639727</v>
      </c>
      <c r="N219" s="105">
        <f t="shared" si="44"/>
        <v>42.84386931822992</v>
      </c>
      <c r="O219" s="25">
        <f>O76</f>
        <v>35028</v>
      </c>
      <c r="P219" s="25">
        <f>P76</f>
        <v>37321</v>
      </c>
      <c r="Q219" s="105">
        <f t="shared" si="45"/>
        <v>6.5461916181340642</v>
      </c>
      <c r="R219" s="81">
        <f>A75</f>
        <v>24</v>
      </c>
      <c r="S219" s="1">
        <v>1</v>
      </c>
    </row>
    <row r="220" spans="1:20" x14ac:dyDescent="0.25">
      <c r="A220" s="23">
        <f>A102</f>
        <v>22</v>
      </c>
      <c r="B220" s="33" t="s">
        <v>174</v>
      </c>
      <c r="C220" s="25">
        <f>C102</f>
        <v>921</v>
      </c>
      <c r="D220" s="25">
        <f>D102</f>
        <v>688</v>
      </c>
      <c r="E220" s="25">
        <f>E102</f>
        <v>690</v>
      </c>
      <c r="F220" s="105">
        <f t="shared" si="46"/>
        <v>0.29069767441860467</v>
      </c>
      <c r="G220" s="105">
        <f t="shared" si="42"/>
        <v>74.918566775244287</v>
      </c>
      <c r="H220" s="25">
        <f>H102</f>
        <v>3942</v>
      </c>
      <c r="I220" s="25">
        <f>I102</f>
        <v>3942</v>
      </c>
      <c r="J220" s="25">
        <f>J102</f>
        <v>2816903.1255411254</v>
      </c>
      <c r="K220" s="25">
        <f>K102</f>
        <v>1136650</v>
      </c>
      <c r="L220" s="25">
        <f>L102</f>
        <v>1149234</v>
      </c>
      <c r="M220" s="105">
        <f t="shared" si="43"/>
        <v>1.1071130075221045</v>
      </c>
      <c r="N220" s="105">
        <f t="shared" si="44"/>
        <v>40.79778213101428</v>
      </c>
      <c r="O220" s="25">
        <f>O102</f>
        <v>70363</v>
      </c>
      <c r="P220" s="25">
        <f>P102</f>
        <v>71009</v>
      </c>
      <c r="Q220" s="105">
        <f t="shared" si="45"/>
        <v>0.91809615849238946</v>
      </c>
      <c r="R220" s="81">
        <f>A101</f>
        <v>23</v>
      </c>
      <c r="S220" s="1">
        <v>1</v>
      </c>
    </row>
    <row r="221" spans="1:20" x14ac:dyDescent="0.25">
      <c r="A221" s="23">
        <f>A152</f>
        <v>34</v>
      </c>
      <c r="B221" s="33" t="s">
        <v>175</v>
      </c>
      <c r="C221" s="25">
        <f>C152</f>
        <v>2635</v>
      </c>
      <c r="D221" s="25">
        <f>D152</f>
        <v>1773</v>
      </c>
      <c r="E221" s="25">
        <f>E152</f>
        <v>1773</v>
      </c>
      <c r="F221" s="105">
        <f t="shared" si="46"/>
        <v>0</v>
      </c>
      <c r="G221" s="105">
        <f t="shared" si="42"/>
        <v>67.286527514231494</v>
      </c>
      <c r="H221" s="25">
        <f>H152</f>
        <v>13636</v>
      </c>
      <c r="I221" s="25">
        <f>I152</f>
        <v>13636</v>
      </c>
      <c r="J221" s="25">
        <f>J152</f>
        <v>6367781.2431565104</v>
      </c>
      <c r="K221" s="25">
        <f>K152</f>
        <v>2635781</v>
      </c>
      <c r="L221" s="25">
        <f>L152</f>
        <v>2713590</v>
      </c>
      <c r="M221" s="105">
        <f t="shared" si="43"/>
        <v>2.9520282603144947</v>
      </c>
      <c r="N221" s="105">
        <f t="shared" si="44"/>
        <v>42.614372202504761</v>
      </c>
      <c r="O221" s="25">
        <f>O152</f>
        <v>173810</v>
      </c>
      <c r="P221" s="25">
        <f>P152</f>
        <v>178505</v>
      </c>
      <c r="Q221" s="105">
        <f t="shared" si="45"/>
        <v>2.701225476094586</v>
      </c>
      <c r="R221" s="81">
        <f>A151</f>
        <v>36</v>
      </c>
      <c r="S221" s="1">
        <v>1</v>
      </c>
    </row>
    <row r="222" spans="1:20" x14ac:dyDescent="0.25">
      <c r="A222" s="23">
        <f>A171</f>
        <v>10</v>
      </c>
      <c r="B222" s="33" t="s">
        <v>229</v>
      </c>
      <c r="C222" s="25">
        <f>C171</f>
        <v>196</v>
      </c>
      <c r="D222" s="25">
        <f>D171</f>
        <v>179</v>
      </c>
      <c r="E222" s="25">
        <f>E171</f>
        <v>179</v>
      </c>
      <c r="F222" s="105">
        <f t="shared" si="46"/>
        <v>0</v>
      </c>
      <c r="G222" s="105">
        <f t="shared" si="42"/>
        <v>91.326530612244895</v>
      </c>
      <c r="H222" s="25">
        <f>H171</f>
        <v>1772.7233161575266</v>
      </c>
      <c r="I222" s="25">
        <f>I171</f>
        <v>1772.7233161575266</v>
      </c>
      <c r="J222" s="25">
        <f>J171</f>
        <v>398969.65165781637</v>
      </c>
      <c r="K222" s="25">
        <f>K171</f>
        <v>261858</v>
      </c>
      <c r="L222" s="25">
        <f>L171</f>
        <v>267031</v>
      </c>
      <c r="M222" s="105">
        <f t="shared" si="43"/>
        <v>1.9754981707643073</v>
      </c>
      <c r="N222" s="105">
        <f t="shared" si="44"/>
        <v>66.930153431575803</v>
      </c>
      <c r="O222" s="25">
        <f>O171</f>
        <v>13120</v>
      </c>
      <c r="P222" s="25">
        <f>P171</f>
        <v>13356</v>
      </c>
      <c r="Q222" s="105">
        <f t="shared" si="45"/>
        <v>1.7987804878048783</v>
      </c>
      <c r="R222" s="81">
        <f>A170</f>
        <v>10</v>
      </c>
      <c r="S222" s="1">
        <v>1</v>
      </c>
    </row>
    <row r="223" spans="1:20" x14ac:dyDescent="0.25">
      <c r="A223" s="23">
        <f>A181</f>
        <v>6</v>
      </c>
      <c r="B223" s="33" t="s">
        <v>230</v>
      </c>
      <c r="C223" s="25">
        <f>C181</f>
        <v>103</v>
      </c>
      <c r="D223" s="25">
        <f>D181</f>
        <v>94</v>
      </c>
      <c r="E223" s="25">
        <f>E181</f>
        <v>94</v>
      </c>
      <c r="F223" s="105">
        <f t="shared" si="46"/>
        <v>0</v>
      </c>
      <c r="G223" s="105">
        <f t="shared" si="42"/>
        <v>91.262135922330089</v>
      </c>
      <c r="H223" s="25">
        <f>H181</f>
        <v>450</v>
      </c>
      <c r="I223" s="25">
        <f>I181</f>
        <v>450</v>
      </c>
      <c r="J223" s="25">
        <f>J181</f>
        <v>108649.83396348439</v>
      </c>
      <c r="K223" s="25">
        <f>K181</f>
        <v>75781</v>
      </c>
      <c r="L223" s="25">
        <f>L181</f>
        <v>75781</v>
      </c>
      <c r="M223" s="105">
        <f t="shared" si="43"/>
        <v>0</v>
      </c>
      <c r="N223" s="105">
        <f t="shared" si="44"/>
        <v>69.747920669136846</v>
      </c>
      <c r="O223" s="25">
        <f>O181</f>
        <v>3282</v>
      </c>
      <c r="P223" s="25">
        <f>P181</f>
        <v>3282</v>
      </c>
      <c r="Q223" s="105">
        <f t="shared" si="45"/>
        <v>0</v>
      </c>
      <c r="R223" s="81">
        <f>A180</f>
        <v>7</v>
      </c>
      <c r="S223" s="1">
        <v>1</v>
      </c>
    </row>
    <row r="224" spans="1:20" ht="14.4" thickBot="1" x14ac:dyDescent="0.3">
      <c r="A224" s="37">
        <f>A197</f>
        <v>2</v>
      </c>
      <c r="B224" s="151" t="s">
        <v>231</v>
      </c>
      <c r="C224" s="39">
        <f>C197</f>
        <v>190</v>
      </c>
      <c r="D224" s="39">
        <f>D197</f>
        <v>6</v>
      </c>
      <c r="E224" s="39">
        <f>E197</f>
        <v>6</v>
      </c>
      <c r="F224" s="140">
        <f t="shared" si="46"/>
        <v>0</v>
      </c>
      <c r="G224" s="140">
        <f t="shared" si="42"/>
        <v>3.1578947368421053</v>
      </c>
      <c r="H224" s="39">
        <f>H197</f>
        <v>0</v>
      </c>
      <c r="I224" s="39">
        <f>I197</f>
        <v>0</v>
      </c>
      <c r="J224" s="39">
        <f>J197</f>
        <v>343649.6738707067</v>
      </c>
      <c r="K224" s="39">
        <f>K197</f>
        <v>6406</v>
      </c>
      <c r="L224" s="39">
        <f>L197</f>
        <v>6406</v>
      </c>
      <c r="M224" s="140">
        <f t="shared" si="43"/>
        <v>0</v>
      </c>
      <c r="N224" s="140">
        <f t="shared" si="44"/>
        <v>1.8641076907904084</v>
      </c>
      <c r="O224" s="39">
        <f>O197</f>
        <v>259</v>
      </c>
      <c r="P224" s="39">
        <f>P197</f>
        <v>259</v>
      </c>
      <c r="Q224" s="140">
        <f t="shared" si="45"/>
        <v>0</v>
      </c>
      <c r="R224" s="90">
        <f>A196</f>
        <v>13</v>
      </c>
      <c r="S224" s="1">
        <v>1</v>
      </c>
    </row>
    <row r="225" spans="1:19" s="5" customFormat="1" ht="14.4" thickBot="1" x14ac:dyDescent="0.3">
      <c r="A225" s="159">
        <f>SUM(A217:A224)</f>
        <v>113</v>
      </c>
      <c r="B225" s="148" t="s">
        <v>218</v>
      </c>
      <c r="C225" s="57">
        <f>SUM(C217:C224)</f>
        <v>5565</v>
      </c>
      <c r="D225" s="57">
        <f>SUM(D217:D224)</f>
        <v>3606</v>
      </c>
      <c r="E225" s="57">
        <f>SUM(E217:E224)</f>
        <v>3639</v>
      </c>
      <c r="F225" s="160">
        <f t="shared" si="46"/>
        <v>0.91514143094841927</v>
      </c>
      <c r="G225" s="160">
        <f t="shared" si="42"/>
        <v>65.390835579514828</v>
      </c>
      <c r="H225" s="57">
        <f>SUM(H217:H224)</f>
        <v>27189.723316157528</v>
      </c>
      <c r="I225" s="57">
        <f>SUM(I217:I224)</f>
        <v>27195.723316157528</v>
      </c>
      <c r="J225" s="57">
        <f>SUM(J217:J224)</f>
        <v>12783932.528189642</v>
      </c>
      <c r="K225" s="57">
        <f>SUM(K217:K224)</f>
        <v>5190417</v>
      </c>
      <c r="L225" s="57">
        <f>SUM(L217:L224)</f>
        <v>5330687</v>
      </c>
      <c r="M225" s="160">
        <f t="shared" si="43"/>
        <v>2.7024803594778608</v>
      </c>
      <c r="N225" s="160">
        <f t="shared" si="44"/>
        <v>41.698334907864918</v>
      </c>
      <c r="O225" s="57">
        <f>SUM(O217:O224)</f>
        <v>313144</v>
      </c>
      <c r="P225" s="57">
        <f>SUM(P217:P224)</f>
        <v>321476</v>
      </c>
      <c r="Q225" s="160">
        <f t="shared" si="45"/>
        <v>2.6607567125667426</v>
      </c>
      <c r="R225" s="138">
        <f>SUM(R217:R224)</f>
        <v>144</v>
      </c>
      <c r="S225" s="1">
        <v>1</v>
      </c>
    </row>
    <row r="226" spans="1:19" x14ac:dyDescent="0.25"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</row>
    <row r="227" spans="1:19" x14ac:dyDescent="0.25">
      <c r="D227" s="9"/>
      <c r="E227" s="168"/>
      <c r="F227" s="9"/>
      <c r="G227" s="9"/>
      <c r="H227" s="9"/>
      <c r="I227" s="9"/>
      <c r="J227" s="4"/>
    </row>
    <row r="228" spans="1:19" x14ac:dyDescent="0.25">
      <c r="C228" s="9"/>
      <c r="D228" s="9"/>
      <c r="E228" s="9"/>
      <c r="F228" s="9"/>
      <c r="G228" s="9"/>
      <c r="H228" s="9"/>
      <c r="I228" s="9"/>
      <c r="J228" s="4"/>
    </row>
    <row r="229" spans="1:19" x14ac:dyDescent="0.25">
      <c r="B229" s="11"/>
      <c r="H229" s="3"/>
      <c r="I229" s="3"/>
    </row>
    <row r="230" spans="1:19" x14ac:dyDescent="0.25">
      <c r="H230" s="3"/>
      <c r="I230" s="3"/>
    </row>
    <row r="231" spans="1:19" x14ac:dyDescent="0.25">
      <c r="H231" s="3"/>
      <c r="I231" s="3"/>
    </row>
    <row r="232" spans="1:19" x14ac:dyDescent="0.25">
      <c r="H232" s="3"/>
      <c r="I232" s="3"/>
    </row>
    <row r="233" spans="1:19" x14ac:dyDescent="0.25">
      <c r="H233" s="3"/>
      <c r="I233" s="3"/>
    </row>
    <row r="234" spans="1:19" x14ac:dyDescent="0.25">
      <c r="H234" s="3"/>
      <c r="I234" s="3"/>
    </row>
    <row r="235" spans="1:19" x14ac:dyDescent="0.25">
      <c r="H235" s="3"/>
      <c r="I235" s="3"/>
    </row>
    <row r="236" spans="1:19" x14ac:dyDescent="0.25">
      <c r="H236" s="3"/>
      <c r="I236" s="3"/>
    </row>
    <row r="237" spans="1:19" x14ac:dyDescent="0.25">
      <c r="H237" s="3"/>
      <c r="I237" s="3"/>
    </row>
    <row r="238" spans="1:19" x14ac:dyDescent="0.25">
      <c r="H238" s="3"/>
      <c r="I238" s="3"/>
    </row>
    <row r="239" spans="1:19" x14ac:dyDescent="0.25">
      <c r="H239" s="3"/>
      <c r="I239" s="3"/>
    </row>
    <row r="240" spans="1:19" x14ac:dyDescent="0.25">
      <c r="H240" s="3"/>
      <c r="I240" s="3"/>
    </row>
    <row r="241" spans="8:13" x14ac:dyDescent="0.25">
      <c r="H241" s="3"/>
      <c r="I241" s="3"/>
    </row>
    <row r="242" spans="8:13" x14ac:dyDescent="0.25">
      <c r="H242" s="3"/>
      <c r="I242" s="3"/>
    </row>
    <row r="243" spans="8:13" x14ac:dyDescent="0.25">
      <c r="H243" s="3"/>
      <c r="I243" s="3"/>
    </row>
    <row r="244" spans="8:13" x14ac:dyDescent="0.25">
      <c r="H244" s="3"/>
      <c r="I244" s="3"/>
    </row>
    <row r="248" spans="8:13" x14ac:dyDescent="0.25">
      <c r="M248" s="28"/>
    </row>
    <row r="249" spans="8:13" x14ac:dyDescent="0.25">
      <c r="M249" s="28"/>
    </row>
    <row r="250" spans="8:13" x14ac:dyDescent="0.25">
      <c r="M250" s="28"/>
    </row>
    <row r="251" spans="8:13" x14ac:dyDescent="0.25">
      <c r="M251" s="28"/>
    </row>
    <row r="252" spans="8:13" x14ac:dyDescent="0.25">
      <c r="M252" s="28"/>
    </row>
    <row r="253" spans="8:13" x14ac:dyDescent="0.25">
      <c r="M253" s="28"/>
    </row>
    <row r="254" spans="8:13" x14ac:dyDescent="0.25">
      <c r="M254" s="28"/>
    </row>
    <row r="255" spans="8:13" x14ac:dyDescent="0.25">
      <c r="M255" s="28"/>
    </row>
    <row r="256" spans="8:13" x14ac:dyDescent="0.25">
      <c r="M256" s="28"/>
    </row>
  </sheetData>
  <mergeCells count="11">
    <mergeCell ref="D2:G2"/>
    <mergeCell ref="H2:H3"/>
    <mergeCell ref="I2:I3"/>
    <mergeCell ref="A1:R1"/>
    <mergeCell ref="A2:A3"/>
    <mergeCell ref="B2:B3"/>
    <mergeCell ref="R2:R3"/>
    <mergeCell ref="C2:C3"/>
    <mergeCell ref="J2:J3"/>
    <mergeCell ref="O2:Q2"/>
    <mergeCell ref="K2:N2"/>
  </mergeCells>
  <phoneticPr fontId="32" type="noConversion"/>
  <pageMargins left="1.1599999999999999" right="0.16" top="0.2" bottom="0.18" header="0.17" footer="0.16"/>
  <pageSetup paperSize="9" scale="46" orientation="landscape" r:id="rId1"/>
  <headerFooter alignWithMargins="0"/>
  <rowBreaks count="6" manualBreakCount="6">
    <brk id="40" max="16383" man="1"/>
    <brk id="77" max="16383" man="1"/>
    <brk id="102" max="16383" man="1"/>
    <brk id="152" max="16383" man="1"/>
    <brk id="181" max="16383" man="1"/>
    <brk id="199" max="16383" man="1"/>
  </rowBreaks>
  <colBreaks count="1" manualBreakCount="1">
    <brk id="1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R61"/>
  <sheetViews>
    <sheetView view="pageBreakPreview" zoomScaleSheetLayoutView="100" workbookViewId="0">
      <pane xSplit="2" ySplit="3" topLeftCell="C4" activePane="bottomRight" state="frozen"/>
      <selection activeCell="G51" sqref="G51"/>
      <selection pane="topRight" activeCell="G51" sqref="G51"/>
      <selection pane="bottomLeft" activeCell="G51" sqref="G51"/>
      <selection pane="bottomRight" activeCell="D8" sqref="D8"/>
    </sheetView>
  </sheetViews>
  <sheetFormatPr defaultColWidth="9.109375" defaultRowHeight="13.8" x14ac:dyDescent="0.3"/>
  <cols>
    <col min="1" max="1" width="30" style="75" customWidth="1"/>
    <col min="2" max="2" width="21.6640625" style="75" customWidth="1"/>
    <col min="3" max="3" width="9.6640625" style="75" bestFit="1" customWidth="1"/>
    <col min="4" max="4" width="10.6640625" style="61" bestFit="1" customWidth="1"/>
    <col min="5" max="5" width="10.6640625" style="174" bestFit="1" customWidth="1"/>
    <col min="6" max="6" width="12.6640625" style="61" customWidth="1"/>
    <col min="7" max="7" width="12.109375" style="61" bestFit="1" customWidth="1"/>
    <col min="8" max="8" width="14.6640625" style="61" customWidth="1"/>
    <col min="9" max="9" width="9.6640625" style="61" bestFit="1" customWidth="1"/>
    <col min="10" max="10" width="10.6640625" style="61" customWidth="1"/>
    <col min="11" max="11" width="12.109375" style="61" bestFit="1" customWidth="1"/>
    <col min="12" max="12" width="10.6640625" style="61" bestFit="1" customWidth="1"/>
    <col min="13" max="13" width="12.109375" style="61" bestFit="1" customWidth="1"/>
    <col min="14" max="14" width="10" style="61" bestFit="1" customWidth="1"/>
    <col min="15" max="15" width="13.109375" style="61" bestFit="1" customWidth="1"/>
    <col min="16" max="16" width="12.44140625" style="61" bestFit="1" customWidth="1"/>
    <col min="17" max="17" width="9.109375" style="61"/>
    <col min="18" max="18" width="12.88671875" style="61" customWidth="1"/>
    <col min="19" max="16384" width="9.109375" style="61"/>
  </cols>
  <sheetData>
    <row r="1" spans="1:18" ht="14.4" thickBot="1" x14ac:dyDescent="0.35">
      <c r="A1" s="125" t="s">
        <v>276</v>
      </c>
      <c r="B1" s="61"/>
      <c r="C1" s="61"/>
      <c r="D1" s="76"/>
      <c r="E1" s="176"/>
      <c r="F1" s="76"/>
      <c r="G1" s="60"/>
      <c r="H1" s="60"/>
      <c r="I1" s="76"/>
      <c r="J1" s="76"/>
      <c r="K1" s="76"/>
      <c r="L1" s="76"/>
      <c r="O1" s="61" t="s">
        <v>280</v>
      </c>
      <c r="P1" s="61">
        <v>99</v>
      </c>
      <c r="R1" s="61" t="s">
        <v>281</v>
      </c>
    </row>
    <row r="2" spans="1:18" s="77" customFormat="1" x14ac:dyDescent="0.25">
      <c r="A2" s="207" t="s">
        <v>0</v>
      </c>
      <c r="B2" s="208"/>
      <c r="C2" s="112" t="s">
        <v>1</v>
      </c>
      <c r="D2" s="112" t="s">
        <v>2</v>
      </c>
      <c r="E2" s="175" t="s">
        <v>3</v>
      </c>
      <c r="F2" s="175" t="s">
        <v>4</v>
      </c>
      <c r="G2" s="173" t="s">
        <v>5</v>
      </c>
      <c r="H2" s="112" t="s">
        <v>6</v>
      </c>
      <c r="I2" s="112" t="s">
        <v>7</v>
      </c>
      <c r="J2" s="112" t="s">
        <v>8</v>
      </c>
      <c r="K2" s="112" t="s">
        <v>9</v>
      </c>
      <c r="L2" s="112" t="s">
        <v>10</v>
      </c>
      <c r="M2" s="79" t="s">
        <v>17</v>
      </c>
    </row>
    <row r="3" spans="1:18" ht="9.75" customHeight="1" x14ac:dyDescent="0.3">
      <c r="A3" s="62"/>
      <c r="B3" s="63"/>
      <c r="C3" s="63"/>
      <c r="D3" s="103"/>
      <c r="E3" s="103"/>
      <c r="F3" s="103"/>
      <c r="G3" s="103"/>
      <c r="H3" s="103"/>
      <c r="I3" s="103"/>
      <c r="J3" s="103"/>
      <c r="K3" s="103"/>
      <c r="L3" s="103"/>
      <c r="M3" s="103"/>
    </row>
    <row r="4" spans="1:18" s="64" customFormat="1" x14ac:dyDescent="0.3">
      <c r="A4" s="209" t="s">
        <v>243</v>
      </c>
      <c r="B4" s="209"/>
      <c r="C4" s="78">
        <f>'1.RSP Districts '!A203</f>
        <v>8</v>
      </c>
      <c r="D4" s="78">
        <f>'1.RSP Districts '!A204</f>
        <v>7</v>
      </c>
      <c r="E4" s="171">
        <f>'1.RSP Districts '!A205</f>
        <v>14</v>
      </c>
      <c r="F4" s="171">
        <f>'1.RSP Districts '!A206</f>
        <v>3</v>
      </c>
      <c r="G4" s="78">
        <f>'1.RSP Districts '!A207</f>
        <v>50</v>
      </c>
      <c r="H4" s="78">
        <f>'1.RSP Districts '!A208</f>
        <v>21</v>
      </c>
      <c r="I4" s="78">
        <f>'1.RSP Districts '!A209</f>
        <v>1</v>
      </c>
      <c r="J4" s="78">
        <f>'1.RSP Districts '!A210</f>
        <v>9</v>
      </c>
      <c r="K4" s="78">
        <f>'1.RSP Districts '!A211</f>
        <v>20</v>
      </c>
      <c r="L4" s="78">
        <f>'1.RSP Districts '!A212</f>
        <v>4</v>
      </c>
      <c r="M4" s="78">
        <f>SUM(C4:L4)-24</f>
        <v>113</v>
      </c>
      <c r="N4" s="86"/>
      <c r="O4" s="69"/>
    </row>
    <row r="5" spans="1:18" s="64" customFormat="1" x14ac:dyDescent="0.3">
      <c r="A5" s="210" t="s">
        <v>11</v>
      </c>
      <c r="B5" s="209"/>
      <c r="C5" s="78">
        <f>'1.RSP Districts '!E203</f>
        <v>136</v>
      </c>
      <c r="D5" s="147">
        <f>'1.RSP Districts '!E204</f>
        <v>145</v>
      </c>
      <c r="E5" s="177">
        <f>'1.RSP Districts '!E205</f>
        <v>204</v>
      </c>
      <c r="F5" s="171">
        <f>'1.RSP Districts '!E206</f>
        <v>22</v>
      </c>
      <c r="G5" s="147">
        <f>'1.RSP Districts '!E207</f>
        <v>1971</v>
      </c>
      <c r="H5" s="137">
        <f>'1.RSP Districts '!E208</f>
        <v>703</v>
      </c>
      <c r="I5" s="147">
        <f>'1.RSP Districts '!E209</f>
        <v>13</v>
      </c>
      <c r="J5" s="147">
        <f>'1.RSP Districts '!E210</f>
        <v>338</v>
      </c>
      <c r="K5" s="147">
        <f>'1.RSP Districts '!E211</f>
        <v>527</v>
      </c>
      <c r="L5" s="147">
        <f>'1.RSP Districts '!E212</f>
        <v>113</v>
      </c>
      <c r="M5" s="78">
        <f>SUM(C5:L5)-534</f>
        <v>3638</v>
      </c>
      <c r="N5" s="86"/>
      <c r="O5" s="69"/>
    </row>
    <row r="6" spans="1:18" s="64" customFormat="1" x14ac:dyDescent="0.3">
      <c r="A6" s="210" t="s">
        <v>217</v>
      </c>
      <c r="B6" s="209"/>
      <c r="C6" s="78">
        <f>'1.RSP Districts '!L203</f>
        <v>102320</v>
      </c>
      <c r="D6" s="78">
        <f>'1.RSP Districts '!L204</f>
        <v>108969</v>
      </c>
      <c r="E6" s="171">
        <f>'1.RSP Districts '!L205</f>
        <v>187074</v>
      </c>
      <c r="F6" s="171">
        <f>'1.RSP Districts '!L206</f>
        <v>33579</v>
      </c>
      <c r="G6" s="78">
        <f>'1.RSP Districts '!L207</f>
        <v>2259826</v>
      </c>
      <c r="H6" s="78">
        <f>'1.RSP Districts '!L208</f>
        <v>1127134</v>
      </c>
      <c r="I6" s="78">
        <f>'1.RSP Districts '!L209</f>
        <v>16500</v>
      </c>
      <c r="J6" s="78">
        <f>'1.RSP Districts '!L210</f>
        <v>591660</v>
      </c>
      <c r="K6" s="78">
        <f>'1.RSP Districts '!L211</f>
        <v>634109</v>
      </c>
      <c r="L6" s="78">
        <f>'1.RSP Districts '!L212</f>
        <v>266298</v>
      </c>
      <c r="M6" s="78">
        <f>SUM(C6:L6)</f>
        <v>5327469</v>
      </c>
      <c r="N6" s="87">
        <f>M6/1000000</f>
        <v>5.3274689999999998</v>
      </c>
      <c r="O6" s="68">
        <f>N6*6.5</f>
        <v>34.628548500000001</v>
      </c>
      <c r="P6" s="64">
        <f>200+90+160+54</f>
        <v>504</v>
      </c>
    </row>
    <row r="7" spans="1:18" s="64" customFormat="1" x14ac:dyDescent="0.3">
      <c r="A7" s="210" t="s">
        <v>12</v>
      </c>
      <c r="B7" s="209"/>
      <c r="C7" s="78">
        <v>33</v>
      </c>
      <c r="D7" s="171">
        <v>59</v>
      </c>
      <c r="E7" s="171">
        <v>40</v>
      </c>
      <c r="F7" s="171">
        <v>8</v>
      </c>
      <c r="G7" s="78">
        <f>495-C7</f>
        <v>462</v>
      </c>
      <c r="H7" s="78">
        <v>29</v>
      </c>
      <c r="I7" s="64">
        <v>1</v>
      </c>
      <c r="J7" s="78">
        <v>90</v>
      </c>
      <c r="K7" s="78">
        <v>66</v>
      </c>
      <c r="L7" s="137">
        <v>17</v>
      </c>
      <c r="M7" s="78">
        <f>SUM(C7:L7)</f>
        <v>805</v>
      </c>
      <c r="N7" s="86"/>
      <c r="O7" s="69"/>
      <c r="P7" s="64">
        <f>266298-265794</f>
        <v>504</v>
      </c>
    </row>
    <row r="8" spans="1:18" s="64" customFormat="1" x14ac:dyDescent="0.3">
      <c r="A8" s="200" t="s">
        <v>13</v>
      </c>
      <c r="B8" s="114" t="s">
        <v>14</v>
      </c>
      <c r="C8" s="171">
        <v>1577</v>
      </c>
      <c r="D8" s="171">
        <v>2018</v>
      </c>
      <c r="E8" s="171">
        <v>3402</v>
      </c>
      <c r="F8" s="171">
        <v>1576</v>
      </c>
      <c r="G8" s="78">
        <v>70382</v>
      </c>
      <c r="H8" s="78">
        <v>27716</v>
      </c>
      <c r="I8" s="166">
        <v>410</v>
      </c>
      <c r="J8" s="78">
        <v>32862</v>
      </c>
      <c r="K8" s="78">
        <f>8860-80</f>
        <v>8780</v>
      </c>
      <c r="L8" s="137">
        <v>8536</v>
      </c>
      <c r="M8" s="78">
        <f>SUM(C8:L8)</f>
        <v>157259</v>
      </c>
      <c r="N8" s="87">
        <f>M8/M11%</f>
        <v>48.937898327026488</v>
      </c>
      <c r="O8" s="69"/>
      <c r="P8" s="64" t="s">
        <v>277</v>
      </c>
    </row>
    <row r="9" spans="1:18" s="64" customFormat="1" x14ac:dyDescent="0.3">
      <c r="A9" s="200"/>
      <c r="B9" s="115" t="s">
        <v>15</v>
      </c>
      <c r="C9" s="171">
        <v>2138</v>
      </c>
      <c r="D9" s="171">
        <v>2703</v>
      </c>
      <c r="E9" s="171">
        <v>7904</v>
      </c>
      <c r="F9" s="171">
        <v>1318</v>
      </c>
      <c r="G9" s="78">
        <v>70666</v>
      </c>
      <c r="H9" s="78">
        <v>39980</v>
      </c>
      <c r="I9" s="166">
        <v>450</v>
      </c>
      <c r="J9" s="78">
        <v>4159</v>
      </c>
      <c r="K9" s="78">
        <f>17523-52</f>
        <v>17471</v>
      </c>
      <c r="L9" s="137">
        <v>5698</v>
      </c>
      <c r="M9" s="78">
        <f>SUM(C9:L9)</f>
        <v>152487</v>
      </c>
      <c r="N9" s="86"/>
      <c r="O9" s="69"/>
      <c r="P9" s="64">
        <v>19</v>
      </c>
      <c r="Q9" s="64">
        <f>P9*18</f>
        <v>342</v>
      </c>
    </row>
    <row r="10" spans="1:18" s="64" customFormat="1" x14ac:dyDescent="0.3">
      <c r="A10" s="200"/>
      <c r="B10" s="115" t="s">
        <v>16</v>
      </c>
      <c r="C10" s="171">
        <v>1035</v>
      </c>
      <c r="D10" s="171">
        <v>0</v>
      </c>
      <c r="E10" s="171">
        <v>54</v>
      </c>
      <c r="F10" s="171">
        <v>0</v>
      </c>
      <c r="G10" s="78">
        <v>8498</v>
      </c>
      <c r="H10" s="78">
        <v>0</v>
      </c>
      <c r="I10" s="166">
        <v>0</v>
      </c>
      <c r="J10" s="78">
        <v>40</v>
      </c>
      <c r="K10" s="78"/>
      <c r="L10" s="137">
        <v>1971</v>
      </c>
      <c r="M10" s="78">
        <f>SUM(C10:L10)</f>
        <v>11598</v>
      </c>
      <c r="N10" s="86"/>
      <c r="O10" s="69"/>
      <c r="P10" s="64">
        <v>6</v>
      </c>
      <c r="Q10" s="64">
        <v>120</v>
      </c>
    </row>
    <row r="11" spans="1:18" s="64" customFormat="1" x14ac:dyDescent="0.3">
      <c r="A11" s="200"/>
      <c r="B11" s="116" t="s">
        <v>17</v>
      </c>
      <c r="C11" s="104">
        <f>SUM(C8:C10)</f>
        <v>4750</v>
      </c>
      <c r="D11" s="172">
        <f t="shared" ref="D11:L11" si="0">SUM(D8:D10)</f>
        <v>4721</v>
      </c>
      <c r="E11" s="172">
        <f t="shared" si="0"/>
        <v>11360</v>
      </c>
      <c r="F11" s="172">
        <f t="shared" si="0"/>
        <v>2894</v>
      </c>
      <c r="G11" s="172">
        <f t="shared" si="0"/>
        <v>149546</v>
      </c>
      <c r="H11" s="172">
        <f t="shared" si="0"/>
        <v>67696</v>
      </c>
      <c r="I11" s="172">
        <f t="shared" si="0"/>
        <v>860</v>
      </c>
      <c r="J11" s="172">
        <f t="shared" si="0"/>
        <v>37061</v>
      </c>
      <c r="K11" s="172">
        <f t="shared" si="0"/>
        <v>26251</v>
      </c>
      <c r="L11" s="172">
        <f t="shared" si="0"/>
        <v>16205</v>
      </c>
      <c r="M11" s="104">
        <f>SUM(M8:M10)</f>
        <v>321344</v>
      </c>
      <c r="N11" s="86"/>
      <c r="O11" s="69">
        <f>L11-16178</f>
        <v>27</v>
      </c>
      <c r="P11" s="64">
        <v>2</v>
      </c>
      <c r="Q11" s="64">
        <v>40</v>
      </c>
    </row>
    <row r="12" spans="1:18" s="64" customFormat="1" x14ac:dyDescent="0.3">
      <c r="A12" s="218" t="s">
        <v>18</v>
      </c>
      <c r="B12" s="114" t="s">
        <v>19</v>
      </c>
      <c r="C12" s="171">
        <v>44063</v>
      </c>
      <c r="D12" s="171">
        <v>68007</v>
      </c>
      <c r="E12" s="171">
        <v>56897</v>
      </c>
      <c r="F12" s="171">
        <v>26647</v>
      </c>
      <c r="G12" s="78">
        <v>1236737</v>
      </c>
      <c r="H12" s="78">
        <v>452179</v>
      </c>
      <c r="I12" s="166">
        <v>10845</v>
      </c>
      <c r="J12" s="78">
        <v>552998</v>
      </c>
      <c r="K12" s="78">
        <v>206509</v>
      </c>
      <c r="L12" s="137">
        <v>175773</v>
      </c>
      <c r="M12" s="78">
        <f>SUM(C12:L12)</f>
        <v>2830655</v>
      </c>
      <c r="N12" s="120">
        <f>M12/M14%</f>
        <v>51.665130456208878</v>
      </c>
      <c r="O12" s="69"/>
      <c r="Q12" s="64">
        <f>SUM(Q9:Q11)</f>
        <v>502</v>
      </c>
    </row>
    <row r="13" spans="1:18" s="64" customFormat="1" x14ac:dyDescent="0.3">
      <c r="A13" s="218"/>
      <c r="B13" s="115" t="s">
        <v>20</v>
      </c>
      <c r="C13" s="171">
        <v>58257</v>
      </c>
      <c r="D13" s="171">
        <v>108247</v>
      </c>
      <c r="E13" s="171">
        <v>130177</v>
      </c>
      <c r="F13" s="171">
        <v>24709</v>
      </c>
      <c r="G13" s="78">
        <v>1021852</v>
      </c>
      <c r="H13" s="78">
        <v>685173</v>
      </c>
      <c r="I13" s="166">
        <v>11348</v>
      </c>
      <c r="J13" s="78">
        <v>38662</v>
      </c>
      <c r="K13" s="78">
        <v>430818</v>
      </c>
      <c r="L13" s="137">
        <v>138952</v>
      </c>
      <c r="M13" s="78">
        <f>SUM(C13:L13)</f>
        <v>2648195</v>
      </c>
      <c r="N13" s="86"/>
      <c r="O13" s="69"/>
    </row>
    <row r="14" spans="1:18" s="64" customFormat="1" x14ac:dyDescent="0.3">
      <c r="A14" s="218"/>
      <c r="B14" s="117" t="s">
        <v>17</v>
      </c>
      <c r="C14" s="104">
        <f>SUM(C12:C13)</f>
        <v>102320</v>
      </c>
      <c r="D14" s="172">
        <f t="shared" ref="D14:L14" si="1">SUM(D12:D13)</f>
        <v>176254</v>
      </c>
      <c r="E14" s="172">
        <f t="shared" si="1"/>
        <v>187074</v>
      </c>
      <c r="F14" s="172">
        <f t="shared" si="1"/>
        <v>51356</v>
      </c>
      <c r="G14" s="172">
        <f t="shared" si="1"/>
        <v>2258589</v>
      </c>
      <c r="H14" s="172">
        <f t="shared" si="1"/>
        <v>1137352</v>
      </c>
      <c r="I14" s="172">
        <f t="shared" si="1"/>
        <v>22193</v>
      </c>
      <c r="J14" s="172">
        <f t="shared" si="1"/>
        <v>591660</v>
      </c>
      <c r="K14" s="172">
        <f t="shared" si="1"/>
        <v>637327</v>
      </c>
      <c r="L14" s="172">
        <f t="shared" si="1"/>
        <v>314725</v>
      </c>
      <c r="M14" s="104">
        <f t="shared" ref="M14" si="2">SUM(M12:M13)</f>
        <v>5478850</v>
      </c>
      <c r="N14" s="87">
        <f>M14/1000000</f>
        <v>5.4788500000000004</v>
      </c>
      <c r="O14" s="69">
        <f>L14-314221</f>
        <v>504</v>
      </c>
    </row>
    <row r="15" spans="1:18" s="68" customFormat="1" x14ac:dyDescent="0.3">
      <c r="A15" s="219" t="s">
        <v>246</v>
      </c>
      <c r="B15" s="118" t="s">
        <v>19</v>
      </c>
      <c r="C15" s="171">
        <v>24.064</v>
      </c>
      <c r="D15" s="171">
        <v>129.43899999999999</v>
      </c>
      <c r="E15" s="171">
        <v>5.35</v>
      </c>
      <c r="F15" s="171">
        <v>4.2</v>
      </c>
      <c r="G15" s="78">
        <v>235.11866624999999</v>
      </c>
      <c r="H15" s="78">
        <v>56.366999999999997</v>
      </c>
      <c r="I15" s="166">
        <v>0</v>
      </c>
      <c r="J15" s="78">
        <v>109</v>
      </c>
      <c r="K15" s="78">
        <v>38</v>
      </c>
      <c r="L15" s="167">
        <f>79.55+1.69</f>
        <v>81.239999999999995</v>
      </c>
      <c r="M15" s="78">
        <f>SUM(C15:L15)</f>
        <v>682.77866625000001</v>
      </c>
      <c r="N15" s="86"/>
      <c r="O15" s="69"/>
      <c r="P15" s="68">
        <v>742335</v>
      </c>
      <c r="R15" s="68">
        <f>M15/$P$1</f>
        <v>6.8967542045454548</v>
      </c>
    </row>
    <row r="16" spans="1:18" s="68" customFormat="1" x14ac:dyDescent="0.3">
      <c r="A16" s="219"/>
      <c r="B16" s="111" t="s">
        <v>20</v>
      </c>
      <c r="C16" s="171">
        <v>11.851000000000001</v>
      </c>
      <c r="D16" s="171">
        <v>371.08199999999994</v>
      </c>
      <c r="E16" s="171">
        <v>8.68</v>
      </c>
      <c r="F16" s="171">
        <v>5.0599999999999996</v>
      </c>
      <c r="G16" s="78">
        <v>1061.21665975</v>
      </c>
      <c r="H16" s="78">
        <v>63.838999999999999</v>
      </c>
      <c r="I16" s="166">
        <v>1</v>
      </c>
      <c r="J16" s="78">
        <v>7</v>
      </c>
      <c r="K16" s="78">
        <v>96</v>
      </c>
      <c r="L16" s="167">
        <f>118.74+0.74</f>
        <v>119.47999999999999</v>
      </c>
      <c r="M16" s="78">
        <f>SUM(C16:L16)</f>
        <v>1745.2086597499999</v>
      </c>
      <c r="N16" s="86"/>
      <c r="O16" s="69"/>
      <c r="P16" s="68">
        <f>P15/1000000</f>
        <v>0.74233499999999997</v>
      </c>
      <c r="R16" s="68">
        <f>M16/$P$1</f>
        <v>17.62837030050505</v>
      </c>
    </row>
    <row r="17" spans="1:18" s="68" customFormat="1" x14ac:dyDescent="0.3">
      <c r="A17" s="219"/>
      <c r="B17" s="117" t="s">
        <v>17</v>
      </c>
      <c r="C17" s="172">
        <f>SUM(C15:C16)</f>
        <v>35.914999999999999</v>
      </c>
      <c r="D17" s="172">
        <f t="shared" ref="D17:L17" si="3">SUM(D15:D16)</f>
        <v>500.52099999999996</v>
      </c>
      <c r="E17" s="172">
        <f t="shared" si="3"/>
        <v>14.03</v>
      </c>
      <c r="F17" s="172">
        <f t="shared" si="3"/>
        <v>9.26</v>
      </c>
      <c r="G17" s="172">
        <f t="shared" si="3"/>
        <v>1296.3353259999999</v>
      </c>
      <c r="H17" s="172">
        <f t="shared" si="3"/>
        <v>120.20599999999999</v>
      </c>
      <c r="I17" s="172">
        <f t="shared" si="3"/>
        <v>1</v>
      </c>
      <c r="J17" s="172">
        <f t="shared" si="3"/>
        <v>116</v>
      </c>
      <c r="K17" s="172">
        <f t="shared" si="3"/>
        <v>134</v>
      </c>
      <c r="L17" s="181">
        <f t="shared" si="3"/>
        <v>200.71999999999997</v>
      </c>
      <c r="M17" s="104">
        <f t="shared" ref="M17" si="4">SUM(M15:M16)</f>
        <v>2427.9873259999999</v>
      </c>
      <c r="N17" s="86"/>
      <c r="O17" s="69"/>
      <c r="R17" s="68">
        <f>M17/$P$1</f>
        <v>24.525124505050503</v>
      </c>
    </row>
    <row r="18" spans="1:18" s="64" customFormat="1" x14ac:dyDescent="0.3">
      <c r="A18" s="200" t="s">
        <v>21</v>
      </c>
      <c r="B18" s="114" t="s">
        <v>19</v>
      </c>
      <c r="C18" s="171">
        <v>10954</v>
      </c>
      <c r="D18" s="171">
        <v>58754</v>
      </c>
      <c r="E18" s="171">
        <v>46684</v>
      </c>
      <c r="F18" s="171">
        <v>11156</v>
      </c>
      <c r="G18" s="78">
        <v>1094293</v>
      </c>
      <c r="H18" s="78">
        <v>140360</v>
      </c>
      <c r="I18" s="166">
        <v>4830</v>
      </c>
      <c r="J18" s="78">
        <v>216024</v>
      </c>
      <c r="K18" s="78">
        <v>58911</v>
      </c>
      <c r="L18" s="137">
        <v>85697</v>
      </c>
      <c r="M18" s="78">
        <f>SUM(C18:L18)</f>
        <v>1727663</v>
      </c>
      <c r="N18" s="68">
        <f>M18/1000000</f>
        <v>1.7276629999999999</v>
      </c>
      <c r="O18" s="68">
        <f>M18/M20%</f>
        <v>52.245940094756577</v>
      </c>
      <c r="R18" s="68"/>
    </row>
    <row r="19" spans="1:18" s="64" customFormat="1" x14ac:dyDescent="0.3">
      <c r="A19" s="200"/>
      <c r="B19" s="115" t="s">
        <v>20</v>
      </c>
      <c r="C19" s="171">
        <v>6385</v>
      </c>
      <c r="D19" s="171">
        <v>27804</v>
      </c>
      <c r="E19" s="171">
        <v>107141</v>
      </c>
      <c r="F19" s="171">
        <v>3773</v>
      </c>
      <c r="G19" s="78">
        <v>923929</v>
      </c>
      <c r="H19" s="78">
        <v>322773</v>
      </c>
      <c r="I19" s="166">
        <v>4825</v>
      </c>
      <c r="J19" s="78">
        <v>9460</v>
      </c>
      <c r="K19" s="78">
        <v>85388</v>
      </c>
      <c r="L19" s="137">
        <v>87648</v>
      </c>
      <c r="M19" s="78">
        <f>SUM(C19:L19)</f>
        <v>1579126</v>
      </c>
      <c r="N19" s="86"/>
      <c r="O19" s="69"/>
      <c r="R19" s="68"/>
    </row>
    <row r="20" spans="1:18" s="64" customFormat="1" x14ac:dyDescent="0.3">
      <c r="A20" s="200"/>
      <c r="B20" s="116" t="s">
        <v>17</v>
      </c>
      <c r="C20" s="104">
        <f>SUM(C18:C19)</f>
        <v>17339</v>
      </c>
      <c r="D20" s="172">
        <f t="shared" ref="D20:L20" si="5">SUM(D18:D19)</f>
        <v>86558</v>
      </c>
      <c r="E20" s="172">
        <f t="shared" si="5"/>
        <v>153825</v>
      </c>
      <c r="F20" s="172">
        <f t="shared" si="5"/>
        <v>14929</v>
      </c>
      <c r="G20" s="172">
        <f t="shared" si="5"/>
        <v>2018222</v>
      </c>
      <c r="H20" s="172">
        <f t="shared" si="5"/>
        <v>463133</v>
      </c>
      <c r="I20" s="172">
        <f t="shared" si="5"/>
        <v>9655</v>
      </c>
      <c r="J20" s="172">
        <f t="shared" si="5"/>
        <v>225484</v>
      </c>
      <c r="K20" s="172">
        <f t="shared" si="5"/>
        <v>144299</v>
      </c>
      <c r="L20" s="172">
        <f t="shared" si="5"/>
        <v>173345</v>
      </c>
      <c r="M20" s="104">
        <f t="shared" ref="M20" si="6">SUM(M18:M19)</f>
        <v>3306789</v>
      </c>
      <c r="N20" s="68">
        <f>M20/1000000</f>
        <v>3.3067890000000002</v>
      </c>
      <c r="O20" s="69"/>
      <c r="R20" s="68"/>
    </row>
    <row r="21" spans="1:18" s="64" customFormat="1" x14ac:dyDescent="0.3">
      <c r="A21" s="196" t="s">
        <v>223</v>
      </c>
      <c r="B21" s="115" t="s">
        <v>220</v>
      </c>
      <c r="C21" s="171">
        <v>6</v>
      </c>
      <c r="D21" s="171">
        <v>12</v>
      </c>
      <c r="E21" s="171">
        <v>2</v>
      </c>
      <c r="F21" s="171">
        <v>2</v>
      </c>
      <c r="G21" s="78">
        <v>177</v>
      </c>
      <c r="H21" s="78">
        <v>2</v>
      </c>
      <c r="I21" s="166">
        <v>0</v>
      </c>
      <c r="J21" s="78">
        <v>17</v>
      </c>
      <c r="K21" s="78">
        <v>0</v>
      </c>
      <c r="L21" s="137">
        <v>8</v>
      </c>
      <c r="M21" s="78">
        <f t="shared" ref="M21:M26" si="7">SUM(C21:L21)</f>
        <v>226</v>
      </c>
      <c r="N21" s="86"/>
      <c r="O21" s="69"/>
      <c r="R21" s="68"/>
    </row>
    <row r="22" spans="1:18" s="64" customFormat="1" x14ac:dyDescent="0.3">
      <c r="A22" s="197"/>
      <c r="B22" s="115" t="s">
        <v>221</v>
      </c>
      <c r="C22" s="171">
        <v>0</v>
      </c>
      <c r="D22" s="171">
        <v>0</v>
      </c>
      <c r="E22" s="171">
        <v>0</v>
      </c>
      <c r="F22" s="171">
        <v>4</v>
      </c>
      <c r="G22" s="78">
        <v>65</v>
      </c>
      <c r="H22" s="78">
        <v>33</v>
      </c>
      <c r="I22" s="166">
        <v>0</v>
      </c>
      <c r="J22" s="78">
        <v>3528</v>
      </c>
      <c r="K22" s="78">
        <v>291</v>
      </c>
      <c r="L22" s="137">
        <v>1307</v>
      </c>
      <c r="M22" s="78">
        <f t="shared" si="7"/>
        <v>5228</v>
      </c>
      <c r="N22" s="86"/>
      <c r="O22" s="69"/>
      <c r="R22" s="68"/>
    </row>
    <row r="23" spans="1:18" s="64" customFormat="1" x14ac:dyDescent="0.3">
      <c r="A23" s="197"/>
      <c r="B23" s="115" t="s">
        <v>222</v>
      </c>
      <c r="C23" s="171">
        <v>1094</v>
      </c>
      <c r="D23" s="171">
        <v>2055</v>
      </c>
      <c r="E23" s="171">
        <v>20</v>
      </c>
      <c r="F23" s="171">
        <v>36</v>
      </c>
      <c r="G23" s="78">
        <v>16956</v>
      </c>
      <c r="H23" s="78">
        <v>2415</v>
      </c>
      <c r="I23" s="166">
        <v>0</v>
      </c>
      <c r="J23" s="78">
        <v>94183</v>
      </c>
      <c r="K23" s="78">
        <v>24191</v>
      </c>
      <c r="L23" s="137">
        <v>17101</v>
      </c>
      <c r="M23" s="78">
        <f t="shared" si="7"/>
        <v>158051</v>
      </c>
      <c r="N23" s="86"/>
      <c r="O23" s="69"/>
      <c r="R23" s="68"/>
    </row>
    <row r="24" spans="1:18" s="64" customFormat="1" ht="27.6" x14ac:dyDescent="0.3">
      <c r="A24" s="198"/>
      <c r="B24" s="115" t="s">
        <v>224</v>
      </c>
      <c r="C24" s="171">
        <v>16</v>
      </c>
      <c r="D24" s="171">
        <v>16.106083000000002</v>
      </c>
      <c r="E24" s="171">
        <v>1</v>
      </c>
      <c r="F24" s="171">
        <v>1.1200000000000001</v>
      </c>
      <c r="G24" s="78">
        <v>204.96</v>
      </c>
      <c r="H24" s="78">
        <v>26.8</v>
      </c>
      <c r="I24" s="166">
        <v>0</v>
      </c>
      <c r="J24" s="78">
        <v>938</v>
      </c>
      <c r="K24" s="78">
        <v>278.86</v>
      </c>
      <c r="L24" s="137">
        <v>227.66800000000001</v>
      </c>
      <c r="M24" s="113">
        <f t="shared" si="7"/>
        <v>1710.514083</v>
      </c>
      <c r="N24" s="87">
        <f>M24/90</f>
        <v>19.005712033333335</v>
      </c>
      <c r="O24" s="121">
        <f>M24/85</f>
        <v>20.123695094117647</v>
      </c>
      <c r="R24" s="68">
        <f>M24/$P$1</f>
        <v>17.277920030303029</v>
      </c>
    </row>
    <row r="25" spans="1:18" s="68" customFormat="1" x14ac:dyDescent="0.3">
      <c r="A25" s="199" t="s">
        <v>22</v>
      </c>
      <c r="B25" s="118" t="s">
        <v>19</v>
      </c>
      <c r="C25" s="171">
        <v>79.263000000000005</v>
      </c>
      <c r="D25" s="171">
        <v>195</v>
      </c>
      <c r="E25" s="171">
        <v>9</v>
      </c>
      <c r="F25" s="171">
        <v>297</v>
      </c>
      <c r="G25" s="78">
        <v>27239.894909999999</v>
      </c>
      <c r="H25" s="78">
        <v>3858.2</v>
      </c>
      <c r="I25" s="166">
        <v>0</v>
      </c>
      <c r="J25" s="78">
        <v>2784</v>
      </c>
      <c r="K25" s="78">
        <v>329.03</v>
      </c>
      <c r="L25" s="137">
        <f>2317.781+147.177</f>
        <v>2464.9580000000001</v>
      </c>
      <c r="M25" s="78">
        <f t="shared" si="7"/>
        <v>37256.345909999996</v>
      </c>
      <c r="N25" s="120">
        <f>M25/1000</f>
        <v>37.256345909999993</v>
      </c>
      <c r="O25" s="121">
        <f>M25/85</f>
        <v>438.30995188235289</v>
      </c>
      <c r="R25" s="68">
        <f t="shared" ref="R25:R27" si="8">M25/$P$1</f>
        <v>376.32672636363634</v>
      </c>
    </row>
    <row r="26" spans="1:18" s="68" customFormat="1" x14ac:dyDescent="0.3">
      <c r="A26" s="199"/>
      <c r="B26" s="111" t="s">
        <v>20</v>
      </c>
      <c r="C26" s="171">
        <v>58.572000000000003</v>
      </c>
      <c r="D26" s="171">
        <v>833</v>
      </c>
      <c r="E26" s="171">
        <v>16</v>
      </c>
      <c r="F26" s="171">
        <v>78.099999999999994</v>
      </c>
      <c r="G26" s="78">
        <v>41470.305002000001</v>
      </c>
      <c r="H26" s="78">
        <v>5585.2199999999993</v>
      </c>
      <c r="I26" s="166">
        <v>0</v>
      </c>
      <c r="J26" s="78">
        <v>616</v>
      </c>
      <c r="K26" s="78">
        <v>301.64</v>
      </c>
      <c r="L26" s="137">
        <f>2355.822+101.86</f>
        <v>2457.6820000000002</v>
      </c>
      <c r="M26" s="78">
        <f t="shared" si="7"/>
        <v>51416.519002000001</v>
      </c>
      <c r="N26" s="86"/>
      <c r="O26" s="121"/>
      <c r="R26" s="68">
        <f t="shared" si="8"/>
        <v>519.35877779797977</v>
      </c>
    </row>
    <row r="27" spans="1:18" s="68" customFormat="1" x14ac:dyDescent="0.3">
      <c r="A27" s="199"/>
      <c r="B27" s="119" t="s">
        <v>17</v>
      </c>
      <c r="C27" s="104">
        <f>SUM(C25:C26)</f>
        <v>137.83500000000001</v>
      </c>
      <c r="D27" s="172">
        <f t="shared" ref="D27:L27" si="9">SUM(D25:D26)</f>
        <v>1028</v>
      </c>
      <c r="E27" s="172">
        <f t="shared" si="9"/>
        <v>25</v>
      </c>
      <c r="F27" s="172">
        <f t="shared" si="9"/>
        <v>375.1</v>
      </c>
      <c r="G27" s="172">
        <f t="shared" si="9"/>
        <v>68710.199911999996</v>
      </c>
      <c r="H27" s="172">
        <f t="shared" si="9"/>
        <v>9443.4199999999983</v>
      </c>
      <c r="I27" s="172">
        <f t="shared" si="9"/>
        <v>0</v>
      </c>
      <c r="J27" s="172">
        <f t="shared" si="9"/>
        <v>3400</v>
      </c>
      <c r="K27" s="172">
        <f t="shared" si="9"/>
        <v>630.66999999999996</v>
      </c>
      <c r="L27" s="172">
        <f t="shared" si="9"/>
        <v>4922.6400000000003</v>
      </c>
      <c r="M27" s="104">
        <f t="shared" ref="M27" si="10">SUM(M25:M26)</f>
        <v>88672.86491199999</v>
      </c>
      <c r="N27" s="120">
        <f>M27/1000</f>
        <v>88.672864911999994</v>
      </c>
      <c r="O27" s="121">
        <f>M27/85</f>
        <v>1043.2101754352941</v>
      </c>
      <c r="R27" s="68">
        <f t="shared" si="8"/>
        <v>895.68550416161611</v>
      </c>
    </row>
    <row r="28" spans="1:18" s="64" customFormat="1" x14ac:dyDescent="0.3">
      <c r="A28" s="200" t="s">
        <v>23</v>
      </c>
      <c r="B28" s="114" t="s">
        <v>19</v>
      </c>
      <c r="C28" s="171">
        <v>4764</v>
      </c>
      <c r="D28" s="171">
        <v>74813.440000000002</v>
      </c>
      <c r="E28" s="171">
        <v>1156</v>
      </c>
      <c r="F28" s="171">
        <v>19956</v>
      </c>
      <c r="G28" s="78">
        <v>1874065</v>
      </c>
      <c r="H28" s="78">
        <v>284870</v>
      </c>
      <c r="I28" s="166">
        <v>0</v>
      </c>
      <c r="J28" s="78">
        <v>178199</v>
      </c>
      <c r="K28" s="78">
        <v>29840</v>
      </c>
      <c r="L28" s="137">
        <v>191478</v>
      </c>
      <c r="M28" s="78">
        <f>SUM(C28:L28)</f>
        <v>2659141.44</v>
      </c>
      <c r="N28" s="120">
        <f>M28/1000000</f>
        <v>2.65914144</v>
      </c>
      <c r="O28" s="69"/>
      <c r="R28" s="68"/>
    </row>
    <row r="29" spans="1:18" s="64" customFormat="1" x14ac:dyDescent="0.3">
      <c r="A29" s="200"/>
      <c r="B29" s="115" t="s">
        <v>20</v>
      </c>
      <c r="C29" s="171">
        <v>3217</v>
      </c>
      <c r="D29" s="171">
        <v>546310.56000000006</v>
      </c>
      <c r="E29" s="171">
        <v>1600</v>
      </c>
      <c r="F29" s="171">
        <v>5531</v>
      </c>
      <c r="G29" s="78">
        <v>2457653</v>
      </c>
      <c r="H29" s="78">
        <v>405739</v>
      </c>
      <c r="I29" s="166">
        <v>0</v>
      </c>
      <c r="J29" s="78">
        <v>42982</v>
      </c>
      <c r="K29" s="78">
        <v>28508</v>
      </c>
      <c r="L29" s="137">
        <v>148619</v>
      </c>
      <c r="M29" s="78">
        <f>SUM(C29:L29)</f>
        <v>3640159.56</v>
      </c>
      <c r="N29" s="120"/>
      <c r="O29" s="69"/>
      <c r="R29" s="68"/>
    </row>
    <row r="30" spans="1:18" s="64" customFormat="1" x14ac:dyDescent="0.3">
      <c r="A30" s="200"/>
      <c r="B30" s="116" t="s">
        <v>17</v>
      </c>
      <c r="C30" s="104">
        <f>SUM(C28:C29)</f>
        <v>7981</v>
      </c>
      <c r="D30" s="172">
        <f t="shared" ref="D30:L30" si="11">SUM(D28:D29)</f>
        <v>621124</v>
      </c>
      <c r="E30" s="172">
        <f t="shared" si="11"/>
        <v>2756</v>
      </c>
      <c r="F30" s="172">
        <f t="shared" si="11"/>
        <v>25487</v>
      </c>
      <c r="G30" s="172">
        <f t="shared" si="11"/>
        <v>4331718</v>
      </c>
      <c r="H30" s="172">
        <f t="shared" si="11"/>
        <v>690609</v>
      </c>
      <c r="I30" s="172">
        <f t="shared" si="11"/>
        <v>0</v>
      </c>
      <c r="J30" s="172">
        <f t="shared" si="11"/>
        <v>221181</v>
      </c>
      <c r="K30" s="172">
        <f t="shared" si="11"/>
        <v>58348</v>
      </c>
      <c r="L30" s="172">
        <f t="shared" si="11"/>
        <v>340097</v>
      </c>
      <c r="M30" s="104">
        <f t="shared" ref="M30" si="12">SUM(M28:M29)</f>
        <v>6299301</v>
      </c>
      <c r="N30" s="120">
        <f>M30/1000000</f>
        <v>6.2993009999999998</v>
      </c>
      <c r="O30" s="69"/>
      <c r="R30" s="68"/>
    </row>
    <row r="31" spans="1:18" s="69" customFormat="1" x14ac:dyDescent="0.3">
      <c r="A31" s="199" t="s">
        <v>225</v>
      </c>
      <c r="B31" s="114" t="s">
        <v>19</v>
      </c>
      <c r="C31" s="171">
        <v>0</v>
      </c>
      <c r="D31" s="171">
        <v>74813.440000000002</v>
      </c>
      <c r="E31" s="171">
        <v>0</v>
      </c>
      <c r="F31" s="171">
        <v>16667</v>
      </c>
      <c r="G31" s="78">
        <v>673170</v>
      </c>
      <c r="H31" s="78">
        <v>0</v>
      </c>
      <c r="I31" s="166">
        <v>0</v>
      </c>
      <c r="J31" s="78">
        <v>174410</v>
      </c>
      <c r="K31" s="78">
        <v>5834</v>
      </c>
      <c r="L31" s="137">
        <v>84618</v>
      </c>
      <c r="M31" s="78">
        <f>SUM(C31:L31)</f>
        <v>1029512.44</v>
      </c>
      <c r="R31" s="68"/>
    </row>
    <row r="32" spans="1:18" s="69" customFormat="1" x14ac:dyDescent="0.3">
      <c r="A32" s="199"/>
      <c r="B32" s="115" t="s">
        <v>20</v>
      </c>
      <c r="C32" s="171">
        <v>0</v>
      </c>
      <c r="D32" s="171">
        <v>546310.56000000006</v>
      </c>
      <c r="E32" s="171">
        <v>0</v>
      </c>
      <c r="F32" s="171">
        <v>6521</v>
      </c>
      <c r="G32" s="78">
        <v>1866849</v>
      </c>
      <c r="H32" s="78">
        <v>0</v>
      </c>
      <c r="I32" s="166">
        <v>0</v>
      </c>
      <c r="J32" s="78">
        <v>40601</v>
      </c>
      <c r="K32" s="78">
        <v>21566</v>
      </c>
      <c r="L32" s="137">
        <v>71833</v>
      </c>
      <c r="M32" s="78">
        <f>SUM(C32:L32)</f>
        <v>2553680.56</v>
      </c>
      <c r="R32" s="68"/>
    </row>
    <row r="33" spans="1:18" s="69" customFormat="1" x14ac:dyDescent="0.3">
      <c r="A33" s="199"/>
      <c r="B33" s="116" t="s">
        <v>17</v>
      </c>
      <c r="C33" s="104">
        <f>SUM(C31:C32)</f>
        <v>0</v>
      </c>
      <c r="D33" s="172">
        <f t="shared" ref="D33:L33" si="13">SUM(D31:D32)</f>
        <v>621124</v>
      </c>
      <c r="E33" s="172">
        <f t="shared" si="13"/>
        <v>0</v>
      </c>
      <c r="F33" s="172">
        <f t="shared" si="13"/>
        <v>23188</v>
      </c>
      <c r="G33" s="172">
        <f t="shared" si="13"/>
        <v>2540019</v>
      </c>
      <c r="H33" s="172">
        <f t="shared" si="13"/>
        <v>0</v>
      </c>
      <c r="I33" s="172">
        <f t="shared" si="13"/>
        <v>0</v>
      </c>
      <c r="J33" s="172">
        <f t="shared" si="13"/>
        <v>215011</v>
      </c>
      <c r="K33" s="172">
        <f t="shared" si="13"/>
        <v>27400</v>
      </c>
      <c r="L33" s="172">
        <f t="shared" si="13"/>
        <v>156451</v>
      </c>
      <c r="M33" s="104">
        <f t="shared" ref="M33" si="14">SUM(M31:M32)</f>
        <v>3583193</v>
      </c>
      <c r="N33" s="68">
        <f>M33/1000000</f>
        <v>3.5831930000000001</v>
      </c>
      <c r="R33" s="68"/>
    </row>
    <row r="34" spans="1:18" s="64" customFormat="1" ht="13.2" customHeight="1" x14ac:dyDescent="0.3">
      <c r="A34" s="202" t="s">
        <v>265</v>
      </c>
      <c r="B34" s="115" t="s">
        <v>19</v>
      </c>
      <c r="C34" s="171">
        <v>0</v>
      </c>
      <c r="D34" s="171">
        <v>74813.440000000002</v>
      </c>
      <c r="E34" s="171">
        <v>0</v>
      </c>
      <c r="F34" s="171">
        <v>16667</v>
      </c>
      <c r="G34" s="78">
        <v>1539313</v>
      </c>
      <c r="H34" s="78">
        <v>0</v>
      </c>
      <c r="I34" s="166">
        <v>0</v>
      </c>
      <c r="J34" s="78">
        <v>358136</v>
      </c>
      <c r="K34" s="78">
        <v>5834</v>
      </c>
      <c r="L34" s="137">
        <f>94414+400</f>
        <v>94814</v>
      </c>
      <c r="M34" s="78">
        <f>SUM(C34:L34)</f>
        <v>2089577.44</v>
      </c>
      <c r="N34" s="68">
        <f>M34/1000000</f>
        <v>2.0895774399999998</v>
      </c>
      <c r="O34" s="69"/>
      <c r="R34" s="68"/>
    </row>
    <row r="35" spans="1:18" s="64" customFormat="1" x14ac:dyDescent="0.3">
      <c r="A35" s="202"/>
      <c r="B35" s="115" t="s">
        <v>20</v>
      </c>
      <c r="C35" s="171">
        <v>0</v>
      </c>
      <c r="D35" s="171">
        <v>546310.56000000006</v>
      </c>
      <c r="E35" s="171">
        <v>0</v>
      </c>
      <c r="F35" s="171">
        <v>6521</v>
      </c>
      <c r="G35" s="78">
        <v>2581112</v>
      </c>
      <c r="H35" s="78">
        <v>0</v>
      </c>
      <c r="I35" s="166">
        <v>0</v>
      </c>
      <c r="J35" s="78">
        <v>257340</v>
      </c>
      <c r="K35" s="78">
        <v>21566</v>
      </c>
      <c r="L35" s="137">
        <f>78398+200</f>
        <v>78598</v>
      </c>
      <c r="M35" s="78">
        <f>SUM(C35:L35)</f>
        <v>3491447.56</v>
      </c>
      <c r="N35" s="86"/>
      <c r="O35" s="69"/>
      <c r="R35" s="68"/>
    </row>
    <row r="36" spans="1:18" s="64" customFormat="1" x14ac:dyDescent="0.3">
      <c r="A36" s="202"/>
      <c r="B36" s="116" t="s">
        <v>17</v>
      </c>
      <c r="C36" s="104">
        <f>SUM(C34:C35)</f>
        <v>0</v>
      </c>
      <c r="D36" s="172">
        <f t="shared" ref="D36:L36" si="15">SUM(D34:D35)</f>
        <v>621124</v>
      </c>
      <c r="E36" s="172">
        <f t="shared" si="15"/>
        <v>0</v>
      </c>
      <c r="F36" s="172">
        <f t="shared" si="15"/>
        <v>23188</v>
      </c>
      <c r="G36" s="172">
        <f t="shared" si="15"/>
        <v>4120425</v>
      </c>
      <c r="H36" s="172">
        <f t="shared" si="15"/>
        <v>0</v>
      </c>
      <c r="I36" s="172">
        <f t="shared" si="15"/>
        <v>0</v>
      </c>
      <c r="J36" s="172">
        <f t="shared" si="15"/>
        <v>615476</v>
      </c>
      <c r="K36" s="172">
        <f t="shared" si="15"/>
        <v>27400</v>
      </c>
      <c r="L36" s="172">
        <f t="shared" si="15"/>
        <v>173412</v>
      </c>
      <c r="M36" s="104">
        <f t="shared" ref="M36" si="16">SUM(M34:M35)</f>
        <v>5581025</v>
      </c>
      <c r="N36" s="68">
        <f>M36/1000000</f>
        <v>5.5810250000000003</v>
      </c>
      <c r="O36" s="69"/>
      <c r="R36" s="68"/>
    </row>
    <row r="37" spans="1:18" s="70" customFormat="1" x14ac:dyDescent="0.3">
      <c r="A37" s="216" t="s">
        <v>24</v>
      </c>
      <c r="B37" s="217"/>
      <c r="C37" s="171">
        <v>1637</v>
      </c>
      <c r="D37" s="171">
        <v>3576</v>
      </c>
      <c r="E37" s="171">
        <v>1294</v>
      </c>
      <c r="F37" s="171">
        <v>531</v>
      </c>
      <c r="G37" s="78">
        <v>27649</v>
      </c>
      <c r="H37" s="78">
        <v>6433</v>
      </c>
      <c r="I37" s="166">
        <v>16</v>
      </c>
      <c r="J37" s="78">
        <v>39555</v>
      </c>
      <c r="K37" s="78">
        <v>7772</v>
      </c>
      <c r="L37" s="137">
        <f>56305+535</f>
        <v>56840</v>
      </c>
      <c r="M37" s="78">
        <f t="shared" ref="M37:M45" si="17">SUM(C37:L37)</f>
        <v>145303</v>
      </c>
      <c r="N37" s="86"/>
      <c r="O37" s="69"/>
      <c r="R37" s="68"/>
    </row>
    <row r="38" spans="1:18" s="70" customFormat="1" x14ac:dyDescent="0.3">
      <c r="A38" s="216" t="s">
        <v>25</v>
      </c>
      <c r="B38" s="217"/>
      <c r="C38" s="171">
        <v>1637</v>
      </c>
      <c r="D38" s="171">
        <v>3576</v>
      </c>
      <c r="E38" s="171">
        <v>1026</v>
      </c>
      <c r="F38" s="171">
        <v>514</v>
      </c>
      <c r="G38" s="78">
        <v>26348</v>
      </c>
      <c r="H38" s="78">
        <v>6433</v>
      </c>
      <c r="I38" s="166">
        <v>16</v>
      </c>
      <c r="J38" s="78">
        <v>39555</v>
      </c>
      <c r="K38" s="78">
        <v>7258</v>
      </c>
      <c r="L38" s="137">
        <f>56025+476</f>
        <v>56501</v>
      </c>
      <c r="M38" s="78">
        <f t="shared" si="17"/>
        <v>142864</v>
      </c>
      <c r="N38" s="86"/>
      <c r="O38" s="69"/>
      <c r="R38" s="68"/>
    </row>
    <row r="39" spans="1:18" s="71" customFormat="1" x14ac:dyDescent="0.3">
      <c r="A39" s="216" t="s">
        <v>26</v>
      </c>
      <c r="B39" s="217"/>
      <c r="C39" s="171">
        <v>100347</v>
      </c>
      <c r="D39" s="171">
        <v>284440</v>
      </c>
      <c r="E39" s="171">
        <v>71491</v>
      </c>
      <c r="F39" s="171">
        <v>20861</v>
      </c>
      <c r="G39" s="78">
        <v>1167743</v>
      </c>
      <c r="H39" s="78">
        <v>674798</v>
      </c>
      <c r="I39" s="166">
        <v>6500</v>
      </c>
      <c r="J39" s="78">
        <v>227005</v>
      </c>
      <c r="K39" s="78">
        <v>1514886</v>
      </c>
      <c r="L39" s="137">
        <f>367190+8025</f>
        <v>375215</v>
      </c>
      <c r="M39" s="78">
        <f t="shared" si="17"/>
        <v>4443286</v>
      </c>
      <c r="N39" s="68">
        <f>M39/1000000</f>
        <v>4.4432859999999996</v>
      </c>
      <c r="O39" s="69">
        <f>476*15</f>
        <v>7140</v>
      </c>
      <c r="R39" s="68"/>
    </row>
    <row r="40" spans="1:18" s="71" customFormat="1" x14ac:dyDescent="0.3">
      <c r="A40" s="212" t="s">
        <v>261</v>
      </c>
      <c r="B40" s="213"/>
      <c r="C40" s="171">
        <v>100347</v>
      </c>
      <c r="D40" s="171">
        <v>284440</v>
      </c>
      <c r="E40" s="171">
        <v>58617</v>
      </c>
      <c r="F40" s="171">
        <v>20402</v>
      </c>
      <c r="G40" s="78">
        <v>1101624</v>
      </c>
      <c r="H40" s="78">
        <v>674798</v>
      </c>
      <c r="I40" s="166">
        <v>0</v>
      </c>
      <c r="J40" s="78">
        <v>227005</v>
      </c>
      <c r="K40" s="78">
        <v>1454700</v>
      </c>
      <c r="L40" s="137">
        <f>357114+7140</f>
        <v>364254</v>
      </c>
      <c r="M40" s="78">
        <f t="shared" si="17"/>
        <v>4286187</v>
      </c>
      <c r="N40" s="68"/>
      <c r="O40" s="69"/>
      <c r="R40" s="68"/>
    </row>
    <row r="41" spans="1:18" s="72" customFormat="1" x14ac:dyDescent="0.3">
      <c r="A41" s="203" t="s">
        <v>27</v>
      </c>
      <c r="B41" s="204"/>
      <c r="C41" s="171">
        <v>635.803</v>
      </c>
      <c r="D41" s="171">
        <v>1825.46</v>
      </c>
      <c r="E41" s="171">
        <v>640</v>
      </c>
      <c r="F41" s="171">
        <v>138</v>
      </c>
      <c r="G41" s="78">
        <v>6684.2999380000001</v>
      </c>
      <c r="H41" s="78">
        <v>1675.181</v>
      </c>
      <c r="I41" s="166">
        <v>20</v>
      </c>
      <c r="J41" s="78">
        <v>2567</v>
      </c>
      <c r="K41" s="78">
        <v>3877</v>
      </c>
      <c r="L41" s="137">
        <f>875.575+6.2</f>
        <v>881.77500000000009</v>
      </c>
      <c r="M41" s="78">
        <f t="shared" si="17"/>
        <v>18944.518938000001</v>
      </c>
      <c r="N41" s="86">
        <f>M41/90</f>
        <v>210.49465486666668</v>
      </c>
      <c r="O41" s="121">
        <f>M41/85</f>
        <v>222.87669338823531</v>
      </c>
      <c r="R41" s="68">
        <f>M41/$P$1</f>
        <v>191.35877715151517</v>
      </c>
    </row>
    <row r="42" spans="1:18" s="72" customFormat="1" x14ac:dyDescent="0.3">
      <c r="A42" s="214" t="s">
        <v>262</v>
      </c>
      <c r="B42" s="215"/>
      <c r="C42" s="171">
        <v>635.803</v>
      </c>
      <c r="D42" s="171">
        <v>1825.46</v>
      </c>
      <c r="E42" s="171">
        <v>516</v>
      </c>
      <c r="F42" s="171">
        <v>143</v>
      </c>
      <c r="G42" s="78">
        <v>5918.0984989999997</v>
      </c>
      <c r="H42" s="78">
        <v>1675.181</v>
      </c>
      <c r="I42" s="166">
        <v>20</v>
      </c>
      <c r="J42" s="78">
        <v>2567</v>
      </c>
      <c r="K42" s="78">
        <v>3620</v>
      </c>
      <c r="L42" s="137">
        <f>856.44+6.2</f>
        <v>862.6400000000001</v>
      </c>
      <c r="M42" s="78">
        <f t="shared" si="17"/>
        <v>17783.182498999999</v>
      </c>
      <c r="N42" s="86"/>
      <c r="O42" s="121"/>
      <c r="R42" s="68">
        <f>M42/$P$1</f>
        <v>179.62810605050504</v>
      </c>
    </row>
    <row r="43" spans="1:18" s="73" customFormat="1" x14ac:dyDescent="0.3">
      <c r="A43" s="205" t="s">
        <v>28</v>
      </c>
      <c r="B43" s="206" t="s">
        <v>29</v>
      </c>
      <c r="C43" s="171">
        <v>355</v>
      </c>
      <c r="D43" s="171">
        <v>867</v>
      </c>
      <c r="E43" s="171">
        <v>141</v>
      </c>
      <c r="F43" s="171">
        <v>12</v>
      </c>
      <c r="G43" s="78">
        <v>515</v>
      </c>
      <c r="H43" s="78">
        <v>209</v>
      </c>
      <c r="I43" s="166">
        <v>25</v>
      </c>
      <c r="J43" s="78">
        <v>2</v>
      </c>
      <c r="K43" s="78">
        <v>73</v>
      </c>
      <c r="L43" s="137">
        <v>113</v>
      </c>
      <c r="M43" s="78">
        <f t="shared" si="17"/>
        <v>2312</v>
      </c>
      <c r="N43" s="86"/>
      <c r="O43" s="69"/>
      <c r="R43" s="68"/>
    </row>
    <row r="44" spans="1:18" s="64" customFormat="1" x14ac:dyDescent="0.3">
      <c r="A44" s="200" t="s">
        <v>30</v>
      </c>
      <c r="B44" s="65" t="s">
        <v>29</v>
      </c>
      <c r="C44" s="171">
        <v>11370</v>
      </c>
      <c r="D44" s="171">
        <v>2900</v>
      </c>
      <c r="E44" s="171">
        <v>4453</v>
      </c>
      <c r="F44" s="171">
        <v>780</v>
      </c>
      <c r="G44" s="78">
        <v>8246</v>
      </c>
      <c r="H44" s="78">
        <v>7215</v>
      </c>
      <c r="I44" s="166">
        <v>3526</v>
      </c>
      <c r="J44" s="78">
        <v>25</v>
      </c>
      <c r="K44" s="78">
        <v>1991</v>
      </c>
      <c r="L44" s="137">
        <v>1947</v>
      </c>
      <c r="M44" s="78">
        <f t="shared" si="17"/>
        <v>42453</v>
      </c>
      <c r="N44" s="86"/>
      <c r="O44" s="69"/>
      <c r="R44" s="68"/>
    </row>
    <row r="45" spans="1:18" s="64" customFormat="1" x14ac:dyDescent="0.3">
      <c r="A45" s="200"/>
      <c r="B45" s="66" t="s">
        <v>31</v>
      </c>
      <c r="C45" s="171">
        <v>9922</v>
      </c>
      <c r="D45" s="171">
        <v>7375</v>
      </c>
      <c r="E45" s="171">
        <v>5543</v>
      </c>
      <c r="F45" s="171">
        <v>608</v>
      </c>
      <c r="G45" s="78">
        <v>9213</v>
      </c>
      <c r="H45" s="78">
        <v>5444</v>
      </c>
      <c r="I45" s="166">
        <v>5110</v>
      </c>
      <c r="J45" s="78">
        <v>55</v>
      </c>
      <c r="K45" s="78">
        <v>2470</v>
      </c>
      <c r="L45" s="137">
        <v>707</v>
      </c>
      <c r="M45" s="78">
        <f t="shared" si="17"/>
        <v>46447</v>
      </c>
      <c r="N45" s="86"/>
      <c r="O45" s="69"/>
      <c r="R45" s="68"/>
    </row>
    <row r="46" spans="1:18" s="64" customFormat="1" x14ac:dyDescent="0.3">
      <c r="A46" s="200"/>
      <c r="B46" s="67" t="s">
        <v>17</v>
      </c>
      <c r="C46" s="104">
        <f>SUM(C44:C45)</f>
        <v>21292</v>
      </c>
      <c r="D46" s="172">
        <f t="shared" ref="D46:L46" si="18">SUM(D44:D45)</f>
        <v>10275</v>
      </c>
      <c r="E46" s="172">
        <f t="shared" si="18"/>
        <v>9996</v>
      </c>
      <c r="F46" s="172">
        <f t="shared" si="18"/>
        <v>1388</v>
      </c>
      <c r="G46" s="172">
        <f t="shared" si="18"/>
        <v>17459</v>
      </c>
      <c r="H46" s="172">
        <f t="shared" si="18"/>
        <v>12659</v>
      </c>
      <c r="I46" s="172">
        <f t="shared" si="18"/>
        <v>8636</v>
      </c>
      <c r="J46" s="172">
        <f t="shared" si="18"/>
        <v>80</v>
      </c>
      <c r="K46" s="172">
        <f t="shared" si="18"/>
        <v>4461</v>
      </c>
      <c r="L46" s="172">
        <f t="shared" si="18"/>
        <v>2654</v>
      </c>
      <c r="M46" s="104">
        <f t="shared" ref="M46" si="19">SUM(M44:M45)</f>
        <v>88900</v>
      </c>
      <c r="N46" s="87">
        <f>M44/M46%</f>
        <v>47.753655793025871</v>
      </c>
      <c r="O46" s="69"/>
      <c r="R46" s="68"/>
    </row>
    <row r="47" spans="1:18" s="64" customFormat="1" x14ac:dyDescent="0.3">
      <c r="A47" s="211" t="s">
        <v>32</v>
      </c>
      <c r="B47" s="65" t="s">
        <v>19</v>
      </c>
      <c r="C47" s="171">
        <v>0</v>
      </c>
      <c r="D47" s="171">
        <v>0</v>
      </c>
      <c r="E47" s="171">
        <v>0</v>
      </c>
      <c r="F47" s="171">
        <v>0</v>
      </c>
      <c r="G47" s="78">
        <v>22888</v>
      </c>
      <c r="H47" s="78">
        <v>0</v>
      </c>
      <c r="I47" s="166">
        <v>0</v>
      </c>
      <c r="J47" s="78"/>
      <c r="K47" s="78">
        <v>55</v>
      </c>
      <c r="L47" s="137">
        <v>0</v>
      </c>
      <c r="M47" s="78">
        <f>SUM(C47:L47)</f>
        <v>22943</v>
      </c>
      <c r="N47" s="86"/>
      <c r="O47" s="69"/>
      <c r="R47" s="68"/>
    </row>
    <row r="48" spans="1:18" s="64" customFormat="1" x14ac:dyDescent="0.3">
      <c r="A48" s="211"/>
      <c r="B48" s="66" t="s">
        <v>20</v>
      </c>
      <c r="C48" s="171">
        <v>0</v>
      </c>
      <c r="D48" s="171">
        <v>0</v>
      </c>
      <c r="E48" s="171">
        <v>0</v>
      </c>
      <c r="F48" s="171">
        <v>0</v>
      </c>
      <c r="G48" s="78">
        <v>2494</v>
      </c>
      <c r="H48" s="78">
        <v>0</v>
      </c>
      <c r="I48" s="166">
        <v>0</v>
      </c>
      <c r="J48" s="78"/>
      <c r="K48" s="78">
        <v>38</v>
      </c>
      <c r="L48" s="137">
        <v>0</v>
      </c>
      <c r="M48" s="78">
        <f>SUM(C48:L48)</f>
        <v>2532</v>
      </c>
      <c r="N48" s="86"/>
      <c r="O48" s="69"/>
      <c r="R48" s="68"/>
    </row>
    <row r="49" spans="1:18" s="64" customFormat="1" x14ac:dyDescent="0.3">
      <c r="A49" s="211"/>
      <c r="B49" s="67" t="s">
        <v>17</v>
      </c>
      <c r="C49" s="104">
        <f>SUM(C47:C48)</f>
        <v>0</v>
      </c>
      <c r="D49" s="172">
        <f t="shared" ref="D49:L49" si="20">SUM(D47:D48)</f>
        <v>0</v>
      </c>
      <c r="E49" s="172">
        <f t="shared" si="20"/>
        <v>0</v>
      </c>
      <c r="F49" s="172">
        <f t="shared" si="20"/>
        <v>0</v>
      </c>
      <c r="G49" s="172">
        <f t="shared" si="20"/>
        <v>25382</v>
      </c>
      <c r="H49" s="172">
        <f t="shared" si="20"/>
        <v>0</v>
      </c>
      <c r="I49" s="172">
        <f t="shared" si="20"/>
        <v>0</v>
      </c>
      <c r="J49" s="172">
        <f t="shared" si="20"/>
        <v>0</v>
      </c>
      <c r="K49" s="172">
        <f t="shared" si="20"/>
        <v>93</v>
      </c>
      <c r="L49" s="172">
        <f t="shared" si="20"/>
        <v>0</v>
      </c>
      <c r="M49" s="104">
        <f t="shared" ref="M49" si="21">SUM(M47:M48)</f>
        <v>25475</v>
      </c>
      <c r="N49" s="86"/>
      <c r="O49" s="69"/>
      <c r="R49" s="68"/>
    </row>
    <row r="50" spans="1:18" s="64" customFormat="1" x14ac:dyDescent="0.3">
      <c r="A50" s="200" t="s">
        <v>219</v>
      </c>
      <c r="B50" s="65" t="s">
        <v>19</v>
      </c>
      <c r="C50" s="171">
        <v>31</v>
      </c>
      <c r="D50" s="171">
        <v>1243</v>
      </c>
      <c r="E50" s="171">
        <v>1508</v>
      </c>
      <c r="F50" s="171">
        <v>95</v>
      </c>
      <c r="G50" s="78">
        <v>3153</v>
      </c>
      <c r="H50" s="78">
        <v>8442</v>
      </c>
      <c r="I50" s="166">
        <v>0</v>
      </c>
      <c r="J50" s="78">
        <v>4777</v>
      </c>
      <c r="K50" s="78">
        <v>1066</v>
      </c>
      <c r="L50" s="137">
        <v>867</v>
      </c>
      <c r="M50" s="78">
        <f>SUM(C50:L50)</f>
        <v>21182</v>
      </c>
      <c r="N50" s="86"/>
      <c r="O50" s="69"/>
      <c r="R50" s="68"/>
    </row>
    <row r="51" spans="1:18" s="64" customFormat="1" x14ac:dyDescent="0.3">
      <c r="A51" s="200"/>
      <c r="B51" s="66" t="s">
        <v>20</v>
      </c>
      <c r="C51" s="171">
        <v>0</v>
      </c>
      <c r="D51" s="171">
        <v>0</v>
      </c>
      <c r="E51" s="171">
        <v>0</v>
      </c>
      <c r="F51" s="171">
        <v>0</v>
      </c>
      <c r="G51" s="78">
        <v>0</v>
      </c>
      <c r="H51" s="78">
        <v>1770</v>
      </c>
      <c r="I51" s="166">
        <v>0</v>
      </c>
      <c r="J51" s="78"/>
      <c r="K51" s="78">
        <v>467</v>
      </c>
      <c r="L51" s="137">
        <v>675</v>
      </c>
      <c r="M51" s="78">
        <f>SUM(C51:L51)</f>
        <v>2912</v>
      </c>
      <c r="N51" s="86"/>
      <c r="O51" s="69"/>
      <c r="R51" s="68"/>
    </row>
    <row r="52" spans="1:18" s="64" customFormat="1" ht="14.4" thickBot="1" x14ac:dyDescent="0.35">
      <c r="A52" s="201"/>
      <c r="B52" s="74" t="s">
        <v>17</v>
      </c>
      <c r="C52" s="172">
        <f t="shared" ref="C52:L52" si="22">SUM(C50:C51)</f>
        <v>31</v>
      </c>
      <c r="D52" s="172">
        <f t="shared" si="22"/>
        <v>1243</v>
      </c>
      <c r="E52" s="172">
        <f t="shared" si="22"/>
        <v>1508</v>
      </c>
      <c r="F52" s="172">
        <f t="shared" si="22"/>
        <v>95</v>
      </c>
      <c r="G52" s="172">
        <f t="shared" si="22"/>
        <v>3153</v>
      </c>
      <c r="H52" s="172">
        <f t="shared" si="22"/>
        <v>10212</v>
      </c>
      <c r="I52" s="172">
        <f t="shared" si="22"/>
        <v>0</v>
      </c>
      <c r="J52" s="172">
        <f t="shared" si="22"/>
        <v>4777</v>
      </c>
      <c r="K52" s="172">
        <f t="shared" si="22"/>
        <v>1533</v>
      </c>
      <c r="L52" s="172">
        <f t="shared" si="22"/>
        <v>1542</v>
      </c>
      <c r="M52" s="104">
        <f t="shared" ref="M52" si="23">SUM(M50:M51)</f>
        <v>24094</v>
      </c>
      <c r="N52" s="86"/>
      <c r="O52" s="69"/>
      <c r="R52" s="68"/>
    </row>
    <row r="53" spans="1:18" x14ac:dyDescent="0.3">
      <c r="A53" s="75" t="s">
        <v>260</v>
      </c>
      <c r="E53" s="103"/>
      <c r="G53" s="135"/>
      <c r="H53" s="123"/>
      <c r="K53" s="122"/>
      <c r="R53" s="68"/>
    </row>
    <row r="54" spans="1:18" x14ac:dyDescent="0.3">
      <c r="A54" s="75" t="s">
        <v>271</v>
      </c>
      <c r="E54" s="103"/>
      <c r="G54" s="75"/>
      <c r="H54" s="123"/>
      <c r="R54" s="68"/>
    </row>
    <row r="55" spans="1:18" x14ac:dyDescent="0.3">
      <c r="E55" s="103"/>
      <c r="R55" s="68"/>
    </row>
    <row r="56" spans="1:18" x14ac:dyDescent="0.3">
      <c r="E56" s="103"/>
      <c r="R56" s="68"/>
    </row>
    <row r="57" spans="1:18" x14ac:dyDescent="0.3">
      <c r="E57" s="103"/>
      <c r="R57" s="68"/>
    </row>
    <row r="58" spans="1:18" x14ac:dyDescent="0.3">
      <c r="R58" s="68"/>
    </row>
    <row r="59" spans="1:18" x14ac:dyDescent="0.3">
      <c r="R59" s="68"/>
    </row>
    <row r="60" spans="1:18" x14ac:dyDescent="0.3">
      <c r="R60" s="68"/>
    </row>
    <row r="61" spans="1:18" x14ac:dyDescent="0.3">
      <c r="R61" s="68"/>
    </row>
  </sheetData>
  <mergeCells count="24">
    <mergeCell ref="A2:B2"/>
    <mergeCell ref="A4:B4"/>
    <mergeCell ref="A5:B5"/>
    <mergeCell ref="A6:B6"/>
    <mergeCell ref="A47:A49"/>
    <mergeCell ref="A40:B40"/>
    <mergeCell ref="A42:B42"/>
    <mergeCell ref="A37:B37"/>
    <mergeCell ref="A38:B38"/>
    <mergeCell ref="A7:B7"/>
    <mergeCell ref="A12:A14"/>
    <mergeCell ref="A15:A17"/>
    <mergeCell ref="A18:A20"/>
    <mergeCell ref="A8:A11"/>
    <mergeCell ref="A39:B39"/>
    <mergeCell ref="A28:A30"/>
    <mergeCell ref="A21:A24"/>
    <mergeCell ref="A31:A33"/>
    <mergeCell ref="A25:A27"/>
    <mergeCell ref="A50:A52"/>
    <mergeCell ref="A34:A36"/>
    <mergeCell ref="A41:B41"/>
    <mergeCell ref="A43:B43"/>
    <mergeCell ref="A44:A46"/>
  </mergeCells>
  <phoneticPr fontId="32" type="noConversion"/>
  <printOptions horizontalCentered="1" verticalCentered="1"/>
  <pageMargins left="0.2" right="0.21" top="0.2" bottom="0.16" header="0.17" footer="0.16"/>
  <pageSetup paperSize="9" scale="7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Graphs for presentation</vt:lpstr>
      <vt:lpstr>1.RSP Districts </vt:lpstr>
      <vt:lpstr>2. Overall com progres March 13</vt:lpstr>
      <vt:lpstr>'1.RSP Districts '!Print_Area</vt:lpstr>
      <vt:lpstr>'2. Overall com progres March 13'!Print_Area</vt:lpstr>
      <vt:lpstr>'1.RSP Districts '!Print_Titles</vt:lpstr>
      <vt:lpstr>'2. Overall com progres March 13'!Print_Titles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Elitebook</cp:lastModifiedBy>
  <cp:lastPrinted>2012-03-22T14:15:03Z</cp:lastPrinted>
  <dcterms:created xsi:type="dcterms:W3CDTF">2011-06-02T11:20:26Z</dcterms:created>
  <dcterms:modified xsi:type="dcterms:W3CDTF">2015-12-03T06:35:10Z</dcterms:modified>
</cp:coreProperties>
</file>