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5600" windowHeight="7695"/>
  </bookViews>
  <sheets>
    <sheet name="Graphs for presentation" sheetId="10" r:id="rId1"/>
    <sheet name="1.RSP Districts " sheetId="2" r:id="rId2"/>
    <sheet name="2. Overall com progres June 13" sheetId="5" r:id="rId3"/>
    <sheet name="3. Overallcomprogres March(ref)" sheetId="1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1" hidden="1">'1.RSP Districts '!$A$3:$T$226</definedName>
    <definedName name="_xlnm._FilterDatabase" localSheetId="2" hidden="1">'2. Overall com progres June 13'!#REF!</definedName>
    <definedName name="_xlnm._FilterDatabase" localSheetId="3" hidden="1">'3. Overallcomprogres March(ref)'!#REF!</definedName>
    <definedName name="_xlnm.Print_Area" localSheetId="2">'2. Overall com progres June 13'!$A$1:$M$54</definedName>
    <definedName name="_xlnm.Print_Area" localSheetId="3">'3. Overallcomprogres March(ref)'!$A$1:$M$54</definedName>
    <definedName name="_xlnm.Print_Titles" localSheetId="1">'1.RSP Districts '!$1:$3</definedName>
    <definedName name="_xlnm.Print_Titles" localSheetId="2">'2. Overall com progres June 13'!$1:$3</definedName>
    <definedName name="_xlnm.Print_Titles" localSheetId="3">'3. Overallcomprogres March(ref)'!$1:$3</definedName>
  </definedNames>
  <calcPr calcId="145621"/>
</workbook>
</file>

<file path=xl/calcChain.xml><?xml version="1.0" encoding="utf-8"?>
<calcChain xmlns="http://schemas.openxmlformats.org/spreadsheetml/2006/main">
  <c r="D76" i="2" l="1"/>
  <c r="E76" i="2"/>
  <c r="M4" i="5"/>
  <c r="A214" i="2"/>
  <c r="A200" i="2"/>
  <c r="A153" i="2"/>
  <c r="I74" i="2"/>
  <c r="I70" i="2"/>
  <c r="I69" i="2"/>
  <c r="I67" i="2"/>
  <c r="I66" i="2"/>
  <c r="I64" i="2"/>
  <c r="I63" i="2"/>
  <c r="I60" i="2"/>
  <c r="I59" i="2"/>
  <c r="I58" i="2"/>
  <c r="I57" i="2"/>
  <c r="I55" i="2"/>
  <c r="I52" i="2"/>
  <c r="I51" i="2"/>
  <c r="I49" i="2"/>
  <c r="I47" i="2"/>
  <c r="I45" i="2"/>
  <c r="I43" i="2"/>
  <c r="I209" i="2" l="1"/>
  <c r="H209" i="2"/>
  <c r="E209" i="2"/>
  <c r="D209" i="2"/>
  <c r="C209" i="2"/>
  <c r="P150" i="2"/>
  <c r="P149" i="2"/>
  <c r="P148" i="2"/>
  <c r="P146" i="2"/>
  <c r="P144" i="2"/>
  <c r="P142" i="2"/>
  <c r="P138" i="2"/>
  <c r="P137" i="2"/>
  <c r="P136" i="2"/>
  <c r="P135" i="2"/>
  <c r="P133" i="2"/>
  <c r="P131" i="2"/>
  <c r="P128" i="2"/>
  <c r="P127" i="2"/>
  <c r="P125" i="2"/>
  <c r="P124" i="2"/>
  <c r="P121" i="2"/>
  <c r="P120" i="2"/>
  <c r="P118" i="2"/>
  <c r="P117" i="2"/>
  <c r="P116" i="2"/>
  <c r="P115" i="2"/>
  <c r="P114" i="2"/>
  <c r="P113" i="2"/>
  <c r="P111" i="2"/>
  <c r="L150" i="2"/>
  <c r="L149" i="2"/>
  <c r="L148" i="2"/>
  <c r="L146" i="2"/>
  <c r="L144" i="2"/>
  <c r="L142" i="2"/>
  <c r="L138" i="2"/>
  <c r="L137" i="2"/>
  <c r="L136" i="2"/>
  <c r="L135" i="2"/>
  <c r="L133" i="2"/>
  <c r="L131" i="2"/>
  <c r="L128" i="2"/>
  <c r="L127" i="2"/>
  <c r="L125" i="2"/>
  <c r="L124" i="2"/>
  <c r="L121" i="2"/>
  <c r="L120" i="2"/>
  <c r="L118" i="2"/>
  <c r="L117" i="2"/>
  <c r="L116" i="2"/>
  <c r="L115" i="2"/>
  <c r="L114" i="2"/>
  <c r="L113" i="2"/>
  <c r="L111" i="2"/>
  <c r="I150" i="2"/>
  <c r="I149" i="2"/>
  <c r="I148" i="2"/>
  <c r="I146" i="2"/>
  <c r="I144" i="2"/>
  <c r="I142" i="2"/>
  <c r="I138" i="2"/>
  <c r="I137" i="2"/>
  <c r="I136" i="2"/>
  <c r="I135" i="2"/>
  <c r="I133" i="2"/>
  <c r="I131" i="2"/>
  <c r="I128" i="2"/>
  <c r="I127" i="2"/>
  <c r="I125" i="2"/>
  <c r="I124" i="2"/>
  <c r="I121" i="2"/>
  <c r="I120" i="2"/>
  <c r="I118" i="2"/>
  <c r="I117" i="2"/>
  <c r="I116" i="2"/>
  <c r="I115" i="2"/>
  <c r="I114" i="2"/>
  <c r="I113" i="2"/>
  <c r="I111" i="2"/>
  <c r="E150" i="2"/>
  <c r="E149" i="2"/>
  <c r="E148" i="2"/>
  <c r="E146" i="2"/>
  <c r="E144" i="2"/>
  <c r="E142" i="2"/>
  <c r="E138" i="2"/>
  <c r="E137" i="2"/>
  <c r="E136" i="2"/>
  <c r="E135" i="2"/>
  <c r="E133" i="2"/>
  <c r="E131" i="2"/>
  <c r="E128" i="2"/>
  <c r="E127" i="2"/>
  <c r="E125" i="2"/>
  <c r="E124" i="2"/>
  <c r="E121" i="2"/>
  <c r="E120" i="2"/>
  <c r="E118" i="2"/>
  <c r="E117" i="2"/>
  <c r="E116" i="2"/>
  <c r="E115" i="2"/>
  <c r="E114" i="2"/>
  <c r="E113" i="2"/>
  <c r="E111" i="2"/>
  <c r="I7" i="2" l="1"/>
  <c r="I51" i="5"/>
  <c r="I48" i="5"/>
  <c r="I47" i="5"/>
  <c r="I45" i="5"/>
  <c r="I44" i="5"/>
  <c r="I43" i="5"/>
  <c r="I42" i="5"/>
  <c r="I41" i="5"/>
  <c r="I40" i="5"/>
  <c r="I39" i="5"/>
  <c r="I38" i="5"/>
  <c r="I37" i="5"/>
  <c r="I35" i="5"/>
  <c r="I34" i="5"/>
  <c r="I32" i="5"/>
  <c r="I31" i="5"/>
  <c r="I29" i="5"/>
  <c r="I28" i="5"/>
  <c r="I26" i="5"/>
  <c r="I25" i="5"/>
  <c r="I24" i="5"/>
  <c r="I23" i="5"/>
  <c r="I22" i="5"/>
  <c r="I21" i="5"/>
  <c r="I19" i="5"/>
  <c r="I18" i="5"/>
  <c r="I16" i="5"/>
  <c r="I15" i="5"/>
  <c r="I13" i="5"/>
  <c r="I12" i="5"/>
  <c r="I10" i="5"/>
  <c r="I9" i="5"/>
  <c r="I8" i="5"/>
  <c r="Y51" i="5" l="1"/>
  <c r="W51" i="5"/>
  <c r="Y50" i="5"/>
  <c r="W50" i="5"/>
  <c r="Y48" i="5"/>
  <c r="W48" i="5"/>
  <c r="Y47" i="5"/>
  <c r="W47" i="5"/>
  <c r="Y45" i="5"/>
  <c r="W45" i="5"/>
  <c r="Y44" i="5"/>
  <c r="W44" i="5"/>
  <c r="Y43" i="5"/>
  <c r="W43" i="5"/>
  <c r="Y42" i="5"/>
  <c r="W42" i="5"/>
  <c r="Y41" i="5"/>
  <c r="W41" i="5"/>
  <c r="Y40" i="5"/>
  <c r="W40" i="5"/>
  <c r="Y39" i="5"/>
  <c r="W39" i="5"/>
  <c r="Y38" i="5"/>
  <c r="W38" i="5"/>
  <c r="Y37" i="5"/>
  <c r="W37" i="5"/>
  <c r="Y35" i="5"/>
  <c r="W35" i="5"/>
  <c r="Y34" i="5"/>
  <c r="W34" i="5"/>
  <c r="Y32" i="5"/>
  <c r="W32" i="5"/>
  <c r="Y31" i="5"/>
  <c r="W31" i="5"/>
  <c r="Y29" i="5"/>
  <c r="W29" i="5"/>
  <c r="Y28" i="5"/>
  <c r="W28" i="5"/>
  <c r="Y26" i="5"/>
  <c r="W26" i="5"/>
  <c r="Y25" i="5"/>
  <c r="W25" i="5"/>
  <c r="Y24" i="5"/>
  <c r="W24" i="5"/>
  <c r="Y23" i="5"/>
  <c r="W23" i="5"/>
  <c r="Y22" i="5"/>
  <c r="W22" i="5"/>
  <c r="W21" i="5"/>
  <c r="Y19" i="5"/>
  <c r="W19" i="5"/>
  <c r="Y18" i="5"/>
  <c r="W18" i="5"/>
  <c r="Y16" i="5"/>
  <c r="W16" i="5"/>
  <c r="Y15" i="5"/>
  <c r="W15" i="5"/>
  <c r="Y13" i="5"/>
  <c r="W13" i="5"/>
  <c r="Y12" i="5"/>
  <c r="W12" i="5"/>
  <c r="Y10" i="5"/>
  <c r="W10" i="5"/>
  <c r="Y9" i="5"/>
  <c r="W9" i="5"/>
  <c r="Y8" i="5"/>
  <c r="W8" i="5"/>
  <c r="AB7" i="5"/>
  <c r="AA7" i="5"/>
  <c r="Z7" i="5"/>
  <c r="Y7" i="5"/>
  <c r="X7" i="5"/>
  <c r="V7" i="5"/>
  <c r="U7" i="5"/>
  <c r="T7" i="5"/>
  <c r="S7" i="5"/>
  <c r="G7" i="5"/>
  <c r="C51" i="5" l="1"/>
  <c r="S51" i="5" s="1"/>
  <c r="C50" i="5"/>
  <c r="S50" i="5" s="1"/>
  <c r="C48" i="5"/>
  <c r="S48" i="5" s="1"/>
  <c r="C47" i="5"/>
  <c r="S47" i="5" s="1"/>
  <c r="C45" i="5"/>
  <c r="S45" i="5" s="1"/>
  <c r="C44" i="5"/>
  <c r="S44" i="5" s="1"/>
  <c r="C43" i="5"/>
  <c r="S43" i="5" s="1"/>
  <c r="C42" i="5"/>
  <c r="S42" i="5" s="1"/>
  <c r="C41" i="5"/>
  <c r="S41" i="5" s="1"/>
  <c r="C40" i="5"/>
  <c r="S40" i="5" s="1"/>
  <c r="C39" i="5"/>
  <c r="S39" i="5" s="1"/>
  <c r="C38" i="5"/>
  <c r="S38" i="5" s="1"/>
  <c r="C37" i="5"/>
  <c r="S37" i="5" s="1"/>
  <c r="C35" i="5"/>
  <c r="S35" i="5" s="1"/>
  <c r="C34" i="5"/>
  <c r="S34" i="5" s="1"/>
  <c r="C32" i="5"/>
  <c r="S32" i="5" s="1"/>
  <c r="C31" i="5"/>
  <c r="S31" i="5" s="1"/>
  <c r="C29" i="5"/>
  <c r="S29" i="5" s="1"/>
  <c r="C28" i="5"/>
  <c r="S28" i="5" s="1"/>
  <c r="C26" i="5"/>
  <c r="S26" i="5" s="1"/>
  <c r="C25" i="5"/>
  <c r="S25" i="5" s="1"/>
  <c r="C24" i="5"/>
  <c r="S24" i="5" s="1"/>
  <c r="C23" i="5"/>
  <c r="S23" i="5" s="1"/>
  <c r="C22" i="5"/>
  <c r="S22" i="5" s="1"/>
  <c r="C21" i="5"/>
  <c r="S21" i="5" s="1"/>
  <c r="C19" i="5"/>
  <c r="S19" i="5" s="1"/>
  <c r="C18" i="5"/>
  <c r="S18" i="5" s="1"/>
  <c r="C16" i="5"/>
  <c r="S16" i="5" s="1"/>
  <c r="C15" i="5"/>
  <c r="S15" i="5" s="1"/>
  <c r="C13" i="5"/>
  <c r="S13" i="5" s="1"/>
  <c r="C12" i="5"/>
  <c r="S12" i="5" s="1"/>
  <c r="C10" i="5"/>
  <c r="S10" i="5" s="1"/>
  <c r="C9" i="5"/>
  <c r="S9" i="5" s="1"/>
  <c r="C8" i="5"/>
  <c r="S8" i="5" s="1"/>
  <c r="I204" i="2"/>
  <c r="I170" i="2"/>
  <c r="I168" i="2"/>
  <c r="I167" i="2"/>
  <c r="I165" i="2"/>
  <c r="I163" i="2"/>
  <c r="I161" i="2"/>
  <c r="I159" i="2"/>
  <c r="I157" i="2"/>
  <c r="I172" i="2" l="1"/>
  <c r="P170" i="2"/>
  <c r="P168" i="2"/>
  <c r="P167" i="2"/>
  <c r="P165" i="2"/>
  <c r="P163" i="2"/>
  <c r="P161" i="2"/>
  <c r="P159" i="2"/>
  <c r="P157" i="2"/>
  <c r="L170" i="2"/>
  <c r="L168" i="2"/>
  <c r="L167" i="2"/>
  <c r="L165" i="2"/>
  <c r="L163" i="2"/>
  <c r="L161" i="2"/>
  <c r="L159" i="2"/>
  <c r="L157" i="2"/>
  <c r="E170" i="2"/>
  <c r="E168" i="2"/>
  <c r="E167" i="2"/>
  <c r="E165" i="2"/>
  <c r="E163" i="2"/>
  <c r="E161" i="2"/>
  <c r="E159" i="2"/>
  <c r="E157" i="2"/>
  <c r="F51" i="5"/>
  <c r="V51" i="5" s="1"/>
  <c r="F50" i="5"/>
  <c r="V50" i="5" s="1"/>
  <c r="F48" i="5"/>
  <c r="V48" i="5" s="1"/>
  <c r="F47" i="5"/>
  <c r="V47" i="5" s="1"/>
  <c r="F45" i="5"/>
  <c r="V45" i="5" s="1"/>
  <c r="F44" i="5"/>
  <c r="V44" i="5" s="1"/>
  <c r="F43" i="5"/>
  <c r="V43" i="5" s="1"/>
  <c r="F42" i="5"/>
  <c r="V42" i="5" s="1"/>
  <c r="F41" i="5"/>
  <c r="V41" i="5" s="1"/>
  <c r="F40" i="5"/>
  <c r="V40" i="5" s="1"/>
  <c r="F39" i="5"/>
  <c r="V39" i="5" s="1"/>
  <c r="F38" i="5"/>
  <c r="V38" i="5" s="1"/>
  <c r="F37" i="5"/>
  <c r="V37" i="5" s="1"/>
  <c r="F35" i="5"/>
  <c r="V35" i="5" s="1"/>
  <c r="F34" i="5"/>
  <c r="V34" i="5" s="1"/>
  <c r="F32" i="5"/>
  <c r="V32" i="5" s="1"/>
  <c r="F31" i="5"/>
  <c r="V31" i="5" s="1"/>
  <c r="F29" i="5"/>
  <c r="V29" i="5" s="1"/>
  <c r="F28" i="5"/>
  <c r="V28" i="5" s="1"/>
  <c r="F26" i="5"/>
  <c r="V26" i="5" s="1"/>
  <c r="F25" i="5"/>
  <c r="V25" i="5" s="1"/>
  <c r="F24" i="5"/>
  <c r="V24" i="5" s="1"/>
  <c r="F23" i="5"/>
  <c r="V23" i="5" s="1"/>
  <c r="F22" i="5"/>
  <c r="V22" i="5" s="1"/>
  <c r="F21" i="5"/>
  <c r="V21" i="5" s="1"/>
  <c r="F19" i="5"/>
  <c r="V19" i="5" s="1"/>
  <c r="F18" i="5"/>
  <c r="V18" i="5" s="1"/>
  <c r="F16" i="5"/>
  <c r="V16" i="5" s="1"/>
  <c r="F15" i="5"/>
  <c r="V15" i="5" s="1"/>
  <c r="F13" i="5"/>
  <c r="V13" i="5" s="1"/>
  <c r="F12" i="5"/>
  <c r="V12" i="5" s="1"/>
  <c r="F10" i="5"/>
  <c r="V10" i="5" s="1"/>
  <c r="F9" i="5"/>
  <c r="V9" i="5" s="1"/>
  <c r="F8" i="5"/>
  <c r="V8" i="5" s="1"/>
  <c r="I207" i="2"/>
  <c r="P105" i="2"/>
  <c r="P71" i="2"/>
  <c r="P56" i="2"/>
  <c r="L105" i="2"/>
  <c r="L71" i="2"/>
  <c r="L56" i="2"/>
  <c r="I105" i="2"/>
  <c r="I71" i="2"/>
  <c r="I56" i="2"/>
  <c r="H51" i="5" l="1"/>
  <c r="X51" i="5" s="1"/>
  <c r="H50" i="5"/>
  <c r="X50" i="5" s="1"/>
  <c r="H48" i="5"/>
  <c r="X48" i="5" s="1"/>
  <c r="H47" i="5"/>
  <c r="X47" i="5" s="1"/>
  <c r="H45" i="5"/>
  <c r="X45" i="5" s="1"/>
  <c r="H44" i="5"/>
  <c r="X44" i="5" s="1"/>
  <c r="H43" i="5"/>
  <c r="X43" i="5" s="1"/>
  <c r="H42" i="5"/>
  <c r="X42" i="5" s="1"/>
  <c r="H41" i="5"/>
  <c r="X41" i="5" s="1"/>
  <c r="H40" i="5"/>
  <c r="X40" i="5" s="1"/>
  <c r="H39" i="5"/>
  <c r="X39" i="5" s="1"/>
  <c r="H38" i="5"/>
  <c r="X38" i="5" s="1"/>
  <c r="H37" i="5"/>
  <c r="X37" i="5" s="1"/>
  <c r="H35" i="5"/>
  <c r="X35" i="5" s="1"/>
  <c r="H34" i="5"/>
  <c r="X34" i="5" s="1"/>
  <c r="H32" i="5"/>
  <c r="X32" i="5" s="1"/>
  <c r="H31" i="5"/>
  <c r="X31" i="5" s="1"/>
  <c r="H29" i="5"/>
  <c r="X29" i="5" s="1"/>
  <c r="H28" i="5"/>
  <c r="X28" i="5" s="1"/>
  <c r="H26" i="5"/>
  <c r="X26" i="5" s="1"/>
  <c r="H25" i="5"/>
  <c r="X25" i="5" s="1"/>
  <c r="H24" i="5"/>
  <c r="X24" i="5" s="1"/>
  <c r="H23" i="5"/>
  <c r="X23" i="5" s="1"/>
  <c r="H22" i="5"/>
  <c r="X22" i="5" s="1"/>
  <c r="H21" i="5"/>
  <c r="X21" i="5" s="1"/>
  <c r="H19" i="5"/>
  <c r="X19" i="5" s="1"/>
  <c r="H18" i="5"/>
  <c r="X18" i="5" s="1"/>
  <c r="H16" i="5"/>
  <c r="X16" i="5" s="1"/>
  <c r="H15" i="5"/>
  <c r="X15" i="5" s="1"/>
  <c r="H13" i="5"/>
  <c r="X13" i="5" s="1"/>
  <c r="H12" i="5"/>
  <c r="X12" i="5" s="1"/>
  <c r="H10" i="5"/>
  <c r="X10" i="5" s="1"/>
  <c r="H9" i="5"/>
  <c r="X9" i="5" s="1"/>
  <c r="H8" i="5"/>
  <c r="X8" i="5" s="1"/>
  <c r="I153" i="2"/>
  <c r="J51" i="5" l="1"/>
  <c r="Z51" i="5" s="1"/>
  <c r="J50" i="5"/>
  <c r="Z50" i="5" s="1"/>
  <c r="J48" i="5"/>
  <c r="Z48" i="5" s="1"/>
  <c r="J47" i="5"/>
  <c r="Z47" i="5" s="1"/>
  <c r="J45" i="5"/>
  <c r="Z45" i="5" s="1"/>
  <c r="J44" i="5"/>
  <c r="Z44" i="5" s="1"/>
  <c r="J43" i="5"/>
  <c r="Z43" i="5" s="1"/>
  <c r="J42" i="5"/>
  <c r="Z42" i="5" s="1"/>
  <c r="J41" i="5"/>
  <c r="Z41" i="5" s="1"/>
  <c r="J40" i="5"/>
  <c r="Z40" i="5" s="1"/>
  <c r="J39" i="5"/>
  <c r="Z39" i="5" s="1"/>
  <c r="J38" i="5"/>
  <c r="Z38" i="5" s="1"/>
  <c r="J37" i="5"/>
  <c r="Z37" i="5" s="1"/>
  <c r="J35" i="5"/>
  <c r="Z35" i="5" s="1"/>
  <c r="J34" i="5"/>
  <c r="Z34" i="5" s="1"/>
  <c r="J32" i="5"/>
  <c r="Z32" i="5" s="1"/>
  <c r="J31" i="5"/>
  <c r="Z31" i="5" s="1"/>
  <c r="J29" i="5"/>
  <c r="Z29" i="5" s="1"/>
  <c r="J28" i="5"/>
  <c r="Z28" i="5" s="1"/>
  <c r="J26" i="5"/>
  <c r="Z26" i="5" s="1"/>
  <c r="J25" i="5"/>
  <c r="Z25" i="5" s="1"/>
  <c r="J24" i="5"/>
  <c r="Z24" i="5" s="1"/>
  <c r="J23" i="5"/>
  <c r="Z23" i="5" s="1"/>
  <c r="J22" i="5"/>
  <c r="Z22" i="5" s="1"/>
  <c r="J21" i="5"/>
  <c r="Z21" i="5" s="1"/>
  <c r="J19" i="5"/>
  <c r="Z19" i="5" s="1"/>
  <c r="J18" i="5"/>
  <c r="Z18" i="5" s="1"/>
  <c r="J16" i="5"/>
  <c r="Z16" i="5" s="1"/>
  <c r="J15" i="5"/>
  <c r="Z15" i="5" s="1"/>
  <c r="J13" i="5"/>
  <c r="Z13" i="5" s="1"/>
  <c r="J12" i="5"/>
  <c r="Z12" i="5" s="1"/>
  <c r="J10" i="5"/>
  <c r="Z10" i="5" s="1"/>
  <c r="J9" i="5"/>
  <c r="Z9" i="5" s="1"/>
  <c r="J8" i="5"/>
  <c r="Z8" i="5" s="1"/>
  <c r="I211" i="2"/>
  <c r="P96" i="2"/>
  <c r="P95" i="2"/>
  <c r="P93" i="2"/>
  <c r="P91" i="2"/>
  <c r="P88" i="2"/>
  <c r="P87" i="2"/>
  <c r="P86" i="2"/>
  <c r="P83" i="2"/>
  <c r="P81" i="2"/>
  <c r="L96" i="2"/>
  <c r="L95" i="2"/>
  <c r="L93" i="2"/>
  <c r="L91" i="2"/>
  <c r="L88" i="2"/>
  <c r="L87" i="2"/>
  <c r="L86" i="2"/>
  <c r="L83" i="2"/>
  <c r="L81" i="2"/>
  <c r="I96" i="2"/>
  <c r="I95" i="2"/>
  <c r="I93" i="2"/>
  <c r="I91" i="2"/>
  <c r="I88" i="2"/>
  <c r="I87" i="2"/>
  <c r="I86" i="2"/>
  <c r="I83" i="2"/>
  <c r="I81" i="2"/>
  <c r="E96" i="2"/>
  <c r="E95" i="2"/>
  <c r="E93" i="2"/>
  <c r="E91" i="2"/>
  <c r="E88" i="2"/>
  <c r="E87" i="2"/>
  <c r="E86" i="2"/>
  <c r="E83" i="2"/>
  <c r="E81" i="2"/>
  <c r="P94" i="2" l="1"/>
  <c r="L94" i="2"/>
  <c r="I210" i="2"/>
  <c r="I94" i="2"/>
  <c r="E94" i="2"/>
  <c r="I213" i="2"/>
  <c r="L51" i="5"/>
  <c r="AB51" i="5" s="1"/>
  <c r="L50" i="5"/>
  <c r="AB50" i="5" s="1"/>
  <c r="L48" i="5"/>
  <c r="AB48" i="5" s="1"/>
  <c r="L47" i="5"/>
  <c r="AB47" i="5" s="1"/>
  <c r="L45" i="5"/>
  <c r="AB45" i="5" s="1"/>
  <c r="L44" i="5"/>
  <c r="AB44" i="5" s="1"/>
  <c r="L43" i="5"/>
  <c r="AB43" i="5" s="1"/>
  <c r="L42" i="5"/>
  <c r="L41" i="5"/>
  <c r="L40" i="5"/>
  <c r="L39" i="5"/>
  <c r="L38" i="5"/>
  <c r="L37" i="5"/>
  <c r="L35" i="5"/>
  <c r="L34" i="5"/>
  <c r="L32" i="5"/>
  <c r="AB32" i="5" s="1"/>
  <c r="L31" i="5"/>
  <c r="AB31" i="5" s="1"/>
  <c r="L29" i="5"/>
  <c r="AB29" i="5" s="1"/>
  <c r="L28" i="5"/>
  <c r="AB28" i="5" s="1"/>
  <c r="L26" i="5"/>
  <c r="L25" i="5"/>
  <c r="L24" i="5"/>
  <c r="AB24" i="5" s="1"/>
  <c r="L23" i="5"/>
  <c r="AB23" i="5" s="1"/>
  <c r="L22" i="5"/>
  <c r="AB22" i="5" s="1"/>
  <c r="L21" i="5"/>
  <c r="AB21" i="5" s="1"/>
  <c r="L19" i="5"/>
  <c r="AB19" i="5" s="1"/>
  <c r="L18" i="5"/>
  <c r="AB18" i="5" s="1"/>
  <c r="L16" i="5"/>
  <c r="L15" i="5"/>
  <c r="L13" i="5"/>
  <c r="AB13" i="5" s="1"/>
  <c r="L12" i="5"/>
  <c r="AB12" i="5" s="1"/>
  <c r="L10" i="5"/>
  <c r="AB10" i="5" s="1"/>
  <c r="L9" i="5"/>
  <c r="AB9" i="5" s="1"/>
  <c r="L8" i="5"/>
  <c r="AB8" i="5" s="1"/>
  <c r="P101" i="2"/>
  <c r="P84" i="2"/>
  <c r="P80" i="2"/>
  <c r="L101" i="2"/>
  <c r="L99" i="2"/>
  <c r="L84" i="2"/>
  <c r="L80" i="2"/>
  <c r="I101" i="2"/>
  <c r="I99" i="2"/>
  <c r="I84" i="2"/>
  <c r="I80" i="2"/>
  <c r="E101" i="2"/>
  <c r="E99" i="2"/>
  <c r="E84" i="2"/>
  <c r="E80" i="2"/>
  <c r="I102" i="2" l="1"/>
  <c r="D51" i="5"/>
  <c r="T51" i="5" s="1"/>
  <c r="D50" i="5"/>
  <c r="T50" i="5" s="1"/>
  <c r="D48" i="5"/>
  <c r="T48" i="5" s="1"/>
  <c r="D47" i="5"/>
  <c r="T47" i="5" s="1"/>
  <c r="D45" i="5"/>
  <c r="T45" i="5" s="1"/>
  <c r="D44" i="5"/>
  <c r="T44" i="5" s="1"/>
  <c r="D43" i="5"/>
  <c r="T43" i="5" s="1"/>
  <c r="D42" i="5"/>
  <c r="T42" i="5" s="1"/>
  <c r="D41" i="5"/>
  <c r="T41" i="5" s="1"/>
  <c r="D40" i="5"/>
  <c r="T40" i="5" s="1"/>
  <c r="D39" i="5"/>
  <c r="T39" i="5" s="1"/>
  <c r="D38" i="5"/>
  <c r="T38" i="5" s="1"/>
  <c r="D37" i="5"/>
  <c r="T37" i="5" s="1"/>
  <c r="D35" i="5"/>
  <c r="T35" i="5" s="1"/>
  <c r="D34" i="5"/>
  <c r="T34" i="5" s="1"/>
  <c r="D32" i="5"/>
  <c r="T32" i="5" s="1"/>
  <c r="D31" i="5"/>
  <c r="T31" i="5" s="1"/>
  <c r="D29" i="5"/>
  <c r="T29" i="5" s="1"/>
  <c r="D28" i="5"/>
  <c r="T28" i="5" s="1"/>
  <c r="D26" i="5"/>
  <c r="T26" i="5" s="1"/>
  <c r="D25" i="5"/>
  <c r="T25" i="5" s="1"/>
  <c r="D24" i="5"/>
  <c r="T24" i="5" s="1"/>
  <c r="D23" i="5"/>
  <c r="T23" i="5" s="1"/>
  <c r="D22" i="5"/>
  <c r="T22" i="5" s="1"/>
  <c r="D21" i="5"/>
  <c r="T21" i="5" s="1"/>
  <c r="D19" i="5"/>
  <c r="T19" i="5" s="1"/>
  <c r="D18" i="5"/>
  <c r="T18" i="5" s="1"/>
  <c r="D16" i="5"/>
  <c r="T16" i="5" s="1"/>
  <c r="D15" i="5"/>
  <c r="T15" i="5" s="1"/>
  <c r="D13" i="5"/>
  <c r="T13" i="5" s="1"/>
  <c r="D12" i="5"/>
  <c r="T12" i="5" s="1"/>
  <c r="D10" i="5"/>
  <c r="T10" i="5" s="1"/>
  <c r="D9" i="5"/>
  <c r="T9" i="5" s="1"/>
  <c r="D8" i="5"/>
  <c r="T8" i="5" s="1"/>
  <c r="P50" i="2"/>
  <c r="L50" i="2"/>
  <c r="P181" i="2"/>
  <c r="P180" i="2"/>
  <c r="P179" i="2"/>
  <c r="P178" i="2"/>
  <c r="P177" i="2"/>
  <c r="P175" i="2"/>
  <c r="L181" i="2"/>
  <c r="L180" i="2"/>
  <c r="L179" i="2"/>
  <c r="L178" i="2"/>
  <c r="L177" i="2"/>
  <c r="L175" i="2"/>
  <c r="I181" i="2"/>
  <c r="I180" i="2"/>
  <c r="I179" i="2"/>
  <c r="I178" i="2"/>
  <c r="I177" i="2"/>
  <c r="I175" i="2"/>
  <c r="I50" i="2"/>
  <c r="E181" i="2"/>
  <c r="E180" i="2"/>
  <c r="E179" i="2"/>
  <c r="E178" i="2"/>
  <c r="E177" i="2"/>
  <c r="E175" i="2"/>
  <c r="E50" i="2"/>
  <c r="I205" i="2" l="1"/>
  <c r="I182" i="2"/>
  <c r="K51" i="5"/>
  <c r="AA51" i="5" s="1"/>
  <c r="K50" i="5"/>
  <c r="AA50" i="5" s="1"/>
  <c r="K48" i="5"/>
  <c r="AA48" i="5" s="1"/>
  <c r="K47" i="5"/>
  <c r="AA47" i="5" s="1"/>
  <c r="K45" i="5"/>
  <c r="AA45" i="5" s="1"/>
  <c r="K44" i="5"/>
  <c r="AA44" i="5" s="1"/>
  <c r="K43" i="5"/>
  <c r="AA43" i="5" s="1"/>
  <c r="K42" i="5"/>
  <c r="AA42" i="5" s="1"/>
  <c r="K41" i="5"/>
  <c r="AA41" i="5" s="1"/>
  <c r="K40" i="5"/>
  <c r="AA40" i="5" s="1"/>
  <c r="K39" i="5"/>
  <c r="AA39" i="5" s="1"/>
  <c r="K38" i="5"/>
  <c r="AA38" i="5" s="1"/>
  <c r="K37" i="5"/>
  <c r="AA37" i="5" s="1"/>
  <c r="K35" i="5"/>
  <c r="AA35" i="5" s="1"/>
  <c r="K34" i="5"/>
  <c r="AA34" i="5" s="1"/>
  <c r="K32" i="5"/>
  <c r="AA32" i="5" s="1"/>
  <c r="K31" i="5"/>
  <c r="AA31" i="5" s="1"/>
  <c r="K29" i="5"/>
  <c r="AA29" i="5" s="1"/>
  <c r="K28" i="5"/>
  <c r="AA28" i="5" s="1"/>
  <c r="K26" i="5"/>
  <c r="AA26" i="5" s="1"/>
  <c r="K25" i="5"/>
  <c r="AA25" i="5" s="1"/>
  <c r="K24" i="5"/>
  <c r="AA24" i="5" s="1"/>
  <c r="K23" i="5"/>
  <c r="AA23" i="5" s="1"/>
  <c r="K22" i="5"/>
  <c r="AA22" i="5" s="1"/>
  <c r="K21" i="5"/>
  <c r="AA21" i="5" s="1"/>
  <c r="K19" i="5"/>
  <c r="AA19" i="5" s="1"/>
  <c r="K18" i="5"/>
  <c r="AA18" i="5" s="1"/>
  <c r="K16" i="5"/>
  <c r="AA16" i="5" s="1"/>
  <c r="K15" i="5"/>
  <c r="AA15" i="5" s="1"/>
  <c r="K13" i="5"/>
  <c r="AA13" i="5" s="1"/>
  <c r="K12" i="5"/>
  <c r="AA12" i="5" s="1"/>
  <c r="K10" i="5"/>
  <c r="AA10" i="5" s="1"/>
  <c r="K9" i="5"/>
  <c r="K8" i="5"/>
  <c r="P74" i="2"/>
  <c r="P70" i="2"/>
  <c r="P69" i="2"/>
  <c r="P67" i="2"/>
  <c r="P66" i="2"/>
  <c r="P64" i="2"/>
  <c r="P63" i="2"/>
  <c r="P60" i="2"/>
  <c r="P59" i="2"/>
  <c r="P58" i="2"/>
  <c r="P57" i="2"/>
  <c r="P55" i="2"/>
  <c r="P52" i="2"/>
  <c r="P51" i="2"/>
  <c r="P49" i="2"/>
  <c r="P47" i="2"/>
  <c r="P45" i="2"/>
  <c r="P43" i="2"/>
  <c r="L74" i="2"/>
  <c r="L70" i="2"/>
  <c r="L69" i="2"/>
  <c r="L67" i="2"/>
  <c r="L66" i="2"/>
  <c r="L64" i="2"/>
  <c r="L63" i="2"/>
  <c r="L60" i="2"/>
  <c r="L59" i="2"/>
  <c r="L58" i="2"/>
  <c r="L57" i="2"/>
  <c r="L55" i="2"/>
  <c r="L52" i="2"/>
  <c r="L51" i="2"/>
  <c r="L49" i="2"/>
  <c r="L47" i="2"/>
  <c r="L45" i="2"/>
  <c r="L43" i="2"/>
  <c r="I212" i="2"/>
  <c r="I196" i="2"/>
  <c r="I187" i="2"/>
  <c r="E74" i="2"/>
  <c r="E70" i="2"/>
  <c r="E69" i="2"/>
  <c r="E67" i="2"/>
  <c r="E66" i="2"/>
  <c r="E64" i="2"/>
  <c r="E63" i="2"/>
  <c r="E60" i="2"/>
  <c r="E59" i="2"/>
  <c r="E58" i="2"/>
  <c r="E57" i="2"/>
  <c r="E55" i="2"/>
  <c r="E52" i="2"/>
  <c r="E51" i="2"/>
  <c r="E49" i="2"/>
  <c r="E47" i="2"/>
  <c r="E45" i="2"/>
  <c r="E43" i="2"/>
  <c r="I76" i="2" l="1"/>
  <c r="E51" i="5"/>
  <c r="U51" i="5" s="1"/>
  <c r="E50" i="5"/>
  <c r="U50" i="5" s="1"/>
  <c r="E48" i="5"/>
  <c r="U48" i="5" s="1"/>
  <c r="E47" i="5"/>
  <c r="U47" i="5" s="1"/>
  <c r="E45" i="5"/>
  <c r="U45" i="5" s="1"/>
  <c r="E44" i="5"/>
  <c r="U44" i="5" s="1"/>
  <c r="E43" i="5"/>
  <c r="U43" i="5" s="1"/>
  <c r="E42" i="5"/>
  <c r="U42" i="5" s="1"/>
  <c r="E41" i="5"/>
  <c r="U41" i="5" s="1"/>
  <c r="E40" i="5"/>
  <c r="U40" i="5" s="1"/>
  <c r="E39" i="5"/>
  <c r="U39" i="5" s="1"/>
  <c r="E38" i="5"/>
  <c r="U38" i="5" s="1"/>
  <c r="E37" i="5"/>
  <c r="U37" i="5" s="1"/>
  <c r="E35" i="5"/>
  <c r="U35" i="5" s="1"/>
  <c r="E34" i="5"/>
  <c r="U34" i="5" s="1"/>
  <c r="E32" i="5"/>
  <c r="U32" i="5" s="1"/>
  <c r="E31" i="5"/>
  <c r="U31" i="5" s="1"/>
  <c r="E29" i="5"/>
  <c r="U29" i="5" s="1"/>
  <c r="E28" i="5"/>
  <c r="U28" i="5" s="1"/>
  <c r="E26" i="5"/>
  <c r="U26" i="5" s="1"/>
  <c r="E25" i="5"/>
  <c r="U25" i="5" s="1"/>
  <c r="E24" i="5"/>
  <c r="U24" i="5" s="1"/>
  <c r="E23" i="5"/>
  <c r="U23" i="5" s="1"/>
  <c r="E22" i="5"/>
  <c r="U22" i="5" s="1"/>
  <c r="E21" i="5"/>
  <c r="U21" i="5" s="1"/>
  <c r="E19" i="5"/>
  <c r="U19" i="5" s="1"/>
  <c r="E18" i="5"/>
  <c r="U18" i="5" s="1"/>
  <c r="E16" i="5"/>
  <c r="U16" i="5" s="1"/>
  <c r="E15" i="5"/>
  <c r="U15" i="5" s="1"/>
  <c r="E13" i="5"/>
  <c r="U13" i="5" s="1"/>
  <c r="E12" i="5"/>
  <c r="U12" i="5" s="1"/>
  <c r="E10" i="5"/>
  <c r="U10" i="5" s="1"/>
  <c r="E9" i="5"/>
  <c r="U9" i="5" s="1"/>
  <c r="E8" i="5"/>
  <c r="U8" i="5" s="1"/>
  <c r="I206" i="2"/>
  <c r="P38" i="2"/>
  <c r="P35" i="2"/>
  <c r="P34" i="2"/>
  <c r="P33" i="2"/>
  <c r="P31" i="2"/>
  <c r="P28" i="2"/>
  <c r="P27" i="2"/>
  <c r="P24" i="2"/>
  <c r="P22" i="2"/>
  <c r="P21" i="2"/>
  <c r="P19" i="2"/>
  <c r="P18" i="2"/>
  <c r="P17" i="2"/>
  <c r="P12" i="2"/>
  <c r="L38" i="2"/>
  <c r="L35" i="2"/>
  <c r="L34" i="2"/>
  <c r="L33" i="2"/>
  <c r="L31" i="2"/>
  <c r="L28" i="2"/>
  <c r="L27" i="2"/>
  <c r="L24" i="2"/>
  <c r="L22" i="2"/>
  <c r="L21" i="2"/>
  <c r="L19" i="2"/>
  <c r="L18" i="2"/>
  <c r="L17" i="2"/>
  <c r="L12" i="2"/>
  <c r="I38" i="2"/>
  <c r="I35" i="2"/>
  <c r="I34" i="2"/>
  <c r="I33" i="2"/>
  <c r="I31" i="2"/>
  <c r="I28" i="2"/>
  <c r="I27" i="2"/>
  <c r="I24" i="2"/>
  <c r="I22" i="2"/>
  <c r="I21" i="2"/>
  <c r="I19" i="2"/>
  <c r="I18" i="2"/>
  <c r="I17" i="2"/>
  <c r="I12" i="2"/>
  <c r="E38" i="2"/>
  <c r="E35" i="2"/>
  <c r="E34" i="2"/>
  <c r="E33" i="2"/>
  <c r="E31" i="2"/>
  <c r="E28" i="2"/>
  <c r="E27" i="2"/>
  <c r="E24" i="2"/>
  <c r="E22" i="2"/>
  <c r="E21" i="2"/>
  <c r="E19" i="2"/>
  <c r="E18" i="2"/>
  <c r="E17" i="2"/>
  <c r="E12" i="2"/>
  <c r="I40" i="2" l="1"/>
  <c r="I200" i="2" s="1"/>
  <c r="I208" i="2"/>
  <c r="I214" i="2" s="1"/>
  <c r="Q129" i="2" l="1"/>
  <c r="N129" i="2"/>
  <c r="M129" i="2"/>
  <c r="G129" i="2"/>
  <c r="F129" i="2"/>
  <c r="M7" i="5" l="1"/>
  <c r="M8" i="5"/>
  <c r="M9" i="5"/>
  <c r="M10" i="5"/>
  <c r="R53" i="11"/>
  <c r="L52" i="11"/>
  <c r="K52" i="11"/>
  <c r="J52" i="11"/>
  <c r="I52" i="11"/>
  <c r="H52" i="11"/>
  <c r="G52" i="11"/>
  <c r="R52" i="11" s="1"/>
  <c r="F52" i="11"/>
  <c r="E52" i="11"/>
  <c r="D52" i="11"/>
  <c r="C52" i="11"/>
  <c r="R51" i="11"/>
  <c r="M51" i="11"/>
  <c r="R50" i="11"/>
  <c r="M50" i="11"/>
  <c r="L49" i="11"/>
  <c r="K49" i="11"/>
  <c r="J49" i="11"/>
  <c r="I49" i="11"/>
  <c r="H49" i="11"/>
  <c r="G49" i="11"/>
  <c r="R49" i="11" s="1"/>
  <c r="F49" i="11"/>
  <c r="E49" i="11"/>
  <c r="D49" i="11"/>
  <c r="C49" i="11"/>
  <c r="R48" i="11"/>
  <c r="M48" i="11"/>
  <c r="R47" i="11"/>
  <c r="M47" i="11"/>
  <c r="L46" i="11"/>
  <c r="K46" i="11"/>
  <c r="J46" i="11"/>
  <c r="I46" i="11"/>
  <c r="H46" i="11"/>
  <c r="G46" i="11"/>
  <c r="R46" i="11" s="1"/>
  <c r="F46" i="11"/>
  <c r="E46" i="11"/>
  <c r="D46" i="11"/>
  <c r="C46" i="11"/>
  <c r="R45" i="11"/>
  <c r="M45" i="11"/>
  <c r="R44" i="11"/>
  <c r="M44" i="11"/>
  <c r="M46" i="11" s="1"/>
  <c r="N46" i="11" s="1"/>
  <c r="R43" i="11"/>
  <c r="M43" i="11"/>
  <c r="L42" i="11"/>
  <c r="R41" i="11"/>
  <c r="L41" i="11"/>
  <c r="L40" i="11"/>
  <c r="R39" i="11"/>
  <c r="O39" i="11"/>
  <c r="M39" i="11"/>
  <c r="N39" i="11" s="1"/>
  <c r="L39" i="11"/>
  <c r="AB39" i="5" s="1"/>
  <c r="R38" i="11"/>
  <c r="L38" i="11"/>
  <c r="R37" i="11"/>
  <c r="L37" i="11"/>
  <c r="K36" i="11"/>
  <c r="J36" i="11"/>
  <c r="I36" i="11"/>
  <c r="H36" i="11"/>
  <c r="G36" i="11"/>
  <c r="R36" i="11" s="1"/>
  <c r="F36" i="11"/>
  <c r="E36" i="11"/>
  <c r="D36" i="11"/>
  <c r="C36" i="11"/>
  <c r="R35" i="11"/>
  <c r="L35" i="11"/>
  <c r="R34" i="11"/>
  <c r="M34" i="11"/>
  <c r="N34" i="11" s="1"/>
  <c r="L34" i="11"/>
  <c r="AB34" i="5" s="1"/>
  <c r="L33" i="11"/>
  <c r="K33" i="11"/>
  <c r="J33" i="11"/>
  <c r="I33" i="11"/>
  <c r="H33" i="11"/>
  <c r="G33" i="11"/>
  <c r="R33" i="11" s="1"/>
  <c r="F33" i="11"/>
  <c r="E33" i="11"/>
  <c r="D33" i="11"/>
  <c r="C33" i="11"/>
  <c r="R32" i="11"/>
  <c r="M32" i="11"/>
  <c r="R31" i="11"/>
  <c r="M31" i="11"/>
  <c r="L30" i="11"/>
  <c r="K30" i="11"/>
  <c r="J30" i="11"/>
  <c r="I30" i="11"/>
  <c r="H30" i="11"/>
  <c r="G30" i="11"/>
  <c r="R30" i="11" s="1"/>
  <c r="F30" i="11"/>
  <c r="E30" i="11"/>
  <c r="D30" i="11"/>
  <c r="C30" i="11"/>
  <c r="R29" i="11"/>
  <c r="M29" i="11"/>
  <c r="R28" i="11"/>
  <c r="M28" i="11"/>
  <c r="N28" i="11" s="1"/>
  <c r="K27" i="11"/>
  <c r="J27" i="11"/>
  <c r="I27" i="11"/>
  <c r="H27" i="11"/>
  <c r="G27" i="11"/>
  <c r="R27" i="11" s="1"/>
  <c r="F27" i="11"/>
  <c r="E27" i="11"/>
  <c r="D27" i="11"/>
  <c r="C27" i="11"/>
  <c r="R26" i="11"/>
  <c r="L26" i="11"/>
  <c r="R25" i="11"/>
  <c r="L25" i="11"/>
  <c r="R24" i="11"/>
  <c r="M24" i="11"/>
  <c r="N24" i="11" s="1"/>
  <c r="R23" i="11"/>
  <c r="M23" i="11"/>
  <c r="R22" i="11"/>
  <c r="M22" i="11"/>
  <c r="R21" i="11"/>
  <c r="M21" i="11"/>
  <c r="L20" i="11"/>
  <c r="K20" i="11"/>
  <c r="J20" i="11"/>
  <c r="I20" i="11"/>
  <c r="H20" i="11"/>
  <c r="G20" i="11"/>
  <c r="R20" i="11" s="1"/>
  <c r="F20" i="11"/>
  <c r="E20" i="11"/>
  <c r="D20" i="11"/>
  <c r="C20" i="11"/>
  <c r="R19" i="11"/>
  <c r="M19" i="11"/>
  <c r="R18" i="11"/>
  <c r="M18" i="11"/>
  <c r="M20" i="11" s="1"/>
  <c r="N20" i="11" s="1"/>
  <c r="K17" i="11"/>
  <c r="J17" i="11"/>
  <c r="I17" i="11"/>
  <c r="H17" i="11"/>
  <c r="G17" i="11"/>
  <c r="R17" i="11" s="1"/>
  <c r="F17" i="11"/>
  <c r="E17" i="11"/>
  <c r="D17" i="11"/>
  <c r="C17" i="11"/>
  <c r="R16" i="11"/>
  <c r="P16" i="11"/>
  <c r="M16" i="11"/>
  <c r="L16" i="11"/>
  <c r="AB16" i="5" s="1"/>
  <c r="R15" i="11"/>
  <c r="L15" i="11"/>
  <c r="L14" i="11"/>
  <c r="O14" i="11" s="1"/>
  <c r="K14" i="11"/>
  <c r="J14" i="11"/>
  <c r="I14" i="11"/>
  <c r="H14" i="11"/>
  <c r="G14" i="11"/>
  <c r="R14" i="11" s="1"/>
  <c r="F14" i="11"/>
  <c r="E14" i="11"/>
  <c r="D14" i="11"/>
  <c r="C14" i="11"/>
  <c r="R13" i="11"/>
  <c r="M13" i="11"/>
  <c r="R12" i="11"/>
  <c r="Q12" i="11"/>
  <c r="M12" i="11"/>
  <c r="L11" i="11"/>
  <c r="O11" i="11" s="1"/>
  <c r="J11" i="11"/>
  <c r="I11" i="11"/>
  <c r="H11" i="11"/>
  <c r="G11" i="11"/>
  <c r="R11" i="11" s="1"/>
  <c r="F11" i="11"/>
  <c r="E11" i="11"/>
  <c r="D11" i="11"/>
  <c r="C11" i="11"/>
  <c r="R10" i="11"/>
  <c r="M10" i="11"/>
  <c r="R9" i="11"/>
  <c r="Q9" i="11"/>
  <c r="K9" i="11"/>
  <c r="R8" i="11"/>
  <c r="K8" i="11"/>
  <c r="AA8" i="5" s="1"/>
  <c r="P7" i="11"/>
  <c r="G7" i="11"/>
  <c r="P6" i="11"/>
  <c r="L204" i="2"/>
  <c r="C6" i="11" s="1"/>
  <c r="M9" i="11" l="1"/>
  <c r="AA9" i="5"/>
  <c r="M26" i="11"/>
  <c r="AB26" i="5"/>
  <c r="M42" i="11"/>
  <c r="AB42" i="5"/>
  <c r="L27" i="11"/>
  <c r="AB25" i="5"/>
  <c r="M35" i="11"/>
  <c r="AB35" i="5"/>
  <c r="M41" i="11"/>
  <c r="AB41" i="5"/>
  <c r="AC10" i="5"/>
  <c r="M7" i="11"/>
  <c r="AC7" i="5" s="1"/>
  <c r="W7" i="5"/>
  <c r="M38" i="11"/>
  <c r="AB38" i="5"/>
  <c r="M49" i="11"/>
  <c r="AC9" i="5"/>
  <c r="AC8" i="5"/>
  <c r="R7" i="11"/>
  <c r="M15" i="11"/>
  <c r="M17" i="11" s="1"/>
  <c r="AB15" i="5"/>
  <c r="M37" i="11"/>
  <c r="AB37" i="5"/>
  <c r="M40" i="11"/>
  <c r="AB40" i="5"/>
  <c r="K11" i="11"/>
  <c r="N18" i="11"/>
  <c r="M8" i="11"/>
  <c r="M11" i="11" s="1"/>
  <c r="O24" i="11"/>
  <c r="M33" i="11"/>
  <c r="N33" i="11" s="1"/>
  <c r="L36" i="11"/>
  <c r="M52" i="11"/>
  <c r="O41" i="11"/>
  <c r="N41" i="11"/>
  <c r="M14" i="11"/>
  <c r="N14" i="11" s="1"/>
  <c r="L17" i="11"/>
  <c r="O18" i="11"/>
  <c r="M25" i="11"/>
  <c r="M30" i="11"/>
  <c r="N30" i="11" s="1"/>
  <c r="M36" i="11"/>
  <c r="N36" i="11" s="1"/>
  <c r="N8" i="11" l="1"/>
  <c r="O25" i="11"/>
  <c r="M27" i="11"/>
  <c r="N25" i="11"/>
  <c r="N12" i="11"/>
  <c r="O39" i="5"/>
  <c r="N27" i="11" l="1"/>
  <c r="O27" i="11"/>
  <c r="P16" i="5"/>
  <c r="Q9" i="5"/>
  <c r="Q12" i="5" s="1"/>
  <c r="P7" i="5"/>
  <c r="P6" i="5"/>
  <c r="T99" i="2"/>
  <c r="H213" i="2" l="1"/>
  <c r="H212" i="2"/>
  <c r="H211" i="2"/>
  <c r="H210" i="2"/>
  <c r="H208" i="2"/>
  <c r="H207" i="2"/>
  <c r="H206" i="2"/>
  <c r="H205" i="2"/>
  <c r="H7" i="2"/>
  <c r="H218" i="2" s="1"/>
  <c r="H40" i="2"/>
  <c r="H219" i="2" s="1"/>
  <c r="H76" i="2"/>
  <c r="H182" i="2"/>
  <c r="H224" i="2" s="1"/>
  <c r="H198" i="2"/>
  <c r="H225" i="2" s="1"/>
  <c r="H153" i="2"/>
  <c r="H222" i="2" s="1"/>
  <c r="H220" i="2" l="1"/>
  <c r="F14" i="5"/>
  <c r="V14" i="5" s="1"/>
  <c r="I33" i="5"/>
  <c r="Y33" i="5" s="1"/>
  <c r="I30" i="5"/>
  <c r="Y30" i="5" s="1"/>
  <c r="I27" i="5"/>
  <c r="Y27" i="5" s="1"/>
  <c r="L52" i="5"/>
  <c r="AB52" i="5" s="1"/>
  <c r="K52" i="5"/>
  <c r="AA52" i="5" s="1"/>
  <c r="J52" i="5"/>
  <c r="Z52" i="5" s="1"/>
  <c r="I52" i="5"/>
  <c r="Y52" i="5" s="1"/>
  <c r="H52" i="5"/>
  <c r="X52" i="5" s="1"/>
  <c r="G52" i="5"/>
  <c r="W52" i="5" s="1"/>
  <c r="F52" i="5"/>
  <c r="V52" i="5" s="1"/>
  <c r="E52" i="5"/>
  <c r="U52" i="5" s="1"/>
  <c r="D52" i="5"/>
  <c r="T52" i="5" s="1"/>
  <c r="C52" i="5"/>
  <c r="S52" i="5" s="1"/>
  <c r="L49" i="5"/>
  <c r="AB49" i="5" s="1"/>
  <c r="K49" i="5"/>
  <c r="AA49" i="5" s="1"/>
  <c r="J49" i="5"/>
  <c r="Z49" i="5" s="1"/>
  <c r="I49" i="5"/>
  <c r="Y49" i="5" s="1"/>
  <c r="H49" i="5"/>
  <c r="X49" i="5" s="1"/>
  <c r="G49" i="5"/>
  <c r="W49" i="5" s="1"/>
  <c r="F49" i="5"/>
  <c r="V49" i="5" s="1"/>
  <c r="E49" i="5"/>
  <c r="U49" i="5" s="1"/>
  <c r="D49" i="5"/>
  <c r="T49" i="5" s="1"/>
  <c r="L46" i="5"/>
  <c r="AB46" i="5" s="1"/>
  <c r="K46" i="5"/>
  <c r="AA46" i="5" s="1"/>
  <c r="J46" i="5"/>
  <c r="Z46" i="5" s="1"/>
  <c r="I46" i="5"/>
  <c r="Y46" i="5" s="1"/>
  <c r="H46" i="5"/>
  <c r="X46" i="5" s="1"/>
  <c r="G46" i="5"/>
  <c r="W46" i="5" s="1"/>
  <c r="F46" i="5"/>
  <c r="V46" i="5" s="1"/>
  <c r="E46" i="5"/>
  <c r="U46" i="5" s="1"/>
  <c r="D46" i="5"/>
  <c r="T46" i="5" s="1"/>
  <c r="C46" i="5"/>
  <c r="S46" i="5" s="1"/>
  <c r="L36" i="5"/>
  <c r="AB36" i="5" s="1"/>
  <c r="K36" i="5"/>
  <c r="AA36" i="5" s="1"/>
  <c r="J36" i="5"/>
  <c r="Z36" i="5" s="1"/>
  <c r="I36" i="5"/>
  <c r="Y36" i="5" s="1"/>
  <c r="H36" i="5"/>
  <c r="X36" i="5" s="1"/>
  <c r="G36" i="5"/>
  <c r="W36" i="5" s="1"/>
  <c r="F36" i="5"/>
  <c r="V36" i="5" s="1"/>
  <c r="E36" i="5"/>
  <c r="U36" i="5" s="1"/>
  <c r="D36" i="5"/>
  <c r="T36" i="5" s="1"/>
  <c r="L33" i="5"/>
  <c r="AB33" i="5" s="1"/>
  <c r="K33" i="5"/>
  <c r="AA33" i="5" s="1"/>
  <c r="J33" i="5"/>
  <c r="Z33" i="5" s="1"/>
  <c r="H33" i="5"/>
  <c r="X33" i="5" s="1"/>
  <c r="G33" i="5"/>
  <c r="W33" i="5" s="1"/>
  <c r="F33" i="5"/>
  <c r="V33" i="5" s="1"/>
  <c r="E33" i="5"/>
  <c r="U33" i="5" s="1"/>
  <c r="D33" i="5"/>
  <c r="T33" i="5" s="1"/>
  <c r="L30" i="5"/>
  <c r="AB30" i="5" s="1"/>
  <c r="K30" i="5"/>
  <c r="AA30" i="5" s="1"/>
  <c r="J30" i="5"/>
  <c r="Z30" i="5" s="1"/>
  <c r="H30" i="5"/>
  <c r="X30" i="5" s="1"/>
  <c r="G30" i="5"/>
  <c r="W30" i="5" s="1"/>
  <c r="F30" i="5"/>
  <c r="V30" i="5" s="1"/>
  <c r="E30" i="5"/>
  <c r="U30" i="5" s="1"/>
  <c r="D30" i="5"/>
  <c r="T30" i="5" s="1"/>
  <c r="L27" i="5"/>
  <c r="AB27" i="5" s="1"/>
  <c r="K27" i="5"/>
  <c r="AA27" i="5" s="1"/>
  <c r="J27" i="5"/>
  <c r="Z27" i="5" s="1"/>
  <c r="H27" i="5"/>
  <c r="X27" i="5" s="1"/>
  <c r="G27" i="5"/>
  <c r="W27" i="5" s="1"/>
  <c r="F27" i="5"/>
  <c r="V27" i="5" s="1"/>
  <c r="E27" i="5"/>
  <c r="U27" i="5" s="1"/>
  <c r="D27" i="5"/>
  <c r="T27" i="5" s="1"/>
  <c r="L20" i="5"/>
  <c r="AB20" i="5" s="1"/>
  <c r="K20" i="5"/>
  <c r="AA20" i="5" s="1"/>
  <c r="J20" i="5"/>
  <c r="Z20" i="5" s="1"/>
  <c r="H20" i="5"/>
  <c r="X20" i="5" s="1"/>
  <c r="G20" i="5"/>
  <c r="W20" i="5" s="1"/>
  <c r="F20" i="5"/>
  <c r="V20" i="5" s="1"/>
  <c r="E20" i="5"/>
  <c r="U20" i="5" s="1"/>
  <c r="D20" i="5"/>
  <c r="T20" i="5" s="1"/>
  <c r="C17" i="5"/>
  <c r="S17" i="5" s="1"/>
  <c r="L17" i="5"/>
  <c r="AB17" i="5" s="1"/>
  <c r="K17" i="5"/>
  <c r="AA17" i="5" s="1"/>
  <c r="J17" i="5"/>
  <c r="Z17" i="5" s="1"/>
  <c r="I17" i="5"/>
  <c r="Y17" i="5" s="1"/>
  <c r="H17" i="5"/>
  <c r="X17" i="5" s="1"/>
  <c r="G17" i="5"/>
  <c r="W17" i="5" s="1"/>
  <c r="F17" i="5"/>
  <c r="V17" i="5" s="1"/>
  <c r="E17" i="5"/>
  <c r="U17" i="5" s="1"/>
  <c r="D17" i="5"/>
  <c r="T17" i="5" s="1"/>
  <c r="L14" i="5"/>
  <c r="K14" i="5"/>
  <c r="AA14" i="5" s="1"/>
  <c r="J14" i="5"/>
  <c r="Z14" i="5" s="1"/>
  <c r="I14" i="5"/>
  <c r="Y14" i="5" s="1"/>
  <c r="H14" i="5"/>
  <c r="X14" i="5" s="1"/>
  <c r="G14" i="5"/>
  <c r="W14" i="5" s="1"/>
  <c r="E14" i="5"/>
  <c r="U14" i="5" s="1"/>
  <c r="D14" i="5"/>
  <c r="T14" i="5" s="1"/>
  <c r="L11" i="5"/>
  <c r="K11" i="5"/>
  <c r="AA11" i="5" s="1"/>
  <c r="J11" i="5"/>
  <c r="Z11" i="5" s="1"/>
  <c r="I11" i="5"/>
  <c r="Y11" i="5" s="1"/>
  <c r="H11" i="5"/>
  <c r="X11" i="5" s="1"/>
  <c r="G11" i="5"/>
  <c r="W11" i="5" s="1"/>
  <c r="F11" i="5"/>
  <c r="V11" i="5" s="1"/>
  <c r="E11" i="5"/>
  <c r="U11" i="5" s="1"/>
  <c r="D11" i="5"/>
  <c r="T11" i="5" s="1"/>
  <c r="C11" i="5"/>
  <c r="S11" i="5" s="1"/>
  <c r="O11" i="5" l="1"/>
  <c r="AB11" i="5"/>
  <c r="O14" i="5"/>
  <c r="AB14" i="5"/>
  <c r="F31" i="2"/>
  <c r="H102" i="2" l="1"/>
  <c r="H221" i="2" l="1"/>
  <c r="Q169" i="2"/>
  <c r="Q168" i="2"/>
  <c r="Q164" i="2"/>
  <c r="Q161" i="2"/>
  <c r="Q160" i="2"/>
  <c r="Q157" i="2"/>
  <c r="Q131" i="2"/>
  <c r="Q130" i="2"/>
  <c r="Q126" i="2"/>
  <c r="Q125" i="2"/>
  <c r="Q122" i="2"/>
  <c r="Q121" i="2"/>
  <c r="Q118" i="2"/>
  <c r="Q117" i="2"/>
  <c r="Q114" i="2"/>
  <c r="O209" i="2"/>
  <c r="Q110" i="2"/>
  <c r="O153" i="2"/>
  <c r="O222" i="2" s="1"/>
  <c r="Q106" i="2"/>
  <c r="Q98" i="2"/>
  <c r="Q95" i="2"/>
  <c r="O210" i="2"/>
  <c r="Q90" i="2"/>
  <c r="Q87" i="2"/>
  <c r="Q86" i="2"/>
  <c r="O211" i="2"/>
  <c r="O102" i="2"/>
  <c r="O221" i="2" s="1"/>
  <c r="Q72" i="2"/>
  <c r="Q68" i="2"/>
  <c r="Q64" i="2"/>
  <c r="Q60" i="2"/>
  <c r="Q57" i="2"/>
  <c r="Q56" i="2"/>
  <c r="Q52" i="2"/>
  <c r="Q48" i="2"/>
  <c r="O206" i="2"/>
  <c r="Q19" i="2"/>
  <c r="Q20" i="2"/>
  <c r="Q27" i="2"/>
  <c r="Q32" i="2"/>
  <c r="Q35" i="2"/>
  <c r="Q24" i="2"/>
  <c r="M169" i="2"/>
  <c r="M162" i="2"/>
  <c r="M161" i="2"/>
  <c r="K172" i="2"/>
  <c r="K223" i="2" s="1"/>
  <c r="M150" i="2"/>
  <c r="M145" i="2"/>
  <c r="M141" i="2"/>
  <c r="M138" i="2"/>
  <c r="M137" i="2"/>
  <c r="M130" i="2"/>
  <c r="M128" i="2"/>
  <c r="M124" i="2"/>
  <c r="M121" i="2"/>
  <c r="M120" i="2"/>
  <c r="M117" i="2"/>
  <c r="K209" i="2"/>
  <c r="M112" i="2"/>
  <c r="M109" i="2"/>
  <c r="K153" i="2"/>
  <c r="K222" i="2" s="1"/>
  <c r="M98" i="2"/>
  <c r="M94" i="2"/>
  <c r="M90" i="2"/>
  <c r="M87" i="2"/>
  <c r="M86" i="2"/>
  <c r="K211" i="2"/>
  <c r="M73" i="2"/>
  <c r="M69" i="2"/>
  <c r="M58" i="2"/>
  <c r="M49" i="2"/>
  <c r="M46" i="2"/>
  <c r="K212" i="2"/>
  <c r="M68" i="2"/>
  <c r="M64" i="2"/>
  <c r="K207" i="2"/>
  <c r="M48" i="2"/>
  <c r="M32" i="2"/>
  <c r="M20" i="2"/>
  <c r="F164" i="2"/>
  <c r="D208" i="2"/>
  <c r="F150" i="2"/>
  <c r="F149" i="2"/>
  <c r="F145" i="2"/>
  <c r="F134" i="2"/>
  <c r="F133" i="2"/>
  <c r="F130" i="2"/>
  <c r="F128" i="2"/>
  <c r="F125" i="2"/>
  <c r="F124" i="2"/>
  <c r="F121" i="2"/>
  <c r="F120" i="2"/>
  <c r="F116" i="2"/>
  <c r="F112" i="2"/>
  <c r="F101" i="2"/>
  <c r="F96" i="2"/>
  <c r="F93" i="2"/>
  <c r="F91" i="2"/>
  <c r="F88" i="2"/>
  <c r="F87" i="2"/>
  <c r="F83" i="2"/>
  <c r="F80" i="2"/>
  <c r="F81" i="2"/>
  <c r="F92" i="2"/>
  <c r="F97" i="2"/>
  <c r="F99" i="2"/>
  <c r="D210" i="2"/>
  <c r="F86" i="2"/>
  <c r="F51" i="2"/>
  <c r="F59" i="2"/>
  <c r="F62" i="2"/>
  <c r="F67" i="2"/>
  <c r="D207" i="2"/>
  <c r="F74" i="2"/>
  <c r="G45" i="2"/>
  <c r="G51" i="2"/>
  <c r="F52" i="2"/>
  <c r="G58" i="2"/>
  <c r="G63" i="2"/>
  <c r="G70" i="2"/>
  <c r="F90" i="2"/>
  <c r="F98" i="2"/>
  <c r="F95" i="2"/>
  <c r="F69" i="2"/>
  <c r="F65" i="2"/>
  <c r="F57" i="2"/>
  <c r="F49" i="2"/>
  <c r="F46" i="2"/>
  <c r="F43" i="2"/>
  <c r="F73" i="2"/>
  <c r="E7" i="2"/>
  <c r="E218" i="2" s="1"/>
  <c r="D7" i="2"/>
  <c r="D218" i="2" s="1"/>
  <c r="F32" i="2"/>
  <c r="F28" i="2"/>
  <c r="F24" i="2"/>
  <c r="F20" i="2"/>
  <c r="F12" i="2"/>
  <c r="C153" i="2"/>
  <c r="C222" i="2" s="1"/>
  <c r="J153" i="2"/>
  <c r="J222" i="2" s="1"/>
  <c r="E153" i="2"/>
  <c r="M43" i="5"/>
  <c r="AC43" i="5" s="1"/>
  <c r="M39" i="5"/>
  <c r="M38" i="5"/>
  <c r="AC38" i="5" s="1"/>
  <c r="C36" i="5"/>
  <c r="S36" i="5" s="1"/>
  <c r="M23" i="5"/>
  <c r="AC23" i="5" s="1"/>
  <c r="Q165" i="2"/>
  <c r="N167" i="2"/>
  <c r="N165" i="2"/>
  <c r="N159" i="2"/>
  <c r="N157" i="2"/>
  <c r="Q187" i="2"/>
  <c r="Q59" i="2"/>
  <c r="Q55" i="2"/>
  <c r="L198" i="2"/>
  <c r="L225" i="2" s="1"/>
  <c r="M67" i="2"/>
  <c r="N60" i="2"/>
  <c r="N55" i="2"/>
  <c r="M47" i="2"/>
  <c r="P76" i="2"/>
  <c r="Q101" i="2"/>
  <c r="N101" i="2"/>
  <c r="M101" i="2"/>
  <c r="G99" i="2"/>
  <c r="Q105" i="2"/>
  <c r="P207" i="2"/>
  <c r="G105" i="2"/>
  <c r="Q34" i="2"/>
  <c r="Q28" i="2"/>
  <c r="Q21" i="2"/>
  <c r="M38" i="2"/>
  <c r="M35" i="2"/>
  <c r="N35" i="2"/>
  <c r="N34" i="2"/>
  <c r="M33" i="2"/>
  <c r="N27" i="2"/>
  <c r="M24" i="2"/>
  <c r="M21" i="2"/>
  <c r="N19" i="2"/>
  <c r="M17" i="2"/>
  <c r="G35" i="2"/>
  <c r="F34" i="2"/>
  <c r="F19" i="2"/>
  <c r="E40" i="2"/>
  <c r="E219" i="2" s="1"/>
  <c r="Q96" i="2"/>
  <c r="Q91" i="2"/>
  <c r="Q88" i="2"/>
  <c r="M96" i="2"/>
  <c r="N95" i="2"/>
  <c r="N91" i="2"/>
  <c r="M88" i="2"/>
  <c r="N86" i="2"/>
  <c r="G95" i="2"/>
  <c r="G87" i="2"/>
  <c r="G10" i="2"/>
  <c r="G6" i="2"/>
  <c r="F6" i="2"/>
  <c r="F10" i="2"/>
  <c r="M6" i="2"/>
  <c r="M10" i="2"/>
  <c r="M15" i="2"/>
  <c r="M62" i="2"/>
  <c r="M65" i="2"/>
  <c r="D198" i="2"/>
  <c r="D225" i="2" s="1"/>
  <c r="G181" i="2"/>
  <c r="F180" i="2"/>
  <c r="G179" i="2"/>
  <c r="E182" i="2"/>
  <c r="G178" i="2"/>
  <c r="G177" i="2"/>
  <c r="D40" i="2"/>
  <c r="D219" i="2" s="1"/>
  <c r="Q181" i="2"/>
  <c r="Q180" i="2"/>
  <c r="Q179" i="2"/>
  <c r="Q178" i="2"/>
  <c r="Q177" i="2"/>
  <c r="P182" i="2"/>
  <c r="P224" i="2" s="1"/>
  <c r="Q175" i="2"/>
  <c r="N179" i="2"/>
  <c r="N178" i="2"/>
  <c r="M177" i="2"/>
  <c r="M175" i="2"/>
  <c r="R52" i="5"/>
  <c r="R46" i="5"/>
  <c r="P209" i="2"/>
  <c r="P204" i="2"/>
  <c r="L210" i="2"/>
  <c r="C6" i="5"/>
  <c r="S6" i="5" s="1"/>
  <c r="L208" i="2"/>
  <c r="G6" i="11" s="1"/>
  <c r="R6" i="11" s="1"/>
  <c r="E212" i="2"/>
  <c r="E210" i="2"/>
  <c r="E208" i="2"/>
  <c r="E206" i="2"/>
  <c r="G13" i="2"/>
  <c r="G14" i="2"/>
  <c r="G23" i="2"/>
  <c r="G25" i="2"/>
  <c r="G26" i="2"/>
  <c r="N26" i="2"/>
  <c r="L209" i="2"/>
  <c r="P208" i="2"/>
  <c r="P7" i="2"/>
  <c r="P218" i="2" s="1"/>
  <c r="L7" i="2"/>
  <c r="L218" i="2" s="1"/>
  <c r="E198" i="2"/>
  <c r="E225" i="2" s="1"/>
  <c r="C22" i="10" s="1"/>
  <c r="Q196" i="2"/>
  <c r="Q171" i="2"/>
  <c r="Q170" i="2"/>
  <c r="Q167" i="2"/>
  <c r="Q166" i="2"/>
  <c r="Q163" i="2"/>
  <c r="Q162" i="2"/>
  <c r="Q159" i="2"/>
  <c r="Q158" i="2"/>
  <c r="Q156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3" i="2"/>
  <c r="Q132" i="2"/>
  <c r="Q128" i="2"/>
  <c r="Q127" i="2"/>
  <c r="Q124" i="2"/>
  <c r="Q123" i="2"/>
  <c r="Q120" i="2"/>
  <c r="Q119" i="2"/>
  <c r="Q116" i="2"/>
  <c r="Q115" i="2"/>
  <c r="Q112" i="2"/>
  <c r="Q111" i="2"/>
  <c r="Q108" i="2"/>
  <c r="Q107" i="2"/>
  <c r="Q100" i="2"/>
  <c r="Q97" i="2"/>
  <c r="Q93" i="2"/>
  <c r="Q92" i="2"/>
  <c r="Q89" i="2"/>
  <c r="Q84" i="2"/>
  <c r="Q80" i="2"/>
  <c r="Q79" i="2"/>
  <c r="Q74" i="2"/>
  <c r="Q73" i="2"/>
  <c r="Q71" i="2"/>
  <c r="Q70" i="2"/>
  <c r="Q69" i="2"/>
  <c r="Q67" i="2"/>
  <c r="Q66" i="2"/>
  <c r="Q65" i="2"/>
  <c r="Q63" i="2"/>
  <c r="Q62" i="2"/>
  <c r="Q58" i="2"/>
  <c r="Q51" i="2"/>
  <c r="Q50" i="2"/>
  <c r="Q49" i="2"/>
  <c r="Q47" i="2"/>
  <c r="Q46" i="2"/>
  <c r="Q43" i="2"/>
  <c r="Q38" i="2"/>
  <c r="Q33" i="2"/>
  <c r="Q22" i="2"/>
  <c r="Q17" i="2"/>
  <c r="Q15" i="2"/>
  <c r="Q10" i="2"/>
  <c r="Q6" i="2"/>
  <c r="N196" i="2"/>
  <c r="M196" i="2"/>
  <c r="N187" i="2"/>
  <c r="M187" i="2"/>
  <c r="N171" i="2"/>
  <c r="M171" i="2"/>
  <c r="N170" i="2"/>
  <c r="M170" i="2"/>
  <c r="N169" i="2"/>
  <c r="N168" i="2"/>
  <c r="M168" i="2"/>
  <c r="M167" i="2"/>
  <c r="N166" i="2"/>
  <c r="M166" i="2"/>
  <c r="N164" i="2"/>
  <c r="M164" i="2"/>
  <c r="N163" i="2"/>
  <c r="M163" i="2"/>
  <c r="N162" i="2"/>
  <c r="N161" i="2"/>
  <c r="N160" i="2"/>
  <c r="M160" i="2"/>
  <c r="M159" i="2"/>
  <c r="N158" i="2"/>
  <c r="M158" i="2"/>
  <c r="N156" i="2"/>
  <c r="M156" i="2"/>
  <c r="N152" i="2"/>
  <c r="M152" i="2"/>
  <c r="N151" i="2"/>
  <c r="M151" i="2"/>
  <c r="N150" i="2"/>
  <c r="N149" i="2"/>
  <c r="N148" i="2"/>
  <c r="N147" i="2"/>
  <c r="M147" i="2"/>
  <c r="N146" i="2"/>
  <c r="N145" i="2"/>
  <c r="N144" i="2"/>
  <c r="N143" i="2"/>
  <c r="M143" i="2"/>
  <c r="N142" i="2"/>
  <c r="M142" i="2"/>
  <c r="N141" i="2"/>
  <c r="N140" i="2"/>
  <c r="M140" i="2"/>
  <c r="N139" i="2"/>
  <c r="M139" i="2"/>
  <c r="N138" i="2"/>
  <c r="N137" i="2"/>
  <c r="N136" i="2"/>
  <c r="N135" i="2"/>
  <c r="M135" i="2"/>
  <c r="N134" i="2"/>
  <c r="N133" i="2"/>
  <c r="N132" i="2"/>
  <c r="M132" i="2"/>
  <c r="N131" i="2"/>
  <c r="N130" i="2"/>
  <c r="N128" i="2"/>
  <c r="N127" i="2"/>
  <c r="N126" i="2"/>
  <c r="M126" i="2"/>
  <c r="N125" i="2"/>
  <c r="N124" i="2"/>
  <c r="N123" i="2"/>
  <c r="M123" i="2"/>
  <c r="N122" i="2"/>
  <c r="M122" i="2"/>
  <c r="N121" i="2"/>
  <c r="N120" i="2"/>
  <c r="N119" i="2"/>
  <c r="M119" i="2"/>
  <c r="N118" i="2"/>
  <c r="N117" i="2"/>
  <c r="N116" i="2"/>
  <c r="N115" i="2"/>
  <c r="N114" i="2"/>
  <c r="N113" i="2"/>
  <c r="M113" i="2"/>
  <c r="N112" i="2"/>
  <c r="M111" i="2"/>
  <c r="N110" i="2"/>
  <c r="M110" i="2"/>
  <c r="N109" i="2"/>
  <c r="N108" i="2"/>
  <c r="M108" i="2"/>
  <c r="N107" i="2"/>
  <c r="M107" i="2"/>
  <c r="N106" i="2"/>
  <c r="M106" i="2"/>
  <c r="N105" i="2"/>
  <c r="N100" i="2"/>
  <c r="M100" i="2"/>
  <c r="N99" i="2"/>
  <c r="N98" i="2"/>
  <c r="N97" i="2"/>
  <c r="M97" i="2"/>
  <c r="N96" i="2"/>
  <c r="N94" i="2"/>
  <c r="N93" i="2"/>
  <c r="M93" i="2"/>
  <c r="N92" i="2"/>
  <c r="M92" i="2"/>
  <c r="M91" i="2"/>
  <c r="N90" i="2"/>
  <c r="N89" i="2"/>
  <c r="M89" i="2"/>
  <c r="N87" i="2"/>
  <c r="N82" i="2"/>
  <c r="M82" i="2"/>
  <c r="N81" i="2"/>
  <c r="M81" i="2"/>
  <c r="N80" i="2"/>
  <c r="N79" i="2"/>
  <c r="M79" i="2"/>
  <c r="N73" i="2"/>
  <c r="N72" i="2"/>
  <c r="M72" i="2"/>
  <c r="N70" i="2"/>
  <c r="M70" i="2"/>
  <c r="N69" i="2"/>
  <c r="N68" i="2"/>
  <c r="N65" i="2"/>
  <c r="N64" i="2"/>
  <c r="N63" i="2"/>
  <c r="M63" i="2"/>
  <c r="N62" i="2"/>
  <c r="N58" i="2"/>
  <c r="N57" i="2"/>
  <c r="M57" i="2"/>
  <c r="M55" i="2"/>
  <c r="N52" i="2"/>
  <c r="N51" i="2"/>
  <c r="M51" i="2"/>
  <c r="N49" i="2"/>
  <c r="N48" i="2"/>
  <c r="N47" i="2"/>
  <c r="N46" i="2"/>
  <c r="N43" i="2"/>
  <c r="M43" i="2"/>
  <c r="N38" i="2"/>
  <c r="N33" i="2"/>
  <c r="N32" i="2"/>
  <c r="N24" i="2"/>
  <c r="N21" i="2"/>
  <c r="N20" i="2"/>
  <c r="N18" i="2"/>
  <c r="N17" i="2"/>
  <c r="N15" i="2"/>
  <c r="N10" i="2"/>
  <c r="N6" i="2"/>
  <c r="G197" i="2"/>
  <c r="G196" i="2"/>
  <c r="G195" i="2"/>
  <c r="G193" i="2"/>
  <c r="G189" i="2"/>
  <c r="G188" i="2"/>
  <c r="G187" i="2"/>
  <c r="G186" i="2"/>
  <c r="G185" i="2"/>
  <c r="G176" i="2"/>
  <c r="G171" i="2"/>
  <c r="G169" i="2"/>
  <c r="G166" i="2"/>
  <c r="G164" i="2"/>
  <c r="G162" i="2"/>
  <c r="G160" i="2"/>
  <c r="G158" i="2"/>
  <c r="G156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1" i="2"/>
  <c r="G100" i="2"/>
  <c r="G98" i="2"/>
  <c r="G97" i="2"/>
  <c r="G96" i="2"/>
  <c r="G94" i="2"/>
  <c r="G93" i="2"/>
  <c r="G92" i="2"/>
  <c r="G91" i="2"/>
  <c r="G90" i="2"/>
  <c r="G89" i="2"/>
  <c r="G88" i="2"/>
  <c r="G84" i="2"/>
  <c r="G83" i="2"/>
  <c r="G82" i="2"/>
  <c r="G81" i="2"/>
  <c r="G80" i="2"/>
  <c r="G79" i="2"/>
  <c r="G75" i="2"/>
  <c r="G74" i="2"/>
  <c r="G73" i="2"/>
  <c r="G72" i="2"/>
  <c r="G69" i="2"/>
  <c r="G68" i="2"/>
  <c r="G67" i="2"/>
  <c r="G66" i="2"/>
  <c r="G65" i="2"/>
  <c r="G64" i="2"/>
  <c r="G62" i="2"/>
  <c r="G61" i="2"/>
  <c r="G60" i="2"/>
  <c r="G59" i="2"/>
  <c r="G57" i="2"/>
  <c r="G56" i="2"/>
  <c r="G55" i="2"/>
  <c r="G54" i="2"/>
  <c r="G53" i="2"/>
  <c r="G52" i="2"/>
  <c r="G49" i="2"/>
  <c r="G48" i="2"/>
  <c r="G47" i="2"/>
  <c r="G46" i="2"/>
  <c r="G44" i="2"/>
  <c r="G43" i="2"/>
  <c r="G39" i="2"/>
  <c r="G38" i="2"/>
  <c r="G37" i="2"/>
  <c r="G36" i="2"/>
  <c r="G34" i="2"/>
  <c r="G33" i="2"/>
  <c r="G32" i="2"/>
  <c r="G31" i="2"/>
  <c r="G30" i="2"/>
  <c r="G29" i="2"/>
  <c r="G28" i="2"/>
  <c r="G24" i="2"/>
  <c r="G22" i="2"/>
  <c r="G21" i="2"/>
  <c r="G20" i="2"/>
  <c r="G19" i="2"/>
  <c r="G18" i="2"/>
  <c r="G17" i="2"/>
  <c r="G16" i="2"/>
  <c r="G15" i="2"/>
  <c r="G12" i="2"/>
  <c r="G11" i="2"/>
  <c r="F196" i="2"/>
  <c r="F187" i="2"/>
  <c r="F171" i="2"/>
  <c r="F169" i="2"/>
  <c r="F166" i="2"/>
  <c r="F162" i="2"/>
  <c r="F158" i="2"/>
  <c r="F152" i="2"/>
  <c r="F151" i="2"/>
  <c r="F148" i="2"/>
  <c r="F146" i="2"/>
  <c r="F144" i="2"/>
  <c r="F143" i="2"/>
  <c r="F141" i="2"/>
  <c r="F140" i="2"/>
  <c r="F139" i="2"/>
  <c r="F138" i="2"/>
  <c r="F137" i="2"/>
  <c r="F136" i="2"/>
  <c r="F132" i="2"/>
  <c r="F131" i="2"/>
  <c r="F127" i="2"/>
  <c r="F126" i="2"/>
  <c r="F123" i="2"/>
  <c r="F122" i="2"/>
  <c r="F119" i="2"/>
  <c r="F114" i="2"/>
  <c r="F110" i="2"/>
  <c r="F109" i="2"/>
  <c r="F107" i="2"/>
  <c r="F106" i="2"/>
  <c r="F84" i="2"/>
  <c r="F79" i="2"/>
  <c r="F72" i="2"/>
  <c r="F70" i="2"/>
  <c r="F68" i="2"/>
  <c r="F66" i="2"/>
  <c r="F64" i="2"/>
  <c r="F60" i="2"/>
  <c r="F56" i="2"/>
  <c r="F55" i="2"/>
  <c r="F48" i="2"/>
  <c r="F38" i="2"/>
  <c r="F35" i="2"/>
  <c r="F33" i="2"/>
  <c r="F22" i="2"/>
  <c r="F21" i="2"/>
  <c r="F18" i="2"/>
  <c r="F17" i="2"/>
  <c r="F15" i="2"/>
  <c r="A172" i="2"/>
  <c r="A223" i="2" s="1"/>
  <c r="C8" i="10" s="1"/>
  <c r="A222" i="2"/>
  <c r="C14" i="5"/>
  <c r="S14" i="5" s="1"/>
  <c r="R14" i="5"/>
  <c r="J172" i="2"/>
  <c r="C172" i="2"/>
  <c r="C223" i="2" s="1"/>
  <c r="B20" i="10" s="1"/>
  <c r="M149" i="2"/>
  <c r="M148" i="2"/>
  <c r="M146" i="2"/>
  <c r="M144" i="2"/>
  <c r="M136" i="2"/>
  <c r="M133" i="2"/>
  <c r="M131" i="2"/>
  <c r="M127" i="2"/>
  <c r="M125" i="2"/>
  <c r="M118" i="2"/>
  <c r="F118" i="2"/>
  <c r="F117" i="2"/>
  <c r="M116" i="2"/>
  <c r="M115" i="2"/>
  <c r="F115" i="2"/>
  <c r="M114" i="2"/>
  <c r="M80" i="2"/>
  <c r="M34" i="2"/>
  <c r="M19" i="2"/>
  <c r="M18" i="2"/>
  <c r="R27" i="5"/>
  <c r="R20" i="5"/>
  <c r="R17" i="5"/>
  <c r="A182" i="2"/>
  <c r="A224" i="2" s="1"/>
  <c r="C9" i="10" s="1"/>
  <c r="A102" i="2"/>
  <c r="A221" i="2" s="1"/>
  <c r="C6" i="10" s="1"/>
  <c r="A76" i="2"/>
  <c r="A220" i="2" s="1"/>
  <c r="C5" i="10" s="1"/>
  <c r="C102" i="2"/>
  <c r="C221" i="2" s="1"/>
  <c r="B18" i="10" s="1"/>
  <c r="J76" i="2"/>
  <c r="J220" i="2" s="1"/>
  <c r="C29" i="10" s="1"/>
  <c r="C76" i="2"/>
  <c r="C220" i="2" s="1"/>
  <c r="B17" i="10" s="1"/>
  <c r="C212" i="2"/>
  <c r="C20" i="5"/>
  <c r="S20" i="5" s="1"/>
  <c r="C30" i="5"/>
  <c r="S30" i="5" s="1"/>
  <c r="C33" i="5"/>
  <c r="S33" i="5" s="1"/>
  <c r="A209" i="2"/>
  <c r="R33" i="5"/>
  <c r="R36" i="5"/>
  <c r="C3" i="10"/>
  <c r="B3" i="10"/>
  <c r="K7" i="2"/>
  <c r="R53" i="5"/>
  <c r="R35" i="5"/>
  <c r="R31" i="5"/>
  <c r="R19" i="5"/>
  <c r="R15" i="5"/>
  <c r="R51" i="5"/>
  <c r="R50" i="5"/>
  <c r="R48" i="5"/>
  <c r="R47" i="5"/>
  <c r="R45" i="5"/>
  <c r="R44" i="5"/>
  <c r="R43" i="5"/>
  <c r="R41" i="5"/>
  <c r="R39" i="5"/>
  <c r="R38" i="5"/>
  <c r="R37" i="5"/>
  <c r="R34" i="5"/>
  <c r="R32" i="5"/>
  <c r="R29" i="5"/>
  <c r="R28" i="5"/>
  <c r="R26" i="5"/>
  <c r="R25" i="5"/>
  <c r="R24" i="5"/>
  <c r="R23" i="5"/>
  <c r="R22" i="5"/>
  <c r="R21" i="5"/>
  <c r="R18" i="5"/>
  <c r="R16" i="5"/>
  <c r="R13" i="5"/>
  <c r="R12" i="5"/>
  <c r="R10" i="5"/>
  <c r="R9" i="5"/>
  <c r="R8" i="5"/>
  <c r="O213" i="2"/>
  <c r="O207" i="2"/>
  <c r="O205" i="2"/>
  <c r="K213" i="2"/>
  <c r="K204" i="2"/>
  <c r="O198" i="2"/>
  <c r="K198" i="2"/>
  <c r="O182" i="2"/>
  <c r="O224" i="2" s="1"/>
  <c r="K182" i="2"/>
  <c r="K224" i="2" s="1"/>
  <c r="K102" i="2"/>
  <c r="K221" i="2" s="1"/>
  <c r="O76" i="2"/>
  <c r="O220" i="2" s="1"/>
  <c r="O40" i="2"/>
  <c r="O219" i="2" s="1"/>
  <c r="K40" i="2"/>
  <c r="K219" i="2" s="1"/>
  <c r="J40" i="2"/>
  <c r="J219" i="2" s="1"/>
  <c r="C28" i="10" s="1"/>
  <c r="O7" i="2"/>
  <c r="O218" i="2" s="1"/>
  <c r="J7" i="2"/>
  <c r="C7" i="2"/>
  <c r="F183" i="2"/>
  <c r="R225" i="2"/>
  <c r="B10" i="10" s="1"/>
  <c r="R224" i="2"/>
  <c r="B9" i="10" s="1"/>
  <c r="R223" i="2"/>
  <c r="B8" i="10" s="1"/>
  <c r="R222" i="2"/>
  <c r="R221" i="2"/>
  <c r="B6" i="10" s="1"/>
  <c r="R220" i="2"/>
  <c r="B5" i="10" s="1"/>
  <c r="R219" i="2"/>
  <c r="B4" i="10" s="1"/>
  <c r="A198" i="2"/>
  <c r="A225" i="2" s="1"/>
  <c r="C10" i="10" s="1"/>
  <c r="J198" i="2"/>
  <c r="J225" i="2" s="1"/>
  <c r="C34" i="10" s="1"/>
  <c r="C198" i="2"/>
  <c r="C225" i="2" s="1"/>
  <c r="B22" i="10" s="1"/>
  <c r="A40" i="2"/>
  <c r="C40" i="2"/>
  <c r="C219" i="2" s="1"/>
  <c r="B16" i="10" s="1"/>
  <c r="C208" i="2"/>
  <c r="C205" i="2"/>
  <c r="J208" i="2"/>
  <c r="J205" i="2"/>
  <c r="J212" i="2"/>
  <c r="A213" i="2"/>
  <c r="A212" i="2"/>
  <c r="A211" i="2"/>
  <c r="A210" i="2"/>
  <c r="A208" i="2"/>
  <c r="A207" i="2"/>
  <c r="A206" i="2"/>
  <c r="A205" i="2"/>
  <c r="A204" i="2"/>
  <c r="J210" i="2"/>
  <c r="J209" i="2"/>
  <c r="C207" i="2"/>
  <c r="J213" i="2"/>
  <c r="C213" i="2"/>
  <c r="J206" i="2"/>
  <c r="C206" i="2"/>
  <c r="J211" i="2"/>
  <c r="C204" i="2"/>
  <c r="J204" i="2"/>
  <c r="J207" i="2"/>
  <c r="C210" i="2"/>
  <c r="C211" i="2"/>
  <c r="J182" i="2"/>
  <c r="J224" i="2" s="1"/>
  <c r="C33" i="10" s="1"/>
  <c r="C182" i="2"/>
  <c r="J102" i="2"/>
  <c r="J221" i="2" s="1"/>
  <c r="C30" i="10" s="1"/>
  <c r="A7" i="2"/>
  <c r="R218" i="2" s="1"/>
  <c r="N177" i="2"/>
  <c r="M178" i="2"/>
  <c r="R49" i="5"/>
  <c r="M15" i="5"/>
  <c r="AC15" i="5" s="1"/>
  <c r="M12" i="5"/>
  <c r="AC12" i="5" s="1"/>
  <c r="M22" i="5"/>
  <c r="AC22" i="5" s="1"/>
  <c r="M28" i="5"/>
  <c r="M37" i="5"/>
  <c r="AC37" i="5" s="1"/>
  <c r="M24" i="5"/>
  <c r="AC24" i="5" s="1"/>
  <c r="M41" i="5"/>
  <c r="R30" i="5"/>
  <c r="M29" i="5"/>
  <c r="AC29" i="5" s="1"/>
  <c r="Q18" i="2"/>
  <c r="M35" i="5"/>
  <c r="AC35" i="5" s="1"/>
  <c r="M40" i="5"/>
  <c r="AC40" i="5" s="1"/>
  <c r="M44" i="5"/>
  <c r="AC44" i="5" s="1"/>
  <c r="M50" i="5"/>
  <c r="AC50" i="5" s="1"/>
  <c r="M31" i="5"/>
  <c r="AC31" i="5" s="1"/>
  <c r="M45" i="5"/>
  <c r="AC45" i="5" s="1"/>
  <c r="M51" i="5"/>
  <c r="AC51" i="5" s="1"/>
  <c r="M48" i="5"/>
  <c r="AC48" i="5" s="1"/>
  <c r="F105" i="2"/>
  <c r="N56" i="2"/>
  <c r="E211" i="2"/>
  <c r="G86" i="2"/>
  <c r="L206" i="2"/>
  <c r="M18" i="5"/>
  <c r="AC18" i="5" s="1"/>
  <c r="G71" i="2"/>
  <c r="E207" i="2"/>
  <c r="F71" i="2"/>
  <c r="M47" i="5"/>
  <c r="AC47" i="5" s="1"/>
  <c r="M99" i="2"/>
  <c r="M13" i="5"/>
  <c r="AC13" i="5" s="1"/>
  <c r="M25" i="5"/>
  <c r="AC25" i="5" s="1"/>
  <c r="M32" i="5"/>
  <c r="AC32" i="5" s="1"/>
  <c r="M27" i="2"/>
  <c r="L40" i="2"/>
  <c r="L219" i="2" s="1"/>
  <c r="E213" i="2"/>
  <c r="E102" i="2"/>
  <c r="E221" i="2" s="1"/>
  <c r="Q81" i="2"/>
  <c r="F27" i="2"/>
  <c r="G27" i="2"/>
  <c r="M22" i="2"/>
  <c r="N22" i="2"/>
  <c r="M165" i="2"/>
  <c r="L172" i="2"/>
  <c r="L223" i="2" s="1"/>
  <c r="D32" i="10" s="1"/>
  <c r="M179" i="2"/>
  <c r="N175" i="2"/>
  <c r="M180" i="2"/>
  <c r="N180" i="2"/>
  <c r="N181" i="2"/>
  <c r="M181" i="2"/>
  <c r="L182" i="2"/>
  <c r="L224" i="2" s="1"/>
  <c r="F181" i="2"/>
  <c r="F175" i="2"/>
  <c r="G175" i="2"/>
  <c r="M16" i="5"/>
  <c r="AC16" i="5" s="1"/>
  <c r="M26" i="5"/>
  <c r="AC26" i="5" s="1"/>
  <c r="M34" i="5"/>
  <c r="AC34" i="5" s="1"/>
  <c r="C49" i="5"/>
  <c r="S49" i="5" s="1"/>
  <c r="M42" i="5"/>
  <c r="AC42" i="5" s="1"/>
  <c r="C27" i="5"/>
  <c r="S27" i="5" s="1"/>
  <c r="F177" i="2"/>
  <c r="G180" i="2"/>
  <c r="F178" i="2"/>
  <c r="P205" i="2"/>
  <c r="F179" i="2"/>
  <c r="D182" i="2"/>
  <c r="D224" i="2" s="1"/>
  <c r="R7" i="5"/>
  <c r="O204" i="2"/>
  <c r="O172" i="2"/>
  <c r="O223" i="2" s="1"/>
  <c r="Q109" i="2"/>
  <c r="Q113" i="2"/>
  <c r="Q82" i="2"/>
  <c r="Q83" i="2"/>
  <c r="O212" i="2"/>
  <c r="O208" i="2"/>
  <c r="M157" i="2"/>
  <c r="K210" i="2"/>
  <c r="M52" i="2"/>
  <c r="M56" i="2"/>
  <c r="K208" i="2"/>
  <c r="P213" i="2"/>
  <c r="Q99" i="2"/>
  <c r="Q94" i="2"/>
  <c r="P210" i="2"/>
  <c r="N45" i="2"/>
  <c r="L212" i="2"/>
  <c r="M45" i="2"/>
  <c r="M59" i="2"/>
  <c r="N59" i="2"/>
  <c r="N66" i="2"/>
  <c r="M66" i="2"/>
  <c r="N74" i="2"/>
  <c r="M74" i="2"/>
  <c r="P212" i="2"/>
  <c r="Q45" i="2"/>
  <c r="P102" i="2"/>
  <c r="P221" i="2" s="1"/>
  <c r="P211" i="2"/>
  <c r="M71" i="2"/>
  <c r="L207" i="2"/>
  <c r="L213" i="2"/>
  <c r="M84" i="2"/>
  <c r="P206" i="2"/>
  <c r="L102" i="2"/>
  <c r="N71" i="2"/>
  <c r="P198" i="2"/>
  <c r="N83" i="2"/>
  <c r="L211" i="2"/>
  <c r="M83" i="2"/>
  <c r="M28" i="2"/>
  <c r="N28" i="2"/>
  <c r="P40" i="2"/>
  <c r="Q12" i="2"/>
  <c r="M105" i="2"/>
  <c r="L153" i="2"/>
  <c r="P153" i="2"/>
  <c r="M60" i="2"/>
  <c r="N67" i="2"/>
  <c r="N84" i="2"/>
  <c r="N88" i="2"/>
  <c r="M95" i="2"/>
  <c r="M12" i="2"/>
  <c r="N12" i="2"/>
  <c r="F156" i="2"/>
  <c r="F160" i="2"/>
  <c r="D153" i="2"/>
  <c r="D222" i="2" s="1"/>
  <c r="F108" i="2"/>
  <c r="F100" i="2"/>
  <c r="F89" i="2"/>
  <c r="F94" i="2"/>
  <c r="F47" i="2"/>
  <c r="D212" i="2"/>
  <c r="F58" i="2"/>
  <c r="F63" i="2"/>
  <c r="F82" i="2"/>
  <c r="D211" i="2"/>
  <c r="D213" i="2"/>
  <c r="D102" i="2"/>
  <c r="D221" i="2" s="1"/>
  <c r="F45" i="2"/>
  <c r="D206" i="2"/>
  <c r="D205" i="2"/>
  <c r="F50" i="2"/>
  <c r="E205" i="2"/>
  <c r="G50" i="2"/>
  <c r="F168" i="2"/>
  <c r="F170" i="2"/>
  <c r="D172" i="2"/>
  <c r="D223" i="2" s="1"/>
  <c r="F157" i="2"/>
  <c r="G159" i="2"/>
  <c r="F163" i="2"/>
  <c r="F167" i="2"/>
  <c r="G167" i="2"/>
  <c r="D204" i="2"/>
  <c r="G170" i="2"/>
  <c r="G168" i="2"/>
  <c r="G161" i="2"/>
  <c r="E204" i="2"/>
  <c r="G157" i="2"/>
  <c r="G163" i="2"/>
  <c r="F165" i="2"/>
  <c r="F161" i="2"/>
  <c r="F159" i="2"/>
  <c r="E172" i="2"/>
  <c r="G165" i="2"/>
  <c r="K76" i="2"/>
  <c r="K220" i="2" s="1"/>
  <c r="K205" i="2"/>
  <c r="L76" i="2"/>
  <c r="N50" i="2"/>
  <c r="M50" i="2"/>
  <c r="L205" i="2"/>
  <c r="A219" i="2" l="1"/>
  <c r="C4" i="10" s="1"/>
  <c r="N28" i="5"/>
  <c r="AC28" i="5"/>
  <c r="N39" i="5"/>
  <c r="AC39" i="5"/>
  <c r="O41" i="5"/>
  <c r="AC41" i="5"/>
  <c r="R11" i="5"/>
  <c r="C5" i="5"/>
  <c r="C5" i="11"/>
  <c r="J6" i="5"/>
  <c r="J6" i="11"/>
  <c r="F6" i="5"/>
  <c r="F6" i="11"/>
  <c r="F5" i="5"/>
  <c r="F5" i="11"/>
  <c r="D4" i="5"/>
  <c r="D4" i="11"/>
  <c r="F4" i="5"/>
  <c r="F4" i="11"/>
  <c r="I4" i="5"/>
  <c r="I4" i="11"/>
  <c r="K4" i="5"/>
  <c r="K4" i="11"/>
  <c r="H4" i="5"/>
  <c r="H4" i="11"/>
  <c r="H5" i="5"/>
  <c r="H5" i="11"/>
  <c r="E5" i="5"/>
  <c r="E5" i="11"/>
  <c r="I5" i="5"/>
  <c r="I5" i="11"/>
  <c r="I6" i="5"/>
  <c r="I6" i="11"/>
  <c r="D6" i="5"/>
  <c r="D6" i="11"/>
  <c r="D5" i="5"/>
  <c r="D5" i="11"/>
  <c r="L6" i="5"/>
  <c r="L6" i="11"/>
  <c r="K6" i="5"/>
  <c r="K6" i="11"/>
  <c r="L5" i="5"/>
  <c r="L5" i="11"/>
  <c r="E6" i="5"/>
  <c r="E6" i="11"/>
  <c r="J5" i="5"/>
  <c r="J5" i="11"/>
  <c r="C4" i="5"/>
  <c r="C4" i="11"/>
  <c r="E4" i="5"/>
  <c r="E4" i="11"/>
  <c r="G4" i="5"/>
  <c r="G4" i="11"/>
  <c r="R4" i="11" s="1"/>
  <c r="J4" i="5"/>
  <c r="J4" i="11"/>
  <c r="L4" i="5"/>
  <c r="L4" i="11"/>
  <c r="H6" i="5"/>
  <c r="H6" i="11"/>
  <c r="G5" i="5"/>
  <c r="G5" i="11"/>
  <c r="R5" i="11" s="1"/>
  <c r="K5" i="5"/>
  <c r="K5" i="11"/>
  <c r="G6" i="5"/>
  <c r="N25" i="5"/>
  <c r="O25" i="5"/>
  <c r="A218" i="2"/>
  <c r="A226" i="2" s="1"/>
  <c r="M27" i="5"/>
  <c r="AC27" i="5" s="1"/>
  <c r="B7" i="10"/>
  <c r="B11" i="10" s="1"/>
  <c r="G182" i="2"/>
  <c r="Q207" i="2"/>
  <c r="Q205" i="2"/>
  <c r="M209" i="2"/>
  <c r="M46" i="5"/>
  <c r="M36" i="5"/>
  <c r="F153" i="2"/>
  <c r="C224" i="2"/>
  <c r="B21" i="10" s="1"/>
  <c r="Q210" i="2"/>
  <c r="Q212" i="2"/>
  <c r="Q153" i="2"/>
  <c r="F218" i="2"/>
  <c r="N225" i="2"/>
  <c r="M153" i="2"/>
  <c r="G76" i="2"/>
  <c r="M204" i="2"/>
  <c r="N198" i="2"/>
  <c r="K214" i="2"/>
  <c r="F198" i="2"/>
  <c r="N204" i="2"/>
  <c r="G172" i="2"/>
  <c r="Q40" i="2"/>
  <c r="M102" i="2"/>
  <c r="F225" i="2"/>
  <c r="G198" i="2"/>
  <c r="Q198" i="2"/>
  <c r="M49" i="5"/>
  <c r="AC49" i="5" s="1"/>
  <c r="N41" i="5"/>
  <c r="N34" i="5"/>
  <c r="M30" i="5"/>
  <c r="M17" i="5"/>
  <c r="AC17" i="5" s="1"/>
  <c r="F210" i="2"/>
  <c r="N208" i="2"/>
  <c r="Q208" i="2"/>
  <c r="M76" i="2"/>
  <c r="G225" i="2"/>
  <c r="N182" i="2"/>
  <c r="Q213" i="2"/>
  <c r="E223" i="2"/>
  <c r="C20" i="10" s="1"/>
  <c r="F211" i="2"/>
  <c r="G211" i="2"/>
  <c r="N209" i="2"/>
  <c r="P214" i="2"/>
  <c r="Q211" i="2"/>
  <c r="P222" i="2"/>
  <c r="Q222" i="2" s="1"/>
  <c r="N40" i="2"/>
  <c r="M40" i="2"/>
  <c r="N212" i="2"/>
  <c r="N211" i="2"/>
  <c r="M212" i="2"/>
  <c r="M206" i="2"/>
  <c r="N205" i="2"/>
  <c r="M205" i="2"/>
  <c r="M210" i="2"/>
  <c r="N207" i="2"/>
  <c r="N206" i="2"/>
  <c r="D33" i="10"/>
  <c r="B33" i="10" s="1"/>
  <c r="M224" i="2"/>
  <c r="N219" i="2"/>
  <c r="M219" i="2"/>
  <c r="D28" i="10"/>
  <c r="B28" i="10" s="1"/>
  <c r="F221" i="2"/>
  <c r="C18" i="10"/>
  <c r="Q224" i="2"/>
  <c r="M213" i="2"/>
  <c r="E220" i="2"/>
  <c r="C17" i="10" s="1"/>
  <c r="D34" i="10"/>
  <c r="B34" i="10" s="1"/>
  <c r="M182" i="2"/>
  <c r="Q204" i="2"/>
  <c r="Q221" i="2"/>
  <c r="F209" i="2"/>
  <c r="M223" i="2"/>
  <c r="F76" i="2"/>
  <c r="G206" i="2"/>
  <c r="J200" i="2"/>
  <c r="G40" i="2"/>
  <c r="F172" i="2"/>
  <c r="P225" i="2"/>
  <c r="M208" i="2"/>
  <c r="N213" i="2"/>
  <c r="N210" i="2"/>
  <c r="O214" i="2"/>
  <c r="Q209" i="2"/>
  <c r="G207" i="2"/>
  <c r="G212" i="2"/>
  <c r="G204" i="2"/>
  <c r="C16" i="10"/>
  <c r="F219" i="2"/>
  <c r="G219" i="2"/>
  <c r="F40" i="2"/>
  <c r="F212" i="2"/>
  <c r="F207" i="2"/>
  <c r="G205" i="2"/>
  <c r="F205" i="2"/>
  <c r="G208" i="2"/>
  <c r="F204" i="2"/>
  <c r="F208" i="2"/>
  <c r="G210" i="2"/>
  <c r="G209" i="2"/>
  <c r="Q218" i="2"/>
  <c r="K225" i="2"/>
  <c r="M225" i="2" s="1"/>
  <c r="M198" i="2"/>
  <c r="Q172" i="2"/>
  <c r="P223" i="2"/>
  <c r="Q223" i="2" s="1"/>
  <c r="F206" i="2"/>
  <c r="C200" i="2"/>
  <c r="G221" i="2"/>
  <c r="K200" i="2"/>
  <c r="M14" i="5"/>
  <c r="AC14" i="5" s="1"/>
  <c r="F7" i="2"/>
  <c r="L200" i="2"/>
  <c r="N76" i="2"/>
  <c r="Q206" i="2"/>
  <c r="M207" i="2"/>
  <c r="G102" i="2"/>
  <c r="F102" i="2"/>
  <c r="M33" i="5"/>
  <c r="R226" i="2"/>
  <c r="O200" i="2"/>
  <c r="O225" i="2"/>
  <c r="O226" i="2" s="1"/>
  <c r="D220" i="2"/>
  <c r="D200" i="2"/>
  <c r="N153" i="2"/>
  <c r="L222" i="2"/>
  <c r="N102" i="2"/>
  <c r="L221" i="2"/>
  <c r="F213" i="2"/>
  <c r="N18" i="5"/>
  <c r="C218" i="2"/>
  <c r="G7" i="2"/>
  <c r="J223" i="2"/>
  <c r="N172" i="2"/>
  <c r="Q182" i="2"/>
  <c r="P200" i="2"/>
  <c r="F182" i="2"/>
  <c r="G153" i="2"/>
  <c r="M172" i="2"/>
  <c r="N224" i="2"/>
  <c r="M211" i="2"/>
  <c r="L220" i="2"/>
  <c r="E200" i="2"/>
  <c r="L214" i="2"/>
  <c r="G213" i="2"/>
  <c r="Q102" i="2"/>
  <c r="E222" i="2"/>
  <c r="P219" i="2"/>
  <c r="E224" i="2"/>
  <c r="M52" i="5"/>
  <c r="AC52" i="5" s="1"/>
  <c r="O24" i="5"/>
  <c r="N24" i="5"/>
  <c r="N7" i="2"/>
  <c r="J218" i="2"/>
  <c r="K218" i="2"/>
  <c r="M7" i="2"/>
  <c r="Q7" i="2"/>
  <c r="P220" i="2"/>
  <c r="Q220" i="2" s="1"/>
  <c r="Q76" i="2"/>
  <c r="M11" i="5"/>
  <c r="AB4" i="5" l="1"/>
  <c r="S4" i="5"/>
  <c r="U6" i="5"/>
  <c r="AA6" i="5"/>
  <c r="Y6" i="5"/>
  <c r="T5" i="5"/>
  <c r="U5" i="5"/>
  <c r="X4" i="5"/>
  <c r="Y4" i="5"/>
  <c r="T4" i="5"/>
  <c r="V6" i="5"/>
  <c r="S5" i="5"/>
  <c r="R4" i="5"/>
  <c r="W4" i="5"/>
  <c r="Z4" i="5"/>
  <c r="U4" i="5"/>
  <c r="AA4" i="5"/>
  <c r="V4" i="5"/>
  <c r="R6" i="5"/>
  <c r="W6" i="5"/>
  <c r="R5" i="5"/>
  <c r="W5" i="5"/>
  <c r="N33" i="5"/>
  <c r="AC33" i="5"/>
  <c r="N30" i="5"/>
  <c r="AC30" i="5"/>
  <c r="N36" i="5"/>
  <c r="AC36" i="5"/>
  <c r="N46" i="5"/>
  <c r="AC46" i="5"/>
  <c r="AA5" i="5"/>
  <c r="X6" i="5"/>
  <c r="Z5" i="5"/>
  <c r="AB5" i="5"/>
  <c r="AB6" i="5"/>
  <c r="T6" i="5"/>
  <c r="Y5" i="5"/>
  <c r="X5" i="5"/>
  <c r="V5" i="5"/>
  <c r="Z6" i="5"/>
  <c r="N8" i="5"/>
  <c r="AC11" i="5"/>
  <c r="M21" i="5"/>
  <c r="AC21" i="5" s="1"/>
  <c r="Y21" i="5"/>
  <c r="I20" i="5"/>
  <c r="Y20" i="5" s="1"/>
  <c r="M19" i="5"/>
  <c r="C7" i="10"/>
  <c r="C11" i="10" s="1"/>
  <c r="M4" i="11"/>
  <c r="M6" i="11"/>
  <c r="N6" i="11" s="1"/>
  <c r="O6" i="11" s="1"/>
  <c r="M5" i="11"/>
  <c r="H172" i="2"/>
  <c r="H204" i="2"/>
  <c r="H214" i="2" s="1"/>
  <c r="N27" i="5"/>
  <c r="N14" i="5"/>
  <c r="O27" i="5"/>
  <c r="K226" i="2"/>
  <c r="Q200" i="2"/>
  <c r="N12" i="5"/>
  <c r="F223" i="2"/>
  <c r="G220" i="2"/>
  <c r="Q214" i="2"/>
  <c r="G223" i="2"/>
  <c r="M6" i="5"/>
  <c r="M5" i="5"/>
  <c r="N218" i="2"/>
  <c r="J226" i="2"/>
  <c r="J214" i="2" s="1"/>
  <c r="N214" i="2" s="1"/>
  <c r="F222" i="2"/>
  <c r="G222" i="2"/>
  <c r="C19" i="10"/>
  <c r="E226" i="2"/>
  <c r="F200" i="2"/>
  <c r="G200" i="2"/>
  <c r="N200" i="2"/>
  <c r="M200" i="2"/>
  <c r="Q225" i="2"/>
  <c r="Q219" i="2"/>
  <c r="P226" i="2"/>
  <c r="Q226" i="2" s="1"/>
  <c r="M214" i="2"/>
  <c r="C32" i="10"/>
  <c r="B32" i="10" s="1"/>
  <c r="N223" i="2"/>
  <c r="D31" i="10"/>
  <c r="N222" i="2"/>
  <c r="M222" i="2"/>
  <c r="M220" i="2"/>
  <c r="L226" i="2"/>
  <c r="N220" i="2"/>
  <c r="D29" i="10"/>
  <c r="G218" i="2"/>
  <c r="C226" i="2"/>
  <c r="C214" i="2" s="1"/>
  <c r="N221" i="2"/>
  <c r="M221" i="2"/>
  <c r="D30" i="10"/>
  <c r="B30" i="10" s="1"/>
  <c r="B19" i="10"/>
  <c r="B23" i="10" s="1"/>
  <c r="C31" i="10"/>
  <c r="F224" i="2"/>
  <c r="C21" i="10"/>
  <c r="G224" i="2"/>
  <c r="D226" i="2"/>
  <c r="D214" i="2" s="1"/>
  <c r="F220" i="2"/>
  <c r="M218" i="2"/>
  <c r="AC4" i="5" l="1"/>
  <c r="M20" i="5"/>
  <c r="O18" i="5" s="1"/>
  <c r="AC19" i="5"/>
  <c r="AC5" i="5"/>
  <c r="N6" i="5"/>
  <c r="O6" i="5" s="1"/>
  <c r="AC6" i="5"/>
  <c r="H223" i="2"/>
  <c r="H226" i="2" s="1"/>
  <c r="H200" i="2"/>
  <c r="B31" i="10"/>
  <c r="C35" i="10"/>
  <c r="N226" i="2"/>
  <c r="M226" i="2"/>
  <c r="D35" i="10"/>
  <c r="B29" i="10"/>
  <c r="E214" i="2"/>
  <c r="G226" i="2"/>
  <c r="F226" i="2"/>
  <c r="C23" i="10"/>
  <c r="C24" i="10" s="1"/>
  <c r="N20" i="5" l="1"/>
  <c r="AC20" i="5"/>
  <c r="B35" i="10"/>
  <c r="D36" i="10"/>
  <c r="D37" i="10" s="1"/>
  <c r="F214" i="2"/>
  <c r="G214" i="2"/>
</calcChain>
</file>

<file path=xl/sharedStrings.xml><?xml version="1.0" encoding="utf-8"?>
<sst xmlns="http://schemas.openxmlformats.org/spreadsheetml/2006/main" count="593" uniqueCount="283">
  <si>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</si>
  <si>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</si>
  <si>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</si>
  <si>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</si>
  <si>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</si>
  <si>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</si>
  <si>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</si>
  <si>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</si>
  <si>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</si>
  <si>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</si>
  <si>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</si>
  <si>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># of rural union councils with RSP presence*</t>
  </si>
  <si>
    <t># of Local Support Organisations (LSOs)</t>
  </si>
  <si>
    <t xml:space="preserve"># of Community Organizations (COs) formed </t>
  </si>
  <si>
    <t xml:space="preserve">Women COs </t>
  </si>
  <si>
    <t>Men COs</t>
  </si>
  <si>
    <t>Mix COs</t>
  </si>
  <si>
    <t xml:space="preserve">Total </t>
  </si>
  <si>
    <t># of COs members</t>
  </si>
  <si>
    <t xml:space="preserve">Women </t>
  </si>
  <si>
    <t xml:space="preserve">Men </t>
  </si>
  <si>
    <t># of community members trained</t>
  </si>
  <si>
    <t>Amount of micro-credit disbursement (Rs. Million)</t>
  </si>
  <si>
    <t xml:space="preserve"># of loans </t>
  </si>
  <si>
    <t># of PPI/CPI Schemes Initiated</t>
  </si>
  <si>
    <t xml:space="preserve"># of PPI/CPI Schemes completed </t>
  </si>
  <si>
    <t xml:space="preserve"># of beneficiary households of initiated CPIs </t>
  </si>
  <si>
    <t xml:space="preserve">Total Cost of initiated CPIs (Rs. Million) </t>
  </si>
  <si>
    <t># of community schools established</t>
  </si>
  <si>
    <t xml:space="preserve">Girls </t>
  </si>
  <si>
    <t># of students enrolled</t>
  </si>
  <si>
    <t xml:space="preserve">Boys </t>
  </si>
  <si>
    <t># of adults Literated or Graduated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</si>
  <si>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</si>
  <si>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</si>
  <si>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</si>
  <si>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</si>
  <si>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</si>
  <si>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</si>
  <si>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</si>
  <si>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</si>
  <si>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</si>
  <si>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</si>
  <si>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Gawadar 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</si>
  <si>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</si>
  <si>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</si>
  <si>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</si>
  <si>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</si>
  <si>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</si>
  <si>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</si>
  <si>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Saifullah</t>
  </si>
  <si>
    <t>Lasbella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</si>
  <si>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</si>
  <si>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</si>
  <si>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</si>
  <si>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</si>
  <si>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</si>
  <si>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>KHYBER PUKHTUNKHWA (KPK)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</si>
  <si>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</si>
  <si>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</si>
  <si>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</si>
  <si>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</si>
  <si>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</si>
  <si>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</si>
  <si>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</si>
  <si>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</si>
  <si>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</si>
  <si>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</si>
  <si>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</si>
  <si>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</si>
  <si>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</si>
  <si>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</si>
  <si>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</si>
  <si>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</si>
  <si>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</si>
  <si>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</si>
  <si>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>Mardan(overlapping)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</si>
  <si>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</si>
  <si>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</si>
  <si>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</si>
  <si>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</si>
  <si>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</si>
  <si>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</si>
  <si>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</si>
  <si>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</si>
  <si>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</si>
  <si>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</si>
  <si>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</si>
  <si>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</si>
  <si>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</si>
  <si>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</si>
  <si>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</si>
  <si>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</si>
  <si>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</si>
  <si>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</si>
  <si>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</si>
  <si>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</si>
  <si>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Nausharo Feroz</t>
  </si>
  <si>
    <t>Nawabshah</t>
  </si>
  <si>
    <t xml:space="preserve">Shahdad Kot </t>
  </si>
  <si>
    <t>Sanghar</t>
  </si>
  <si>
    <t>Shikarpur</t>
  </si>
  <si>
    <t xml:space="preserve">Sukkhur 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</si>
  <si>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</si>
  <si>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</si>
  <si>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</si>
  <si>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</si>
  <si>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</si>
  <si>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</si>
  <si>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</si>
  <si>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</si>
  <si>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</si>
  <si>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</si>
  <si>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</si>
  <si>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</si>
  <si>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</si>
  <si>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</si>
  <si>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</si>
  <si>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</si>
  <si>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</si>
  <si>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</si>
  <si>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</si>
  <si>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</si>
  <si>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</si>
  <si>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</si>
  <si>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</si>
  <si>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</si>
  <si>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</si>
  <si>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</si>
  <si>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</si>
  <si>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</si>
  <si>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</si>
  <si>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</si>
  <si>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</si>
  <si>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</si>
  <si>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</si>
  <si>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</si>
  <si>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</si>
  <si>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</si>
  <si>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</si>
  <si>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</si>
  <si>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</si>
  <si>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</si>
  <si>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</si>
  <si>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</si>
  <si>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</si>
  <si>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</si>
  <si>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</si>
  <si>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</si>
  <si>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</si>
  <si>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</si>
  <si>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</si>
  <si>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</si>
  <si>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</si>
  <si>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Muzuffarabad</t>
  </si>
  <si>
    <t>Muzuffarabad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</si>
  <si>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</si>
  <si>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</si>
  <si>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</si>
  <si>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</si>
  <si>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</si>
  <si>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</si>
  <si>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</si>
  <si>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</si>
  <si>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</si>
  <si>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</si>
  <si>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</si>
  <si>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</si>
  <si>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</si>
  <si>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</si>
  <si>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</si>
  <si>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</si>
  <si>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</si>
  <si>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</si>
  <si>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</si>
  <si>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</si>
  <si>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</si>
  <si>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</si>
  <si>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</si>
  <si>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</si>
  <si>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</si>
  <si>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Chaqhi</t>
  </si>
  <si>
    <t>Dera Bugti</t>
  </si>
  <si>
    <t>Harnai</t>
  </si>
  <si>
    <t>Killa Abdullah</t>
  </si>
  <si>
    <t>Kohlu</t>
  </si>
  <si>
    <t>Loralai</t>
  </si>
  <si>
    <t>Musa Khel</t>
  </si>
  <si>
    <t>Naseerabad</t>
  </si>
  <si>
    <t>Noshki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</si>
  <si>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</si>
  <si>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</si>
  <si>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</si>
  <si>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</si>
  <si>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</si>
  <si>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</si>
  <si>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</si>
  <si>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</si>
  <si>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</si>
  <si>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</si>
  <si>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</si>
  <si>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</si>
  <si>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</si>
  <si>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</si>
  <si>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</si>
  <si>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</si>
  <si>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Banu</t>
  </si>
  <si>
    <t>Dir Lower</t>
  </si>
  <si>
    <t>D.I.Khan</t>
  </si>
  <si>
    <t>Tank</t>
  </si>
  <si>
    <t>Lakki Marwat</t>
  </si>
  <si>
    <t>Karachi</t>
  </si>
  <si>
    <t>Total rural and Peri-Urban UCs in the District</t>
  </si>
  <si>
    <t xml:space="preserve">Number of Districts  </t>
  </si>
  <si>
    <t>Province-wise Summary of RSPs Coverage/Outreach</t>
  </si>
  <si>
    <t>Name of RSP</t>
  </si>
  <si>
    <t>Name of Province/Area</t>
  </si>
  <si>
    <t># of Organized Households</t>
  </si>
  <si>
    <t xml:space="preserve">Grand Total </t>
  </si>
  <si>
    <t># of Traditional Birth Attendants / Health workers Trained</t>
  </si>
  <si>
    <t># of LSOs Managing CIF</t>
  </si>
  <si>
    <t># of VOs Managing CIF</t>
  </si>
  <si>
    <t># of CIF Borrowers</t>
  </si>
  <si>
    <t>Community Investment Fund (CIF)</t>
  </si>
  <si>
    <t xml:space="preserve">Total amount of CIF disbursed (Rs. million) </t>
  </si>
  <si>
    <t># of health micro insurance schemes</t>
  </si>
  <si>
    <t>FEDERALLY ADMINISTERED TRIBAL AREA (FATA)/Frontier Regions (FRs)</t>
  </si>
  <si>
    <t>Islamabad Capital Teritory (ICT)</t>
  </si>
  <si>
    <t>Khyber Pakhtunkhwa (KPK)</t>
  </si>
  <si>
    <t>Azad Jamu and Kashmir (AJK)</t>
  </si>
  <si>
    <t>Gilgit-Baltistan (GB)</t>
  </si>
  <si>
    <t>Federal Adminstrated Tribal Areas (FATA)/Frontier Regions (FRs)</t>
  </si>
  <si>
    <t>Azad Jamu and Kashmir RSP</t>
  </si>
  <si>
    <t>Aga Khan RSP</t>
  </si>
  <si>
    <t>Balochistan RSP</t>
  </si>
  <si>
    <t>Ghazi Baroth Tarqiati Ideara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</si>
  <si>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</si>
  <si>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</si>
  <si>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</si>
  <si>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</si>
  <si>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</si>
  <si>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</si>
  <si>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% increase during Qtr</t>
  </si>
  <si>
    <t># of RSP working districts/areas**</t>
  </si>
  <si>
    <t xml:space="preserve">Number of districts/areas having RSPs presence  </t>
  </si>
  <si>
    <t>Number of total districts/areas in the province/area</t>
  </si>
  <si>
    <t>Amount of savings of COs                  (Rs. Million)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</si>
  <si>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</si>
  <si>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</si>
  <si>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</si>
  <si>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</si>
  <si>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</si>
  <si>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</si>
  <si>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Punjab (Inc ICT)</t>
  </si>
  <si>
    <t>Total</t>
  </si>
  <si>
    <t xml:space="preserve">Total rural union councils </t>
  </si>
  <si>
    <t xml:space="preserve">Number of union councils having RSP presence </t>
  </si>
  <si>
    <t>Total rural HHs in the RSP District (1998 Census)</t>
  </si>
  <si>
    <t>Nowshera (overlapping)</t>
  </si>
  <si>
    <t>Malakand P.A (overlapping)</t>
  </si>
  <si>
    <t>Note: ** The 112 include 110 districts and 2 Federaly Adminstered Tribal Areas.   Punjab RSP after restructuring in mid 2011, closed its operation in four districts, Chiniot, Nankana Sahib, DG Khan and Rajanpur.</t>
  </si>
  <si>
    <t xml:space="preserve"># of beneficiary households of completed CPIs </t>
  </si>
  <si>
    <t xml:space="preserve">Total Cost of completed CPIs (Rs. Million) </t>
  </si>
  <si>
    <t>Poonch (Rawalakot)(overlapping)</t>
  </si>
  <si>
    <t>Sargodha (overlapping)</t>
  </si>
  <si>
    <t xml:space="preserve"># of population insured </t>
  </si>
  <si>
    <t>Union Councils Having RSPs Presence</t>
  </si>
  <si>
    <t>Households Organised</t>
  </si>
  <si>
    <t>Community Orgnisations Formed</t>
  </si>
  <si>
    <t xml:space="preserve">* The total figure for distircts/areas and union councils excludes 24 overlapping districts (presence of multiple RSP) and 534 overlapping union councils </t>
  </si>
  <si>
    <t>\</t>
  </si>
  <si>
    <t>Households organised</t>
  </si>
  <si>
    <t>% of households organised</t>
  </si>
  <si>
    <r>
      <t xml:space="preserve">Rural Support Programmes (RSPs) in Pakistan, District-wise RSPs Coverage/Outreach as at June </t>
    </r>
    <r>
      <rPr>
        <b/>
        <sz val="10"/>
        <color indexed="10"/>
        <rFont val="Calibri"/>
        <family val="2"/>
      </rPr>
      <t>2013</t>
    </r>
  </si>
  <si>
    <r>
      <t xml:space="preserve">Rural Support Programmes (RSPs) in Pakistan, Cumulative Progress as at </t>
    </r>
    <r>
      <rPr>
        <b/>
        <sz val="10"/>
        <color rgb="FFFF0000"/>
        <rFont val="Calibri"/>
        <family val="2"/>
      </rPr>
      <t>June</t>
    </r>
    <r>
      <rPr>
        <b/>
        <sz val="10"/>
        <color indexed="10"/>
        <rFont val="Calibri"/>
        <family val="2"/>
      </rPr>
      <t xml:space="preserve"> 2013</t>
    </r>
  </si>
  <si>
    <r>
      <t>Rural Support Programmes (RSPs) in Pakistan, Cumulative Progress as at March</t>
    </r>
    <r>
      <rPr>
        <b/>
        <sz val="10"/>
        <color indexed="10"/>
        <rFont val="Calibri"/>
        <family val="2"/>
      </rPr>
      <t xml:space="preserve"> 2013</t>
    </r>
  </si>
  <si>
    <t># as at March 2013</t>
  </si>
  <si>
    <t># as at June 2013</t>
  </si>
  <si>
    <t>% coverage as at June 2013</t>
  </si>
  <si>
    <t>Mandi Bahauddin (Overlapping)</t>
  </si>
  <si>
    <t>New Added in June 2013</t>
  </si>
  <si>
    <t>Number of Revenue Villages Having RSPs Presense (as at March 2013)</t>
  </si>
  <si>
    <t>Number of Revenue Villages Having RSPs Presense (as at June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</si>
</sst>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  <numFmt numFmtId="168" formatCode="_(* #,##0.000_);_(* \(#,##0.000\);_(* &quot;-&quot;??_);_(@_)"/>
  </numFmts>
  <fonts count="3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68">
    <xf numFmtId="0" fontId="0" fillId="0" borderId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33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19">
    <xf numFmtId="0" fontId="0" fillId="0" borderId="0" xfId="0"/>
    <xf numFmtId="0" fontId="24" fillId="0" borderId="0" xfId="0" applyFont="1" applyFill="1"/>
    <xf numFmtId="165" fontId="25" fillId="0" borderId="0" xfId="508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165" fontId="24" fillId="0" borderId="0" xfId="508" applyNumberFormat="1" applyFont="1" applyFill="1" applyAlignment="1">
      <alignment horizontal="center"/>
    </xf>
    <xf numFmtId="0" fontId="25" fillId="0" borderId="0" xfId="0" applyFont="1" applyFill="1"/>
    <xf numFmtId="0" fontId="24" fillId="24" borderId="0" xfId="0" applyFont="1" applyFill="1"/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165" fontId="24" fillId="0" borderId="0" xfId="0" applyNumberFormat="1" applyFont="1" applyFill="1" applyAlignment="1">
      <alignment horizontal="center"/>
    </xf>
    <xf numFmtId="166" fontId="24" fillId="0" borderId="0" xfId="508" applyNumberFormat="1" applyFont="1" applyFill="1"/>
    <xf numFmtId="43" fontId="24" fillId="0" borderId="0" xfId="0" applyNumberFormat="1" applyFont="1" applyFill="1"/>
    <xf numFmtId="165" fontId="24" fillId="0" borderId="0" xfId="508" applyNumberFormat="1" applyFont="1" applyFill="1"/>
    <xf numFmtId="165" fontId="26" fillId="0" borderId="0" xfId="508" applyNumberFormat="1" applyFont="1" applyFill="1" applyAlignment="1">
      <alignment horizontal="center"/>
    </xf>
    <xf numFmtId="0" fontId="27" fillId="0" borderId="0" xfId="0" applyFont="1" applyFill="1"/>
    <xf numFmtId="0" fontId="27" fillId="0" borderId="0" xfId="0" applyFont="1" applyFill="1" applyAlignment="1">
      <alignment horizontal="center"/>
    </xf>
    <xf numFmtId="165" fontId="27" fillId="0" borderId="0" xfId="508" applyNumberFormat="1" applyFont="1" applyFill="1" applyAlignment="1">
      <alignment horizontal="center"/>
    </xf>
    <xf numFmtId="166" fontId="27" fillId="0" borderId="0" xfId="508" applyNumberFormat="1" applyFont="1" applyFill="1" applyAlignment="1">
      <alignment horizontal="center"/>
    </xf>
    <xf numFmtId="165" fontId="26" fillId="24" borderId="10" xfId="508" applyNumberFormat="1" applyFont="1" applyFill="1" applyBorder="1" applyAlignment="1">
      <alignment horizontal="left" vertical="center"/>
    </xf>
    <xf numFmtId="0" fontId="26" fillId="24" borderId="11" xfId="0" applyFont="1" applyFill="1" applyBorder="1" applyAlignment="1">
      <alignment vertical="center"/>
    </xf>
    <xf numFmtId="165" fontId="26" fillId="24" borderId="11" xfId="508" applyNumberFormat="1" applyFont="1" applyFill="1" applyBorder="1" applyAlignment="1">
      <alignment horizontal="center" vertical="center"/>
    </xf>
    <xf numFmtId="166" fontId="26" fillId="24" borderId="11" xfId="508" applyNumberFormat="1" applyFont="1" applyFill="1" applyBorder="1" applyAlignment="1">
      <alignment horizontal="center" vertical="center"/>
    </xf>
    <xf numFmtId="165" fontId="26" fillId="24" borderId="12" xfId="508" applyNumberFormat="1" applyFont="1" applyFill="1" applyBorder="1" applyAlignment="1">
      <alignment horizontal="center" vertical="center"/>
    </xf>
    <xf numFmtId="165" fontId="27" fillId="0" borderId="13" xfId="508" applyNumberFormat="1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165" fontId="27" fillId="0" borderId="14" xfId="508" applyNumberFormat="1" applyFont="1" applyFill="1" applyBorder="1" applyAlignment="1">
      <alignment horizontal="center" vertical="center"/>
    </xf>
    <xf numFmtId="165" fontId="27" fillId="0" borderId="15" xfId="508" applyNumberFormat="1" applyFont="1" applyFill="1" applyBorder="1" applyAlignment="1">
      <alignment horizontal="center" vertical="center"/>
    </xf>
    <xf numFmtId="10" fontId="27" fillId="0" borderId="16" xfId="508" applyNumberFormat="1" applyFont="1" applyFill="1" applyBorder="1" applyAlignment="1">
      <alignment horizontal="center" vertical="center"/>
    </xf>
    <xf numFmtId="165" fontId="27" fillId="0" borderId="0" xfId="508" applyNumberFormat="1" applyFont="1" applyFill="1" applyBorder="1" applyAlignment="1">
      <alignment horizontal="center" vertical="center"/>
    </xf>
    <xf numFmtId="165" fontId="27" fillId="24" borderId="11" xfId="508" applyNumberFormat="1" applyFont="1" applyFill="1" applyBorder="1" applyAlignment="1">
      <alignment horizontal="center" vertical="center"/>
    </xf>
    <xf numFmtId="165" fontId="27" fillId="0" borderId="17" xfId="508" applyNumberFormat="1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/>
    </xf>
    <xf numFmtId="0" fontId="27" fillId="0" borderId="16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left" vertical="center"/>
    </xf>
    <xf numFmtId="165" fontId="27" fillId="25" borderId="14" xfId="508" applyNumberFormat="1" applyFont="1" applyFill="1" applyBorder="1" applyAlignment="1">
      <alignment horizontal="center" vertical="center"/>
    </xf>
    <xf numFmtId="165" fontId="26" fillId="0" borderId="0" xfId="508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5" fontId="27" fillId="0" borderId="18" xfId="508" applyNumberFormat="1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vertical="center"/>
    </xf>
    <xf numFmtId="165" fontId="27" fillId="0" borderId="19" xfId="508" applyNumberFormat="1" applyFont="1" applyFill="1" applyBorder="1" applyAlignment="1">
      <alignment horizontal="center" vertical="center"/>
    </xf>
    <xf numFmtId="165" fontId="27" fillId="0" borderId="20" xfId="508" applyNumberFormat="1" applyFont="1" applyFill="1" applyBorder="1" applyAlignment="1">
      <alignment horizontal="center" vertical="center"/>
    </xf>
    <xf numFmtId="165" fontId="27" fillId="0" borderId="21" xfId="508" applyNumberFormat="1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165" fontId="26" fillId="0" borderId="23" xfId="508" applyNumberFormat="1" applyFont="1" applyFill="1" applyBorder="1" applyAlignment="1">
      <alignment horizontal="center" vertical="center"/>
    </xf>
    <xf numFmtId="0" fontId="26" fillId="0" borderId="24" xfId="0" applyFont="1" applyFill="1" applyBorder="1" applyAlignment="1">
      <alignment horizontal="center" vertical="center"/>
    </xf>
    <xf numFmtId="165" fontId="26" fillId="0" borderId="24" xfId="508" applyNumberFormat="1" applyFont="1" applyFill="1" applyBorder="1" applyAlignment="1">
      <alignment horizontal="center" vertical="center"/>
    </xf>
    <xf numFmtId="165" fontId="27" fillId="0" borderId="24" xfId="508" applyNumberFormat="1" applyFont="1" applyFill="1" applyBorder="1" applyAlignment="1">
      <alignment horizontal="center" vertical="center"/>
    </xf>
    <xf numFmtId="10" fontId="26" fillId="0" borderId="25" xfId="508" applyNumberFormat="1" applyFont="1" applyFill="1" applyBorder="1" applyAlignment="1">
      <alignment horizontal="center" vertical="center"/>
    </xf>
    <xf numFmtId="0" fontId="27" fillId="0" borderId="14" xfId="0" applyFont="1" applyBorder="1"/>
    <xf numFmtId="0" fontId="26" fillId="0" borderId="0" xfId="0" applyFont="1" applyFill="1" applyBorder="1" applyAlignment="1">
      <alignment horizontal="center" vertical="center"/>
    </xf>
    <xf numFmtId="10" fontId="26" fillId="0" borderId="0" xfId="508" applyNumberFormat="1" applyFont="1" applyFill="1" applyBorder="1" applyAlignment="1">
      <alignment horizontal="center" vertical="center"/>
    </xf>
    <xf numFmtId="165" fontId="26" fillId="0" borderId="26" xfId="508" applyNumberFormat="1" applyFont="1" applyFill="1" applyBorder="1"/>
    <xf numFmtId="0" fontId="26" fillId="0" borderId="27" xfId="0" applyFont="1" applyFill="1" applyBorder="1"/>
    <xf numFmtId="165" fontId="26" fillId="0" borderId="28" xfId="508" applyNumberFormat="1" applyFont="1" applyFill="1" applyBorder="1" applyAlignment="1">
      <alignment horizontal="center" vertical="center"/>
    </xf>
    <xf numFmtId="165" fontId="26" fillId="0" borderId="29" xfId="508" applyNumberFormat="1" applyFont="1" applyFill="1" applyBorder="1" applyAlignment="1">
      <alignment horizontal="center" vertical="center"/>
    </xf>
    <xf numFmtId="165" fontId="26" fillId="0" borderId="30" xfId="508" applyNumberFormat="1" applyFont="1" applyFill="1" applyBorder="1" applyAlignment="1">
      <alignment horizontal="center" vertical="center"/>
    </xf>
    <xf numFmtId="165" fontId="26" fillId="0" borderId="31" xfId="508" applyNumberFormat="1" applyFont="1" applyFill="1" applyBorder="1" applyAlignment="1">
      <alignment horizontal="center" vertical="center"/>
    </xf>
    <xf numFmtId="165" fontId="26" fillId="0" borderId="27" xfId="508" applyNumberFormat="1" applyFont="1" applyFill="1" applyBorder="1" applyAlignment="1">
      <alignment horizontal="center" vertical="center"/>
    </xf>
    <xf numFmtId="165" fontId="27" fillId="0" borderId="14" xfId="508" applyNumberFormat="1" applyFont="1" applyFill="1" applyBorder="1" applyAlignment="1">
      <alignment vertical="center"/>
    </xf>
    <xf numFmtId="165" fontId="27" fillId="0" borderId="0" xfId="508" applyNumberFormat="1" applyFont="1" applyFill="1" applyAlignment="1">
      <alignment horizontal="center" vertical="center"/>
    </xf>
    <xf numFmtId="164" fontId="28" fillId="0" borderId="0" xfId="508" applyNumberFormat="1" applyFont="1" applyFill="1" applyBorder="1"/>
    <xf numFmtId="0" fontId="28" fillId="0" borderId="0" xfId="0" applyFont="1"/>
    <xf numFmtId="0" fontId="29" fillId="0" borderId="0" xfId="0" applyFont="1" applyFill="1" applyBorder="1"/>
    <xf numFmtId="0" fontId="29" fillId="0" borderId="0" xfId="0" applyFont="1" applyFill="1" applyBorder="1" applyAlignment="1">
      <alignment horizontal="center"/>
    </xf>
    <xf numFmtId="164" fontId="28" fillId="0" borderId="0" xfId="508" applyNumberFormat="1" applyFont="1"/>
    <xf numFmtId="164" fontId="28" fillId="0" borderId="14" xfId="508" applyNumberFormat="1" applyFont="1" applyBorder="1" applyAlignment="1">
      <alignment horizontal="center" wrapText="1"/>
    </xf>
    <xf numFmtId="164" fontId="28" fillId="0" borderId="14" xfId="508" applyNumberFormat="1" applyFont="1" applyFill="1" applyBorder="1" applyAlignment="1">
      <alignment horizontal="center" wrapText="1"/>
    </xf>
    <xf numFmtId="164" fontId="29" fillId="24" borderId="14" xfId="508" applyNumberFormat="1" applyFont="1" applyFill="1" applyBorder="1" applyAlignment="1">
      <alignment horizontal="center" wrapText="1"/>
    </xf>
    <xf numFmtId="43" fontId="28" fillId="0" borderId="0" xfId="508" applyFont="1"/>
    <xf numFmtId="165" fontId="28" fillId="0" borderId="0" xfId="508" applyNumberFormat="1" applyFont="1"/>
    <xf numFmtId="38" fontId="28" fillId="0" borderId="0" xfId="0" applyNumberFormat="1" applyFont="1"/>
    <xf numFmtId="38" fontId="28" fillId="0" borderId="0" xfId="508" applyNumberFormat="1" applyFont="1"/>
    <xf numFmtId="40" fontId="28" fillId="0" borderId="0" xfId="508" applyNumberFormat="1" applyFont="1"/>
    <xf numFmtId="0" fontId="28" fillId="0" borderId="0" xfId="0" applyFont="1" applyAlignment="1">
      <alignment vertical="center"/>
    </xf>
    <xf numFmtId="164" fontId="29" fillId="24" borderId="32" xfId="508" applyNumberFormat="1" applyFont="1" applyFill="1" applyBorder="1" applyAlignment="1">
      <alignment horizontal="center" wrapText="1"/>
    </xf>
    <xf numFmtId="0" fontId="28" fillId="0" borderId="0" xfId="0" applyFont="1" applyBorder="1"/>
    <xf numFmtId="164" fontId="28" fillId="0" borderId="0" xfId="0" applyNumberFormat="1" applyFont="1"/>
    <xf numFmtId="0" fontId="28" fillId="0" borderId="0" xfId="0" applyFont="1" applyAlignment="1">
      <alignment vertical="top"/>
    </xf>
    <xf numFmtId="165" fontId="28" fillId="0" borderId="14" xfId="508" applyNumberFormat="1" applyFont="1" applyFill="1" applyBorder="1" applyAlignment="1">
      <alignment horizontal="center" vertical="center" wrapText="1"/>
    </xf>
    <xf numFmtId="0" fontId="29" fillId="0" borderId="31" xfId="0" applyFont="1" applyFill="1" applyBorder="1" applyAlignment="1">
      <alignment horizontal="center" vertical="center"/>
    </xf>
    <xf numFmtId="165" fontId="27" fillId="0" borderId="16" xfId="508" applyNumberFormat="1" applyFont="1" applyFill="1" applyBorder="1" applyAlignment="1">
      <alignment horizontal="left" vertical="center"/>
    </xf>
    <xf numFmtId="165" fontId="27" fillId="0" borderId="16" xfId="508" applyNumberFormat="1" applyFont="1" applyFill="1" applyBorder="1" applyAlignment="1">
      <alignment horizontal="center" vertical="center"/>
    </xf>
    <xf numFmtId="9" fontId="26" fillId="0" borderId="0" xfId="508" applyNumberFormat="1" applyFont="1" applyFill="1" applyBorder="1" applyAlignment="1">
      <alignment horizontal="center" vertical="center"/>
    </xf>
    <xf numFmtId="165" fontId="26" fillId="0" borderId="0" xfId="508" applyNumberFormat="1" applyFont="1" applyFill="1" applyAlignment="1">
      <alignment horizontal="left"/>
    </xf>
    <xf numFmtId="165" fontId="27" fillId="0" borderId="0" xfId="508" applyNumberFormat="1" applyFont="1" applyFill="1" applyAlignment="1">
      <alignment horizontal="left"/>
    </xf>
    <xf numFmtId="165" fontId="27" fillId="0" borderId="33" xfId="508" applyNumberFormat="1" applyFont="1" applyFill="1" applyBorder="1" applyAlignment="1">
      <alignment horizontal="left" vertical="center" wrapText="1"/>
    </xf>
    <xf numFmtId="164" fontId="28" fillId="0" borderId="0" xfId="508" applyNumberFormat="1" applyFont="1" applyFill="1"/>
    <xf numFmtId="43" fontId="28" fillId="0" borderId="0" xfId="508" applyFont="1" applyFill="1"/>
    <xf numFmtId="43" fontId="24" fillId="0" borderId="0" xfId="0" applyNumberFormat="1" applyFont="1" applyFill="1" applyAlignment="1">
      <alignment vertical="center"/>
    </xf>
    <xf numFmtId="9" fontId="26" fillId="24" borderId="32" xfId="508" applyNumberFormat="1" applyFont="1" applyFill="1" applyBorder="1" applyAlignment="1">
      <alignment horizontal="center" vertical="center" wrapText="1"/>
    </xf>
    <xf numFmtId="165" fontId="27" fillId="0" borderId="22" xfId="508" applyNumberFormat="1" applyFont="1" applyFill="1" applyBorder="1" applyAlignment="1">
      <alignment horizontal="center" vertical="center"/>
    </xf>
    <xf numFmtId="165" fontId="26" fillId="0" borderId="23" xfId="508" applyNumberFormat="1" applyFont="1" applyFill="1" applyBorder="1" applyAlignment="1">
      <alignment horizontal="center"/>
    </xf>
    <xf numFmtId="0" fontId="27" fillId="0" borderId="24" xfId="0" applyFont="1" applyFill="1" applyBorder="1"/>
    <xf numFmtId="0" fontId="27" fillId="0" borderId="25" xfId="0" applyFont="1" applyFill="1" applyBorder="1" applyAlignment="1">
      <alignment horizontal="center"/>
    </xf>
    <xf numFmtId="0" fontId="27" fillId="0" borderId="13" xfId="0" applyFont="1" applyFill="1" applyBorder="1" applyAlignment="1">
      <alignment vertical="center"/>
    </xf>
    <xf numFmtId="165" fontId="27" fillId="0" borderId="16" xfId="508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0" fontId="27" fillId="0" borderId="28" xfId="0" applyFont="1" applyFill="1" applyBorder="1" applyAlignment="1">
      <alignment vertical="center"/>
    </xf>
    <xf numFmtId="165" fontId="27" fillId="0" borderId="28" xfId="508" applyNumberFormat="1" applyFont="1" applyFill="1" applyBorder="1" applyAlignment="1">
      <alignment horizontal="left" vertical="center"/>
    </xf>
    <xf numFmtId="165" fontId="27" fillId="0" borderId="31" xfId="508" applyNumberFormat="1" applyFont="1" applyFill="1" applyBorder="1" applyAlignment="1">
      <alignment horizontal="left" vertical="center" wrapText="1"/>
    </xf>
    <xf numFmtId="43" fontId="0" fillId="0" borderId="0" xfId="0" applyNumberFormat="1"/>
    <xf numFmtId="165" fontId="27" fillId="0" borderId="15" xfId="508" applyNumberFormat="1" applyFont="1" applyFill="1" applyBorder="1" applyAlignment="1">
      <alignment vertical="center"/>
    </xf>
    <xf numFmtId="165" fontId="27" fillId="0" borderId="28" xfId="508" applyNumberFormat="1" applyFont="1" applyFill="1" applyBorder="1" applyAlignment="1">
      <alignment horizontal="center" vertical="center"/>
    </xf>
    <xf numFmtId="0" fontId="28" fillId="0" borderId="0" xfId="0" applyFont="1" applyFill="1"/>
    <xf numFmtId="165" fontId="28" fillId="24" borderId="14" xfId="508" applyNumberFormat="1" applyFont="1" applyFill="1" applyBorder="1" applyAlignment="1">
      <alignment horizontal="center" vertical="center" wrapText="1"/>
    </xf>
    <xf numFmtId="167" fontId="27" fillId="0" borderId="14" xfId="508" applyNumberFormat="1" applyFont="1" applyFill="1" applyBorder="1" applyAlignment="1">
      <alignment horizontal="center" vertical="center"/>
    </xf>
    <xf numFmtId="167" fontId="27" fillId="0" borderId="0" xfId="508" applyNumberFormat="1" applyFont="1" applyFill="1" applyBorder="1" applyAlignment="1">
      <alignment horizontal="center" vertical="center"/>
    </xf>
    <xf numFmtId="167" fontId="27" fillId="24" borderId="11" xfId="508" applyNumberFormat="1" applyFont="1" applyFill="1" applyBorder="1" applyAlignment="1">
      <alignment horizontal="center" vertical="center"/>
    </xf>
    <xf numFmtId="167" fontId="27" fillId="0" borderId="24" xfId="508" applyNumberFormat="1" applyFont="1" applyFill="1" applyBorder="1" applyAlignment="1">
      <alignment horizontal="center" vertical="center"/>
    </xf>
    <xf numFmtId="167" fontId="26" fillId="0" borderId="0" xfId="508" applyNumberFormat="1" applyFont="1" applyFill="1" applyBorder="1" applyAlignment="1">
      <alignment horizontal="center" vertical="center"/>
    </xf>
    <xf numFmtId="167" fontId="27" fillId="0" borderId="28" xfId="508" applyNumberFormat="1" applyFont="1" applyFill="1" applyBorder="1" applyAlignment="1">
      <alignment horizontal="center" vertical="center"/>
    </xf>
    <xf numFmtId="43" fontId="28" fillId="0" borderId="14" xfId="508" applyFont="1" applyFill="1" applyBorder="1" applyAlignment="1">
      <alignment horizontal="center" vertical="center" wrapText="1"/>
    </xf>
    <xf numFmtId="0" fontId="29" fillId="0" borderId="28" xfId="0" applyFont="1" applyFill="1" applyBorder="1" applyAlignment="1">
      <alignment horizontal="center" vertical="center"/>
    </xf>
    <xf numFmtId="167" fontId="28" fillId="0" borderId="14" xfId="508" applyNumberFormat="1" applyFont="1" applyFill="1" applyBorder="1" applyAlignment="1">
      <alignment horizontal="center" vertical="center" wrapText="1"/>
    </xf>
    <xf numFmtId="164" fontId="28" fillId="0" borderId="14" xfId="508" applyNumberFormat="1" applyFont="1" applyBorder="1" applyAlignment="1">
      <alignment horizontal="center" vertical="center" wrapText="1"/>
    </xf>
    <xf numFmtId="164" fontId="28" fillId="0" borderId="14" xfId="508" applyNumberFormat="1" applyFont="1" applyFill="1" applyBorder="1" applyAlignment="1">
      <alignment horizontal="center" vertical="center" wrapText="1"/>
    </xf>
    <xf numFmtId="164" fontId="29" fillId="24" borderId="14" xfId="508" applyNumberFormat="1" applyFont="1" applyFill="1" applyBorder="1" applyAlignment="1">
      <alignment horizontal="center" vertical="center" wrapText="1"/>
    </xf>
    <xf numFmtId="164" fontId="29" fillId="24" borderId="14" xfId="508" applyNumberFormat="1" applyFont="1" applyFill="1" applyBorder="1" applyAlignment="1">
      <alignment horizontal="center" vertical="center"/>
    </xf>
    <xf numFmtId="43" fontId="28" fillId="0" borderId="14" xfId="508" applyFont="1" applyBorder="1" applyAlignment="1">
      <alignment horizontal="center" vertical="center" wrapText="1"/>
    </xf>
    <xf numFmtId="43" fontId="29" fillId="24" borderId="14" xfId="508" applyFont="1" applyFill="1" applyBorder="1" applyAlignment="1">
      <alignment horizontal="center" vertical="center" wrapText="1"/>
    </xf>
    <xf numFmtId="167" fontId="28" fillId="0" borderId="0" xfId="508" applyNumberFormat="1" applyFont="1" applyFill="1"/>
    <xf numFmtId="167" fontId="28" fillId="0" borderId="0" xfId="508" applyNumberFormat="1" applyFont="1"/>
    <xf numFmtId="164" fontId="28" fillId="0" borderId="0" xfId="508" applyNumberFormat="1" applyFont="1" applyFill="1" applyBorder="1" applyAlignment="1">
      <alignment horizontal="center" wrapText="1"/>
    </xf>
    <xf numFmtId="165" fontId="28" fillId="0" borderId="0" xfId="0" applyNumberFormat="1" applyFont="1"/>
    <xf numFmtId="165" fontId="26" fillId="0" borderId="0" xfId="508" applyNumberFormat="1" applyFont="1" applyFill="1" applyBorder="1" applyAlignment="1">
      <alignment horizontal="left" vertical="center"/>
    </xf>
    <xf numFmtId="0" fontId="26" fillId="0" borderId="0" xfId="0" applyFont="1" applyBorder="1"/>
    <xf numFmtId="0" fontId="0" fillId="0" borderId="14" xfId="0" applyBorder="1"/>
    <xf numFmtId="0" fontId="27" fillId="0" borderId="34" xfId="0" applyFont="1" applyFill="1" applyBorder="1" applyAlignment="1">
      <alignment horizontal="left" vertical="center"/>
    </xf>
    <xf numFmtId="43" fontId="0" fillId="0" borderId="0" xfId="508" applyFont="1"/>
    <xf numFmtId="165" fontId="26" fillId="0" borderId="35" xfId="508" applyNumberFormat="1" applyFont="1" applyFill="1" applyBorder="1" applyAlignment="1">
      <alignment vertical="center" wrapText="1"/>
    </xf>
    <xf numFmtId="165" fontId="26" fillId="0" borderId="34" xfId="508" applyNumberFormat="1" applyFont="1" applyFill="1" applyBorder="1" applyAlignment="1">
      <alignment vertical="center" wrapText="1"/>
    </xf>
    <xf numFmtId="165" fontId="27" fillId="0" borderId="14" xfId="508" applyNumberFormat="1" applyFont="1" applyFill="1" applyBorder="1" applyAlignment="1">
      <alignment horizontal="left" vertical="center"/>
    </xf>
    <xf numFmtId="167" fontId="0" fillId="0" borderId="14" xfId="508" applyNumberFormat="1" applyFont="1" applyBorder="1"/>
    <xf numFmtId="165" fontId="0" fillId="0" borderId="14" xfId="508" applyNumberFormat="1" applyFont="1" applyBorder="1"/>
    <xf numFmtId="0" fontId="26" fillId="0" borderId="14" xfId="0" applyFont="1" applyFill="1" applyBorder="1" applyAlignment="1">
      <alignment horizontal="left" vertical="center"/>
    </xf>
    <xf numFmtId="165" fontId="28" fillId="0" borderId="0" xfId="508" applyNumberFormat="1" applyFont="1" applyFill="1" applyBorder="1" applyAlignment="1">
      <alignment horizontal="center" vertical="center" wrapText="1"/>
    </xf>
    <xf numFmtId="0" fontId="24" fillId="26" borderId="0" xfId="0" applyFont="1" applyFill="1" applyAlignment="1">
      <alignment vertical="center"/>
    </xf>
    <xf numFmtId="165" fontId="28" fillId="25" borderId="14" xfId="508" applyNumberFormat="1" applyFont="1" applyFill="1" applyBorder="1" applyAlignment="1">
      <alignment horizontal="center" vertical="center" wrapText="1"/>
    </xf>
    <xf numFmtId="165" fontId="26" fillId="0" borderId="36" xfId="508" applyNumberFormat="1" applyFont="1" applyFill="1" applyBorder="1" applyAlignment="1">
      <alignment horizontal="center" vertical="center"/>
    </xf>
    <xf numFmtId="9" fontId="30" fillId="24" borderId="32" xfId="508" applyNumberFormat="1" applyFont="1" applyFill="1" applyBorder="1" applyAlignment="1">
      <alignment horizontal="center" vertical="center" wrapText="1"/>
    </xf>
    <xf numFmtId="167" fontId="27" fillId="0" borderId="19" xfId="508" applyNumberFormat="1" applyFont="1" applyFill="1" applyBorder="1" applyAlignment="1">
      <alignment horizontal="center" vertical="center"/>
    </xf>
    <xf numFmtId="167" fontId="27" fillId="0" borderId="17" xfId="508" applyNumberFormat="1" applyFont="1" applyFill="1" applyBorder="1" applyAlignment="1">
      <alignment horizontal="center" vertical="center"/>
    </xf>
    <xf numFmtId="167" fontId="27" fillId="0" borderId="29" xfId="508" applyNumberFormat="1" applyFont="1" applyFill="1" applyBorder="1" applyAlignment="1">
      <alignment horizontal="center" vertical="center"/>
    </xf>
    <xf numFmtId="37" fontId="24" fillId="0" borderId="0" xfId="508" applyNumberFormat="1" applyFont="1" applyFill="1" applyAlignment="1">
      <alignment horizontal="right"/>
    </xf>
    <xf numFmtId="164" fontId="28" fillId="0" borderId="14" xfId="508" applyNumberFormat="1" applyFont="1" applyBorder="1"/>
    <xf numFmtId="0" fontId="26" fillId="0" borderId="27" xfId="0" applyFont="1" applyFill="1" applyBorder="1" applyAlignment="1">
      <alignment horizontal="left" vertical="center"/>
    </xf>
    <xf numFmtId="9" fontId="26" fillId="0" borderId="36" xfId="508" applyNumberFormat="1" applyFont="1" applyFill="1" applyBorder="1" applyAlignment="1">
      <alignment horizontal="center" vertical="center"/>
    </xf>
    <xf numFmtId="165" fontId="26" fillId="0" borderId="37" xfId="508" applyNumberFormat="1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left" vertical="center"/>
    </xf>
    <xf numFmtId="165" fontId="27" fillId="0" borderId="22" xfId="508" applyNumberFormat="1" applyFont="1" applyFill="1" applyBorder="1" applyAlignment="1">
      <alignment vertical="center"/>
    </xf>
    <xf numFmtId="165" fontId="27" fillId="0" borderId="21" xfId="508" applyNumberFormat="1" applyFont="1" applyFill="1" applyBorder="1" applyAlignment="1">
      <alignment vertical="center"/>
    </xf>
    <xf numFmtId="165" fontId="27" fillId="0" borderId="19" xfId="508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vertical="center"/>
    </xf>
    <xf numFmtId="167" fontId="27" fillId="0" borderId="38" xfId="508" applyNumberFormat="1" applyFont="1" applyFill="1" applyBorder="1" applyAlignment="1">
      <alignment horizontal="center" vertical="center"/>
    </xf>
    <xf numFmtId="167" fontId="27" fillId="0" borderId="20" xfId="508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/>
    </xf>
    <xf numFmtId="165" fontId="26" fillId="0" borderId="26" xfId="508" applyNumberFormat="1" applyFont="1" applyFill="1" applyBorder="1" applyAlignment="1">
      <alignment horizontal="center" vertical="center"/>
    </xf>
    <xf numFmtId="167" fontId="26" fillId="0" borderId="27" xfId="508" applyNumberFormat="1" applyFont="1" applyFill="1" applyBorder="1" applyAlignment="1">
      <alignment horizontal="center" vertical="center"/>
    </xf>
    <xf numFmtId="165" fontId="26" fillId="0" borderId="39" xfId="508" applyNumberFormat="1" applyFont="1" applyFill="1" applyBorder="1" applyAlignment="1">
      <alignment horizontal="center" vertical="center"/>
    </xf>
    <xf numFmtId="10" fontId="26" fillId="0" borderId="36" xfId="508" applyNumberFormat="1" applyFont="1" applyFill="1" applyBorder="1" applyAlignment="1">
      <alignment horizontal="center" vertical="center"/>
    </xf>
    <xf numFmtId="0" fontId="26" fillId="0" borderId="26" xfId="0" applyFont="1" applyFill="1" applyBorder="1" applyAlignment="1">
      <alignment horizontal="center" vertical="center"/>
    </xf>
    <xf numFmtId="10" fontId="27" fillId="0" borderId="22" xfId="508" applyNumberFormat="1" applyFont="1" applyFill="1" applyBorder="1" applyAlignment="1">
      <alignment horizontal="center" vertical="center"/>
    </xf>
    <xf numFmtId="165" fontId="31" fillId="0" borderId="14" xfId="508" applyNumberFormat="1" applyFont="1" applyFill="1" applyBorder="1" applyAlignment="1">
      <alignment horizontal="center" vertical="center" wrapText="1"/>
    </xf>
    <xf numFmtId="168" fontId="28" fillId="25" borderId="14" xfId="508" applyNumberFormat="1" applyFont="1" applyFill="1" applyBorder="1" applyAlignment="1">
      <alignment horizontal="center" vertical="center" wrapText="1"/>
    </xf>
    <xf numFmtId="43" fontId="24" fillId="0" borderId="0" xfId="508" applyFont="1" applyFill="1" applyAlignment="1">
      <alignment horizontal="center"/>
    </xf>
    <xf numFmtId="165" fontId="24" fillId="0" borderId="0" xfId="0" applyNumberFormat="1" applyFont="1" applyFill="1" applyAlignment="1">
      <alignment vertical="center"/>
    </xf>
    <xf numFmtId="167" fontId="0" fillId="0" borderId="0" xfId="508" applyNumberFormat="1" applyFont="1"/>
    <xf numFmtId="165" fontId="28" fillId="0" borderId="14" xfId="508" applyNumberFormat="1" applyFont="1" applyFill="1" applyBorder="1" applyAlignment="1">
      <alignment horizontal="center" vertical="center" wrapText="1"/>
    </xf>
    <xf numFmtId="165" fontId="28" fillId="24" borderId="14" xfId="508" applyNumberFormat="1" applyFont="1" applyFill="1" applyBorder="1" applyAlignment="1">
      <alignment horizontal="center" vertical="center" wrapText="1"/>
    </xf>
    <xf numFmtId="0" fontId="29" fillId="28" borderId="28" xfId="0" applyFont="1" applyFill="1" applyBorder="1" applyAlignment="1">
      <alignment horizontal="center" vertical="center"/>
    </xf>
    <xf numFmtId="0" fontId="28" fillId="27" borderId="0" xfId="0" applyFont="1" applyFill="1"/>
    <xf numFmtId="0" fontId="29" fillId="0" borderId="28" xfId="0" applyFont="1" applyFill="1" applyBorder="1" applyAlignment="1">
      <alignment horizontal="center" vertical="center"/>
    </xf>
    <xf numFmtId="164" fontId="28" fillId="0" borderId="0" xfId="0" applyNumberFormat="1" applyFont="1" applyFill="1"/>
    <xf numFmtId="164" fontId="28" fillId="0" borderId="14" xfId="508" applyNumberFormat="1" applyFont="1" applyFill="1" applyBorder="1"/>
    <xf numFmtId="165" fontId="6" fillId="0" borderId="14" xfId="508" applyNumberFormat="1" applyFont="1" applyFill="1" applyBorder="1" applyAlignment="1">
      <alignment vertical="center"/>
    </xf>
    <xf numFmtId="165" fontId="6" fillId="0" borderId="14" xfId="508" applyNumberFormat="1" applyFont="1" applyFill="1" applyBorder="1" applyAlignment="1">
      <alignment horizontal="center" vertical="center"/>
    </xf>
    <xf numFmtId="165" fontId="34" fillId="0" borderId="14" xfId="508" applyNumberFormat="1" applyFont="1" applyBorder="1"/>
    <xf numFmtId="43" fontId="28" fillId="24" borderId="14" xfId="508" applyNumberFormat="1" applyFont="1" applyFill="1" applyBorder="1" applyAlignment="1">
      <alignment horizontal="center" vertical="center" wrapText="1"/>
    </xf>
    <xf numFmtId="0" fontId="29" fillId="0" borderId="28" xfId="0" applyFont="1" applyFill="1" applyBorder="1" applyAlignment="1">
      <alignment horizontal="center" vertical="center"/>
    </xf>
    <xf numFmtId="0" fontId="29" fillId="0" borderId="28" xfId="0" applyFont="1" applyFill="1" applyBorder="1" applyAlignment="1">
      <alignment horizontal="center" vertical="center"/>
    </xf>
    <xf numFmtId="0" fontId="26" fillId="24" borderId="11" xfId="0" applyFont="1" applyFill="1" applyBorder="1" applyAlignment="1">
      <alignment horizontal="center" vertical="center"/>
    </xf>
    <xf numFmtId="0" fontId="26" fillId="24" borderId="29" xfId="0" applyFont="1" applyFill="1" applyBorder="1" applyAlignment="1">
      <alignment horizontal="center" vertical="center"/>
    </xf>
    <xf numFmtId="37" fontId="26" fillId="24" borderId="35" xfId="508" applyNumberFormat="1" applyFont="1" applyFill="1" applyBorder="1" applyAlignment="1">
      <alignment horizontal="center" vertical="center" wrapText="1"/>
    </xf>
    <xf numFmtId="0" fontId="26" fillId="24" borderId="40" xfId="0" applyFont="1" applyFill="1" applyBorder="1" applyAlignment="1">
      <alignment horizontal="center" vertical="center" wrapText="1"/>
    </xf>
    <xf numFmtId="0" fontId="26" fillId="0" borderId="24" xfId="0" applyFont="1" applyFill="1" applyBorder="1" applyAlignment="1">
      <alignment horizontal="left" vertical="center"/>
    </xf>
    <xf numFmtId="37" fontId="26" fillId="0" borderId="24" xfId="508" applyNumberFormat="1" applyFont="1" applyFill="1" applyBorder="1" applyAlignment="1">
      <alignment horizontal="right" vertical="center"/>
    </xf>
    <xf numFmtId="165" fontId="26" fillId="24" borderId="33" xfId="508" applyNumberFormat="1" applyFont="1" applyFill="1" applyBorder="1" applyAlignment="1">
      <alignment horizontal="center" vertical="center" wrapText="1"/>
    </xf>
    <xf numFmtId="165" fontId="26" fillId="24" borderId="41" xfId="508" applyNumberFormat="1" applyFont="1" applyFill="1" applyBorder="1" applyAlignment="1">
      <alignment horizontal="center" vertical="center" wrapText="1"/>
    </xf>
    <xf numFmtId="165" fontId="26" fillId="24" borderId="28" xfId="508" applyNumberFormat="1" applyFont="1" applyFill="1" applyBorder="1" applyAlignment="1">
      <alignment horizontal="center" vertical="center" wrapText="1"/>
    </xf>
    <xf numFmtId="165" fontId="26" fillId="24" borderId="32" xfId="508" applyNumberFormat="1" applyFont="1" applyFill="1" applyBorder="1" applyAlignment="1">
      <alignment horizontal="center" vertical="center" wrapText="1"/>
    </xf>
    <xf numFmtId="43" fontId="26" fillId="24" borderId="31" xfId="508" applyNumberFormat="1" applyFont="1" applyFill="1" applyBorder="1" applyAlignment="1">
      <alignment horizontal="center" vertical="center" wrapText="1"/>
    </xf>
    <xf numFmtId="43" fontId="26" fillId="24" borderId="42" xfId="508" applyNumberFormat="1" applyFont="1" applyFill="1" applyBorder="1" applyAlignment="1">
      <alignment horizontal="center" vertical="center" wrapText="1"/>
    </xf>
    <xf numFmtId="37" fontId="35" fillId="24" borderId="35" xfId="508" applyNumberFormat="1" applyFont="1" applyFill="1" applyBorder="1" applyAlignment="1">
      <alignment horizontal="center" vertical="center" wrapText="1"/>
    </xf>
    <xf numFmtId="0" fontId="35" fillId="24" borderId="40" xfId="0" applyFont="1" applyFill="1" applyBorder="1" applyAlignment="1">
      <alignment horizontal="center" vertical="center" wrapText="1"/>
    </xf>
    <xf numFmtId="164" fontId="29" fillId="0" borderId="18" xfId="508" applyNumberFormat="1" applyFont="1" applyFill="1" applyBorder="1" applyAlignment="1">
      <alignment horizontal="left" vertical="top" wrapText="1"/>
    </xf>
    <xf numFmtId="164" fontId="29" fillId="0" borderId="43" xfId="508" applyNumberFormat="1" applyFont="1" applyFill="1" applyBorder="1" applyAlignment="1">
      <alignment horizontal="left" vertical="top" wrapText="1"/>
    </xf>
    <xf numFmtId="164" fontId="29" fillId="0" borderId="44" xfId="508" applyNumberFormat="1" applyFont="1" applyFill="1" applyBorder="1" applyAlignment="1">
      <alignment horizontal="left" vertical="top" wrapText="1"/>
    </xf>
    <xf numFmtId="38" fontId="26" fillId="0" borderId="13" xfId="508" applyNumberFormat="1" applyFont="1" applyBorder="1" applyAlignment="1">
      <alignment horizontal="left" vertical="top" wrapText="1"/>
    </xf>
    <xf numFmtId="164" fontId="29" fillId="0" borderId="13" xfId="508" applyNumberFormat="1" applyFont="1" applyBorder="1" applyAlignment="1">
      <alignment horizontal="left" vertical="top" wrapText="1"/>
    </xf>
    <xf numFmtId="164" fontId="29" fillId="0" borderId="41" xfId="508" applyNumberFormat="1" applyFont="1" applyBorder="1" applyAlignment="1">
      <alignment horizontal="left" vertical="top" wrapText="1"/>
    </xf>
    <xf numFmtId="38" fontId="26" fillId="0" borderId="13" xfId="508" applyNumberFormat="1" applyFont="1" applyFill="1" applyBorder="1" applyAlignment="1">
      <alignment horizontal="left" vertical="top" wrapText="1"/>
    </xf>
    <xf numFmtId="40" fontId="29" fillId="25" borderId="13" xfId="508" applyNumberFormat="1" applyFont="1" applyFill="1" applyBorder="1" applyAlignment="1">
      <alignment horizontal="left" vertical="center" wrapText="1"/>
    </xf>
    <xf numFmtId="40" fontId="29" fillId="25" borderId="14" xfId="508" applyNumberFormat="1" applyFont="1" applyFill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4" xfId="0" applyFont="1" applyBorder="1" applyAlignment="1">
      <alignment horizontal="left" vertical="center" wrapText="1"/>
    </xf>
    <xf numFmtId="0" fontId="29" fillId="0" borderId="33" xfId="0" applyFont="1" applyFill="1" applyBorder="1" applyAlignment="1">
      <alignment horizontal="center" vertical="center"/>
    </xf>
    <xf numFmtId="0" fontId="29" fillId="0" borderId="28" xfId="0" applyFont="1" applyFill="1" applyBorder="1" applyAlignment="1">
      <alignment horizontal="center" vertical="center"/>
    </xf>
    <xf numFmtId="164" fontId="29" fillId="0" borderId="14" xfId="508" applyNumberFormat="1" applyFont="1" applyFill="1" applyBorder="1" applyAlignment="1">
      <alignment horizontal="left"/>
    </xf>
    <xf numFmtId="164" fontId="29" fillId="0" borderId="13" xfId="508" applyNumberFormat="1" applyFont="1" applyFill="1" applyBorder="1" applyAlignment="1">
      <alignment horizontal="left"/>
    </xf>
    <xf numFmtId="164" fontId="26" fillId="0" borderId="13" xfId="508" applyNumberFormat="1" applyFont="1" applyBorder="1" applyAlignment="1">
      <alignment horizontal="left" vertical="top" wrapText="1"/>
    </xf>
    <xf numFmtId="38" fontId="29" fillId="0" borderId="13" xfId="0" applyNumberFormat="1" applyFont="1" applyFill="1" applyBorder="1" applyAlignment="1">
      <alignment horizontal="left" vertical="center" wrapText="1"/>
    </xf>
    <xf numFmtId="38" fontId="29" fillId="0" borderId="14" xfId="0" applyNumberFormat="1" applyFont="1" applyFill="1" applyBorder="1" applyAlignment="1">
      <alignment horizontal="left" vertical="center" wrapText="1"/>
    </xf>
    <xf numFmtId="40" fontId="29" fillId="0" borderId="13" xfId="508" applyNumberFormat="1" applyFont="1" applyFill="1" applyBorder="1" applyAlignment="1">
      <alignment horizontal="left" vertical="center" wrapText="1"/>
    </xf>
    <xf numFmtId="40" fontId="29" fillId="0" borderId="14" xfId="508" applyNumberFormat="1" applyFont="1" applyFill="1" applyBorder="1" applyAlignment="1">
      <alignment horizontal="left" vertical="center" wrapText="1"/>
    </xf>
    <xf numFmtId="38" fontId="29" fillId="25" borderId="13" xfId="0" applyNumberFormat="1" applyFont="1" applyFill="1" applyBorder="1" applyAlignment="1">
      <alignment horizontal="left" vertical="center" wrapText="1"/>
    </xf>
    <xf numFmtId="38" fontId="29" fillId="25" borderId="14" xfId="0" applyNumberFormat="1" applyFont="1" applyFill="1" applyBorder="1" applyAlignment="1">
      <alignment horizontal="left" vertical="center" wrapText="1"/>
    </xf>
    <xf numFmtId="164" fontId="29" fillId="0" borderId="13" xfId="508" applyNumberFormat="1" applyFont="1" applyFill="1" applyBorder="1" applyAlignment="1">
      <alignment horizontal="left" vertical="top" wrapText="1"/>
    </xf>
    <xf numFmtId="43" fontId="29" fillId="0" borderId="13" xfId="508" applyFont="1" applyBorder="1" applyAlignment="1">
      <alignment horizontal="left" vertical="top" wrapText="1"/>
    </xf>
    <xf numFmtId="165" fontId="27" fillId="0" borderId="14" xfId="508" applyNumberFormat="1" applyFont="1" applyFill="1" applyBorder="1" applyAlignment="1">
      <alignment horizontal="center" vertical="center" wrapText="1"/>
    </xf>
  </cellXfs>
  <cellStyles count="868">
    <cellStyle name="20% - Accent1 10" xfId="1"/>
    <cellStyle name="20% - Accent1 10 2" xfId="2"/>
    <cellStyle name="20% - Accent1 11" xfId="3"/>
    <cellStyle name="20% - Accent1 11 2" xfId="4"/>
    <cellStyle name="20% - Accent1 12" xfId="5"/>
    <cellStyle name="20% - Accent1 12 2" xfId="6"/>
    <cellStyle name="20% - Accent1 13" xfId="7"/>
    <cellStyle name="20% - Accent1 13 2" xfId="8"/>
    <cellStyle name="20% - Accent1 2" xfId="9"/>
    <cellStyle name="20% - Accent1 2 2" xfId="10"/>
    <cellStyle name="20% - Accent1 2 2 2" xfId="11"/>
    <cellStyle name="20% - Accent1 2 3" xfId="12"/>
    <cellStyle name="20% - Accent1 3" xfId="13"/>
    <cellStyle name="20% - Accent1 3 2" xfId="14"/>
    <cellStyle name="20% - Accent1 4" xfId="15"/>
    <cellStyle name="20% - Accent1 4 2" xfId="16"/>
    <cellStyle name="20% - Accent1 5" xfId="17"/>
    <cellStyle name="20% - Accent1 5 2" xfId="18"/>
    <cellStyle name="20% - Accent1 6" xfId="19"/>
    <cellStyle name="20% - Accent1 6 2" xfId="20"/>
    <cellStyle name="20% - Accent1 7" xfId="21"/>
    <cellStyle name="20% - Accent1 7 2" xfId="22"/>
    <cellStyle name="20% - Accent1 8" xfId="23"/>
    <cellStyle name="20% - Accent1 8 2" xfId="24"/>
    <cellStyle name="20% - Accent1 9" xfId="25"/>
    <cellStyle name="20% - Accent1 9 2" xfId="26"/>
    <cellStyle name="20% - Accent2 10" xfId="27"/>
    <cellStyle name="20% - Accent2 10 2" xfId="28"/>
    <cellStyle name="20% - Accent2 11" xfId="29"/>
    <cellStyle name="20% - Accent2 11 2" xfId="30"/>
    <cellStyle name="20% - Accent2 12" xfId="31"/>
    <cellStyle name="20% - Accent2 12 2" xfId="32"/>
    <cellStyle name="20% - Accent2 13" xfId="33"/>
    <cellStyle name="20% - Accent2 13 2" xfId="34"/>
    <cellStyle name="20% - Accent2 2" xfId="35"/>
    <cellStyle name="20% - Accent2 2 2" xfId="36"/>
    <cellStyle name="20% - Accent2 2 2 2" xfId="37"/>
    <cellStyle name="20% - Accent2 2 3" xfId="38"/>
    <cellStyle name="20% - Accent2 3" xfId="39"/>
    <cellStyle name="20% - Accent2 3 2" xfId="40"/>
    <cellStyle name="20% - Accent2 4" xfId="41"/>
    <cellStyle name="20% - Accent2 4 2" xfId="42"/>
    <cellStyle name="20% - Accent2 5" xfId="43"/>
    <cellStyle name="20% - Accent2 5 2" xfId="44"/>
    <cellStyle name="20% - Accent2 6" xfId="45"/>
    <cellStyle name="20% - Accent2 6 2" xfId="46"/>
    <cellStyle name="20% - Accent2 7" xfId="47"/>
    <cellStyle name="20% - Accent2 7 2" xfId="48"/>
    <cellStyle name="20% - Accent2 8" xfId="49"/>
    <cellStyle name="20% - Accent2 8 2" xfId="50"/>
    <cellStyle name="20% - Accent2 9" xfId="51"/>
    <cellStyle name="20% - Accent2 9 2" xfId="52"/>
    <cellStyle name="20% - Accent3 10" xfId="53"/>
    <cellStyle name="20% - Accent3 10 2" xfId="54"/>
    <cellStyle name="20% - Accent3 11" xfId="55"/>
    <cellStyle name="20% - Accent3 11 2" xfId="56"/>
    <cellStyle name="20% - Accent3 12" xfId="57"/>
    <cellStyle name="20% - Accent3 12 2" xfId="58"/>
    <cellStyle name="20% - Accent3 13" xfId="59"/>
    <cellStyle name="20% - Accent3 13 2" xfId="60"/>
    <cellStyle name="20% - Accent3 2" xfId="61"/>
    <cellStyle name="20% - Accent3 2 2" xfId="62"/>
    <cellStyle name="20% - Accent3 2 2 2" xfId="63"/>
    <cellStyle name="20% - Accent3 2 3" xfId="64"/>
    <cellStyle name="20% - Accent3 3" xfId="65"/>
    <cellStyle name="20% - Accent3 3 2" xfId="66"/>
    <cellStyle name="20% - Accent3 4" xfId="67"/>
    <cellStyle name="20% - Accent3 4 2" xfId="68"/>
    <cellStyle name="20% - Accent3 5" xfId="69"/>
    <cellStyle name="20% - Accent3 5 2" xfId="70"/>
    <cellStyle name="20% - Accent3 6" xfId="71"/>
    <cellStyle name="20% - Accent3 6 2" xfId="72"/>
    <cellStyle name="20% - Accent3 7" xfId="73"/>
    <cellStyle name="20% - Accent3 7 2" xfId="74"/>
    <cellStyle name="20% - Accent3 8" xfId="75"/>
    <cellStyle name="20% - Accent3 8 2" xfId="76"/>
    <cellStyle name="20% - Accent3 9" xfId="77"/>
    <cellStyle name="20% - Accent3 9 2" xfId="78"/>
    <cellStyle name="20% - Accent4 10" xfId="79"/>
    <cellStyle name="20% - Accent4 10 2" xfId="80"/>
    <cellStyle name="20% - Accent4 11" xfId="81"/>
    <cellStyle name="20% - Accent4 11 2" xfId="82"/>
    <cellStyle name="20% - Accent4 12" xfId="83"/>
    <cellStyle name="20% - Accent4 12 2" xfId="84"/>
    <cellStyle name="20% - Accent4 13" xfId="85"/>
    <cellStyle name="20% - Accent4 13 2" xfId="86"/>
    <cellStyle name="20% - Accent4 2" xfId="87"/>
    <cellStyle name="20% - Accent4 2 2" xfId="88"/>
    <cellStyle name="20% - Accent4 2 2 2" xfId="89"/>
    <cellStyle name="20% - Accent4 2 3" xfId="90"/>
    <cellStyle name="20% - Accent4 3" xfId="91"/>
    <cellStyle name="20% - Accent4 3 2" xfId="92"/>
    <cellStyle name="20% - Accent4 4" xfId="93"/>
    <cellStyle name="20% - Accent4 4 2" xfId="94"/>
    <cellStyle name="20% - Accent4 5" xfId="95"/>
    <cellStyle name="20% - Accent4 5 2" xfId="96"/>
    <cellStyle name="20% - Accent4 6" xfId="97"/>
    <cellStyle name="20% - Accent4 6 2" xfId="98"/>
    <cellStyle name="20% - Accent4 7" xfId="99"/>
    <cellStyle name="20% - Accent4 7 2" xfId="100"/>
    <cellStyle name="20% - Accent4 8" xfId="101"/>
    <cellStyle name="20% - Accent4 8 2" xfId="102"/>
    <cellStyle name="20% - Accent4 9" xfId="103"/>
    <cellStyle name="20% - Accent4 9 2" xfId="104"/>
    <cellStyle name="20% - Accent5 10" xfId="105"/>
    <cellStyle name="20% - Accent5 10 2" xfId="106"/>
    <cellStyle name="20% - Accent5 11" xfId="107"/>
    <cellStyle name="20% - Accent5 11 2" xfId="108"/>
    <cellStyle name="20% - Accent5 12" xfId="109"/>
    <cellStyle name="20% - Accent5 12 2" xfId="110"/>
    <cellStyle name="20% - Accent5 13" xfId="111"/>
    <cellStyle name="20% - Accent5 13 2" xfId="112"/>
    <cellStyle name="20% - Accent5 2" xfId="113"/>
    <cellStyle name="20% - Accent5 2 2" xfId="114"/>
    <cellStyle name="20% - Accent5 2 2 2" xfId="115"/>
    <cellStyle name="20% - Accent5 2 3" xfId="116"/>
    <cellStyle name="20% - Accent5 3" xfId="117"/>
    <cellStyle name="20% - Accent5 3 2" xfId="118"/>
    <cellStyle name="20% - Accent5 4" xfId="119"/>
    <cellStyle name="20% - Accent5 4 2" xfId="120"/>
    <cellStyle name="20% - Accent5 5" xfId="121"/>
    <cellStyle name="20% - Accent5 5 2" xfId="122"/>
    <cellStyle name="20% - Accent5 6" xfId="123"/>
    <cellStyle name="20% - Accent5 6 2" xfId="124"/>
    <cellStyle name="20% - Accent5 7" xfId="125"/>
    <cellStyle name="20% - Accent5 7 2" xfId="126"/>
    <cellStyle name="20% - Accent5 8" xfId="127"/>
    <cellStyle name="20% - Accent5 8 2" xfId="128"/>
    <cellStyle name="20% - Accent5 9" xfId="129"/>
    <cellStyle name="20% - Accent5 9 2" xfId="130"/>
    <cellStyle name="20% - Accent6 10" xfId="131"/>
    <cellStyle name="20% - Accent6 10 2" xfId="132"/>
    <cellStyle name="20% - Accent6 11" xfId="133"/>
    <cellStyle name="20% - Accent6 11 2" xfId="134"/>
    <cellStyle name="20% - Accent6 12" xfId="135"/>
    <cellStyle name="20% - Accent6 12 2" xfId="136"/>
    <cellStyle name="20% - Accent6 13" xfId="137"/>
    <cellStyle name="20% - Accent6 13 2" xfId="138"/>
    <cellStyle name="20% - Accent6 2" xfId="139"/>
    <cellStyle name="20% - Accent6 2 2" xfId="140"/>
    <cellStyle name="20% - Accent6 2 2 2" xfId="141"/>
    <cellStyle name="20% - Accent6 2 3" xfId="142"/>
    <cellStyle name="20% - Accent6 3" xfId="143"/>
    <cellStyle name="20% - Accent6 3 2" xfId="144"/>
    <cellStyle name="20% - Accent6 4" xfId="145"/>
    <cellStyle name="20% - Accent6 4 2" xfId="146"/>
    <cellStyle name="20% - Accent6 5" xfId="147"/>
    <cellStyle name="20% - Accent6 5 2" xfId="148"/>
    <cellStyle name="20% - Accent6 6" xfId="149"/>
    <cellStyle name="20% - Accent6 6 2" xfId="150"/>
    <cellStyle name="20% - Accent6 7" xfId="151"/>
    <cellStyle name="20% - Accent6 7 2" xfId="152"/>
    <cellStyle name="20% - Accent6 8" xfId="153"/>
    <cellStyle name="20% - Accent6 8 2" xfId="154"/>
    <cellStyle name="20% - Accent6 9" xfId="155"/>
    <cellStyle name="20% - Accent6 9 2" xfId="156"/>
    <cellStyle name="40% - Accent1 10" xfId="157"/>
    <cellStyle name="40% - Accent1 10 2" xfId="158"/>
    <cellStyle name="40% - Accent1 11" xfId="159"/>
    <cellStyle name="40% - Accent1 11 2" xfId="160"/>
    <cellStyle name="40% - Accent1 12" xfId="161"/>
    <cellStyle name="40% - Accent1 12 2" xfId="162"/>
    <cellStyle name="40% - Accent1 13" xfId="163"/>
    <cellStyle name="40% - Accent1 13 2" xfId="164"/>
    <cellStyle name="40% - Accent1 2" xfId="165"/>
    <cellStyle name="40% - Accent1 2 2" xfId="166"/>
    <cellStyle name="40% - Accent1 2 2 2" xfId="167"/>
    <cellStyle name="40% - Accent1 2 3" xfId="168"/>
    <cellStyle name="40% - Accent1 3" xfId="169"/>
    <cellStyle name="40% - Accent1 3 2" xfId="170"/>
    <cellStyle name="40% - Accent1 4" xfId="171"/>
    <cellStyle name="40% - Accent1 4 2" xfId="172"/>
    <cellStyle name="40% - Accent1 5" xfId="173"/>
    <cellStyle name="40% - Accent1 5 2" xfId="174"/>
    <cellStyle name="40% - Accent1 6" xfId="175"/>
    <cellStyle name="40% - Accent1 6 2" xfId="176"/>
    <cellStyle name="40% - Accent1 7" xfId="177"/>
    <cellStyle name="40% - Accent1 7 2" xfId="178"/>
    <cellStyle name="40% - Accent1 8" xfId="179"/>
    <cellStyle name="40% - Accent1 8 2" xfId="180"/>
    <cellStyle name="40% - Accent1 9" xfId="181"/>
    <cellStyle name="40% - Accent1 9 2" xfId="182"/>
    <cellStyle name="40% - Accent2 10" xfId="183"/>
    <cellStyle name="40% - Accent2 10 2" xfId="184"/>
    <cellStyle name="40% - Accent2 11" xfId="185"/>
    <cellStyle name="40% - Accent2 11 2" xfId="186"/>
    <cellStyle name="40% - Accent2 12" xfId="187"/>
    <cellStyle name="40% - Accent2 12 2" xfId="188"/>
    <cellStyle name="40% - Accent2 13" xfId="189"/>
    <cellStyle name="40% - Accent2 13 2" xfId="190"/>
    <cellStyle name="40% - Accent2 2" xfId="191"/>
    <cellStyle name="40% - Accent2 2 2" xfId="192"/>
    <cellStyle name="40% - Accent2 2 2 2" xfId="193"/>
    <cellStyle name="40% - Accent2 2 3" xfId="194"/>
    <cellStyle name="40% - Accent2 3" xfId="195"/>
    <cellStyle name="40% - Accent2 3 2" xfId="196"/>
    <cellStyle name="40% - Accent2 4" xfId="197"/>
    <cellStyle name="40% - Accent2 4 2" xfId="198"/>
    <cellStyle name="40% - Accent2 5" xfId="199"/>
    <cellStyle name="40% - Accent2 5 2" xfId="200"/>
    <cellStyle name="40% - Accent2 6" xfId="201"/>
    <cellStyle name="40% - Accent2 6 2" xfId="202"/>
    <cellStyle name="40% - Accent2 7" xfId="203"/>
    <cellStyle name="40% - Accent2 7 2" xfId="204"/>
    <cellStyle name="40% - Accent2 8" xfId="205"/>
    <cellStyle name="40% - Accent2 8 2" xfId="206"/>
    <cellStyle name="40% - Accent2 9" xfId="207"/>
    <cellStyle name="40% - Accent2 9 2" xfId="208"/>
    <cellStyle name="40% - Accent3 10" xfId="209"/>
    <cellStyle name="40% - Accent3 10 2" xfId="210"/>
    <cellStyle name="40% - Accent3 11" xfId="211"/>
    <cellStyle name="40% - Accent3 11 2" xfId="212"/>
    <cellStyle name="40% - Accent3 12" xfId="213"/>
    <cellStyle name="40% - Accent3 12 2" xfId="214"/>
    <cellStyle name="40% - Accent3 13" xfId="215"/>
    <cellStyle name="40% - Accent3 13 2" xfId="216"/>
    <cellStyle name="40% - Accent3 2" xfId="217"/>
    <cellStyle name="40% - Accent3 2 2" xfId="218"/>
    <cellStyle name="40% - Accent3 2 2 2" xfId="219"/>
    <cellStyle name="40% - Accent3 2 3" xfId="220"/>
    <cellStyle name="40% - Accent3 3" xfId="221"/>
    <cellStyle name="40% - Accent3 3 2" xfId="222"/>
    <cellStyle name="40% - Accent3 4" xfId="223"/>
    <cellStyle name="40% - Accent3 4 2" xfId="224"/>
    <cellStyle name="40% - Accent3 5" xfId="225"/>
    <cellStyle name="40% - Accent3 5 2" xfId="226"/>
    <cellStyle name="40% - Accent3 6" xfId="227"/>
    <cellStyle name="40% - Accent3 6 2" xfId="228"/>
    <cellStyle name="40% - Accent3 7" xfId="229"/>
    <cellStyle name="40% - Accent3 7 2" xfId="230"/>
    <cellStyle name="40% - Accent3 8" xfId="231"/>
    <cellStyle name="40% - Accent3 8 2" xfId="232"/>
    <cellStyle name="40% - Accent3 9" xfId="233"/>
    <cellStyle name="40% - Accent3 9 2" xfId="234"/>
    <cellStyle name="40% - Accent4 10" xfId="235"/>
    <cellStyle name="40% - Accent4 10 2" xfId="236"/>
    <cellStyle name="40% - Accent4 11" xfId="237"/>
    <cellStyle name="40% - Accent4 11 2" xfId="238"/>
    <cellStyle name="40% - Accent4 12" xfId="239"/>
    <cellStyle name="40% - Accent4 12 2" xfId="240"/>
    <cellStyle name="40% - Accent4 13" xfId="241"/>
    <cellStyle name="40% - Accent4 13 2" xfId="242"/>
    <cellStyle name="40% - Accent4 2" xfId="243"/>
    <cellStyle name="40% - Accent4 2 2" xfId="244"/>
    <cellStyle name="40% - Accent4 2 2 2" xfId="245"/>
    <cellStyle name="40% - Accent4 2 3" xfId="246"/>
    <cellStyle name="40% - Accent4 3" xfId="247"/>
    <cellStyle name="40% - Accent4 3 2" xfId="248"/>
    <cellStyle name="40% - Accent4 4" xfId="249"/>
    <cellStyle name="40% - Accent4 4 2" xfId="250"/>
    <cellStyle name="40% - Accent4 5" xfId="251"/>
    <cellStyle name="40% - Accent4 5 2" xfId="252"/>
    <cellStyle name="40% - Accent4 6" xfId="253"/>
    <cellStyle name="40% - Accent4 6 2" xfId="254"/>
    <cellStyle name="40% - Accent4 7" xfId="255"/>
    <cellStyle name="40% - Accent4 7 2" xfId="256"/>
    <cellStyle name="40% - Accent4 8" xfId="257"/>
    <cellStyle name="40% - Accent4 8 2" xfId="258"/>
    <cellStyle name="40% - Accent4 9" xfId="259"/>
    <cellStyle name="40% - Accent4 9 2" xfId="260"/>
    <cellStyle name="40% - Accent5 10" xfId="261"/>
    <cellStyle name="40% - Accent5 10 2" xfId="262"/>
    <cellStyle name="40% - Accent5 11" xfId="263"/>
    <cellStyle name="40% - Accent5 11 2" xfId="264"/>
    <cellStyle name="40% - Accent5 12" xfId="265"/>
    <cellStyle name="40% - Accent5 12 2" xfId="266"/>
    <cellStyle name="40% - Accent5 13" xfId="267"/>
    <cellStyle name="40% - Accent5 13 2" xfId="268"/>
    <cellStyle name="40% - Accent5 2" xfId="269"/>
    <cellStyle name="40% - Accent5 2 2" xfId="270"/>
    <cellStyle name="40% - Accent5 2 2 2" xfId="271"/>
    <cellStyle name="40% - Accent5 2 3" xfId="272"/>
    <cellStyle name="40% - Accent5 3" xfId="273"/>
    <cellStyle name="40% - Accent5 3 2" xfId="274"/>
    <cellStyle name="40% - Accent5 4" xfId="275"/>
    <cellStyle name="40% - Accent5 4 2" xfId="276"/>
    <cellStyle name="40% - Accent5 5" xfId="277"/>
    <cellStyle name="40% - Accent5 5 2" xfId="278"/>
    <cellStyle name="40% - Accent5 6" xfId="279"/>
    <cellStyle name="40% - Accent5 6 2" xfId="280"/>
    <cellStyle name="40% - Accent5 7" xfId="281"/>
    <cellStyle name="40% - Accent5 7 2" xfId="282"/>
    <cellStyle name="40% - Accent5 8" xfId="283"/>
    <cellStyle name="40% - Accent5 8 2" xfId="284"/>
    <cellStyle name="40% - Accent5 9" xfId="285"/>
    <cellStyle name="40% - Accent5 9 2" xfId="286"/>
    <cellStyle name="40% - Accent6 10" xfId="287"/>
    <cellStyle name="40% - Accent6 10 2" xfId="288"/>
    <cellStyle name="40% - Accent6 11" xfId="289"/>
    <cellStyle name="40% - Accent6 11 2" xfId="290"/>
    <cellStyle name="40% - Accent6 12" xfId="291"/>
    <cellStyle name="40% - Accent6 12 2" xfId="292"/>
    <cellStyle name="40% - Accent6 13" xfId="293"/>
    <cellStyle name="40% - Accent6 13 2" xfId="294"/>
    <cellStyle name="40% - Accent6 2" xfId="295"/>
    <cellStyle name="40% - Accent6 2 2" xfId="296"/>
    <cellStyle name="40% - Accent6 2 2 2" xfId="297"/>
    <cellStyle name="40% - Accent6 2 3" xfId="298"/>
    <cellStyle name="40% - Accent6 3" xfId="299"/>
    <cellStyle name="40% - Accent6 3 2" xfId="300"/>
    <cellStyle name="40% - Accent6 4" xfId="301"/>
    <cellStyle name="40% - Accent6 4 2" xfId="302"/>
    <cellStyle name="40% - Accent6 5" xfId="303"/>
    <cellStyle name="40% - Accent6 5 2" xfId="304"/>
    <cellStyle name="40% - Accent6 6" xfId="305"/>
    <cellStyle name="40% - Accent6 6 2" xfId="306"/>
    <cellStyle name="40% - Accent6 7" xfId="307"/>
    <cellStyle name="40% - Accent6 7 2" xfId="308"/>
    <cellStyle name="40% - Accent6 8" xfId="309"/>
    <cellStyle name="40% - Accent6 8 2" xfId="310"/>
    <cellStyle name="40% - Accent6 9" xfId="311"/>
    <cellStyle name="40% - Accent6 9 2" xfId="312"/>
    <cellStyle name="60% - Accent1 10" xfId="313"/>
    <cellStyle name="60% - Accent1 11" xfId="314"/>
    <cellStyle name="60% - Accent1 12" xfId="315"/>
    <cellStyle name="60% - Accent1 13" xfId="316"/>
    <cellStyle name="60% - Accent1 2" xfId="317"/>
    <cellStyle name="60% - Accent1 2 2" xfId="318"/>
    <cellStyle name="60% - Accent1 3" xfId="319"/>
    <cellStyle name="60% - Accent1 4" xfId="320"/>
    <cellStyle name="60% - Accent1 5" xfId="321"/>
    <cellStyle name="60% - Accent1 6" xfId="322"/>
    <cellStyle name="60% - Accent1 7" xfId="323"/>
    <cellStyle name="60% - Accent1 8" xfId="324"/>
    <cellStyle name="60% - Accent1 9" xfId="325"/>
    <cellStyle name="60% - Accent2 10" xfId="326"/>
    <cellStyle name="60% - Accent2 11" xfId="327"/>
    <cellStyle name="60% - Accent2 12" xfId="328"/>
    <cellStyle name="60% - Accent2 13" xfId="329"/>
    <cellStyle name="60% - Accent2 2" xfId="330"/>
    <cellStyle name="60% - Accent2 2 2" xfId="331"/>
    <cellStyle name="60% - Accent2 3" xfId="332"/>
    <cellStyle name="60% - Accent2 4" xfId="333"/>
    <cellStyle name="60% - Accent2 5" xfId="334"/>
    <cellStyle name="60% - Accent2 6" xfId="335"/>
    <cellStyle name="60% - Accent2 7" xfId="336"/>
    <cellStyle name="60% - Accent2 8" xfId="337"/>
    <cellStyle name="60% - Accent2 9" xfId="338"/>
    <cellStyle name="60% - Accent3 10" xfId="339"/>
    <cellStyle name="60% - Accent3 11" xfId="340"/>
    <cellStyle name="60% - Accent3 12" xfId="341"/>
    <cellStyle name="60% - Accent3 13" xfId="342"/>
    <cellStyle name="60% - Accent3 2" xfId="343"/>
    <cellStyle name="60% - Accent3 2 2" xfId="344"/>
    <cellStyle name="60% - Accent3 3" xfId="345"/>
    <cellStyle name="60% - Accent3 4" xfId="346"/>
    <cellStyle name="60% - Accent3 5" xfId="347"/>
    <cellStyle name="60% - Accent3 6" xfId="348"/>
    <cellStyle name="60% - Accent3 7" xfId="349"/>
    <cellStyle name="60% - Accent3 8" xfId="350"/>
    <cellStyle name="60% - Accent3 9" xfId="351"/>
    <cellStyle name="60% - Accent4 10" xfId="352"/>
    <cellStyle name="60% - Accent4 11" xfId="353"/>
    <cellStyle name="60% - Accent4 12" xfId="354"/>
    <cellStyle name="60% - Accent4 13" xfId="355"/>
    <cellStyle name="60% - Accent4 2" xfId="356"/>
    <cellStyle name="60% - Accent4 2 2" xfId="357"/>
    <cellStyle name="60% - Accent4 3" xfId="358"/>
    <cellStyle name="60% - Accent4 4" xfId="359"/>
    <cellStyle name="60% - Accent4 5" xfId="360"/>
    <cellStyle name="60% - Accent4 6" xfId="361"/>
    <cellStyle name="60% - Accent4 7" xfId="362"/>
    <cellStyle name="60% - Accent4 8" xfId="363"/>
    <cellStyle name="60% - Accent4 9" xfId="364"/>
    <cellStyle name="60% - Accent5 10" xfId="365"/>
    <cellStyle name="60% - Accent5 11" xfId="366"/>
    <cellStyle name="60% - Accent5 12" xfId="367"/>
    <cellStyle name="60% - Accent5 13" xfId="368"/>
    <cellStyle name="60% - Accent5 2" xfId="369"/>
    <cellStyle name="60% - Accent5 2 2" xfId="370"/>
    <cellStyle name="60% - Accent5 3" xfId="371"/>
    <cellStyle name="60% - Accent5 4" xfId="372"/>
    <cellStyle name="60% - Accent5 5" xfId="373"/>
    <cellStyle name="60% - Accent5 6" xfId="374"/>
    <cellStyle name="60% - Accent5 7" xfId="375"/>
    <cellStyle name="60% - Accent5 8" xfId="376"/>
    <cellStyle name="60% - Accent5 9" xfId="377"/>
    <cellStyle name="60% - Accent6 10" xfId="378"/>
    <cellStyle name="60% - Accent6 11" xfId="379"/>
    <cellStyle name="60% - Accent6 12" xfId="380"/>
    <cellStyle name="60% - Accent6 13" xfId="381"/>
    <cellStyle name="60% - Accent6 2" xfId="382"/>
    <cellStyle name="60% - Accent6 2 2" xfId="383"/>
    <cellStyle name="60% - Accent6 3" xfId="384"/>
    <cellStyle name="60% - Accent6 4" xfId="385"/>
    <cellStyle name="60% - Accent6 5" xfId="386"/>
    <cellStyle name="60% - Accent6 6" xfId="387"/>
    <cellStyle name="60% - Accent6 7" xfId="388"/>
    <cellStyle name="60% - Accent6 8" xfId="389"/>
    <cellStyle name="60% - Accent6 9" xfId="390"/>
    <cellStyle name="Accent1 10" xfId="391"/>
    <cellStyle name="Accent1 11" xfId="392"/>
    <cellStyle name="Accent1 12" xfId="393"/>
    <cellStyle name="Accent1 13" xfId="394"/>
    <cellStyle name="Accent1 2" xfId="395"/>
    <cellStyle name="Accent1 2 2" xfId="396"/>
    <cellStyle name="Accent1 3" xfId="397"/>
    <cellStyle name="Accent1 4" xfId="398"/>
    <cellStyle name="Accent1 5" xfId="399"/>
    <cellStyle name="Accent1 6" xfId="400"/>
    <cellStyle name="Accent1 7" xfId="401"/>
    <cellStyle name="Accent1 8" xfId="402"/>
    <cellStyle name="Accent1 9" xfId="403"/>
    <cellStyle name="Accent2 10" xfId="404"/>
    <cellStyle name="Accent2 11" xfId="405"/>
    <cellStyle name="Accent2 12" xfId="406"/>
    <cellStyle name="Accent2 13" xfId="407"/>
    <cellStyle name="Accent2 2" xfId="408"/>
    <cellStyle name="Accent2 2 2" xfId="409"/>
    <cellStyle name="Accent2 3" xfId="410"/>
    <cellStyle name="Accent2 4" xfId="411"/>
    <cellStyle name="Accent2 5" xfId="412"/>
    <cellStyle name="Accent2 6" xfId="413"/>
    <cellStyle name="Accent2 7" xfId="414"/>
    <cellStyle name="Accent2 8" xfId="415"/>
    <cellStyle name="Accent2 9" xfId="416"/>
    <cellStyle name="Accent3 10" xfId="417"/>
    <cellStyle name="Accent3 11" xfId="418"/>
    <cellStyle name="Accent3 12" xfId="419"/>
    <cellStyle name="Accent3 13" xfId="420"/>
    <cellStyle name="Accent3 2" xfId="421"/>
    <cellStyle name="Accent3 2 2" xfId="422"/>
    <cellStyle name="Accent3 3" xfId="423"/>
    <cellStyle name="Accent3 4" xfId="424"/>
    <cellStyle name="Accent3 5" xfId="425"/>
    <cellStyle name="Accent3 6" xfId="426"/>
    <cellStyle name="Accent3 7" xfId="427"/>
    <cellStyle name="Accent3 8" xfId="428"/>
    <cellStyle name="Accent3 9" xfId="429"/>
    <cellStyle name="Accent4 10" xfId="430"/>
    <cellStyle name="Accent4 11" xfId="431"/>
    <cellStyle name="Accent4 12" xfId="432"/>
    <cellStyle name="Accent4 13" xfId="433"/>
    <cellStyle name="Accent4 2" xfId="434"/>
    <cellStyle name="Accent4 2 2" xfId="435"/>
    <cellStyle name="Accent4 3" xfId="436"/>
    <cellStyle name="Accent4 4" xfId="437"/>
    <cellStyle name="Accent4 5" xfId="438"/>
    <cellStyle name="Accent4 6" xfId="439"/>
    <cellStyle name="Accent4 7" xfId="440"/>
    <cellStyle name="Accent4 8" xfId="441"/>
    <cellStyle name="Accent4 9" xfId="442"/>
    <cellStyle name="Accent5 10" xfId="443"/>
    <cellStyle name="Accent5 11" xfId="444"/>
    <cellStyle name="Accent5 12" xfId="445"/>
    <cellStyle name="Accent5 13" xfId="446"/>
    <cellStyle name="Accent5 2" xfId="447"/>
    <cellStyle name="Accent5 2 2" xfId="448"/>
    <cellStyle name="Accent5 3" xfId="449"/>
    <cellStyle name="Accent5 4" xfId="450"/>
    <cellStyle name="Accent5 5" xfId="451"/>
    <cellStyle name="Accent5 6" xfId="452"/>
    <cellStyle name="Accent5 7" xfId="453"/>
    <cellStyle name="Accent5 8" xfId="454"/>
    <cellStyle name="Accent5 9" xfId="455"/>
    <cellStyle name="Accent6 10" xfId="456"/>
    <cellStyle name="Accent6 11" xfId="457"/>
    <cellStyle name="Accent6 12" xfId="458"/>
    <cellStyle name="Accent6 13" xfId="459"/>
    <cellStyle name="Accent6 2" xfId="460"/>
    <cellStyle name="Accent6 2 2" xfId="461"/>
    <cellStyle name="Accent6 3" xfId="462"/>
    <cellStyle name="Accent6 4" xfId="463"/>
    <cellStyle name="Accent6 5" xfId="464"/>
    <cellStyle name="Accent6 6" xfId="465"/>
    <cellStyle name="Accent6 7" xfId="466"/>
    <cellStyle name="Accent6 8" xfId="467"/>
    <cellStyle name="Accent6 9" xfId="468"/>
    <cellStyle name="Bad 10" xfId="469"/>
    <cellStyle name="Bad 11" xfId="470"/>
    <cellStyle name="Bad 12" xfId="471"/>
    <cellStyle name="Bad 13" xfId="472"/>
    <cellStyle name="Bad 2" xfId="473"/>
    <cellStyle name="Bad 2 2" xfId="474"/>
    <cellStyle name="Bad 3" xfId="475"/>
    <cellStyle name="Bad 4" xfId="476"/>
    <cellStyle name="Bad 5" xfId="477"/>
    <cellStyle name="Bad 6" xfId="478"/>
    <cellStyle name="Bad 7" xfId="479"/>
    <cellStyle name="Bad 8" xfId="480"/>
    <cellStyle name="Bad 9" xfId="481"/>
    <cellStyle name="Calculation 10" xfId="482"/>
    <cellStyle name="Calculation 11" xfId="483"/>
    <cellStyle name="Calculation 12" xfId="484"/>
    <cellStyle name="Calculation 13" xfId="485"/>
    <cellStyle name="Calculation 2" xfId="486"/>
    <cellStyle name="Calculation 2 2" xfId="487"/>
    <cellStyle name="Calculation 3" xfId="488"/>
    <cellStyle name="Calculation 4" xfId="489"/>
    <cellStyle name="Calculation 5" xfId="490"/>
    <cellStyle name="Calculation 6" xfId="491"/>
    <cellStyle name="Calculation 7" xfId="492"/>
    <cellStyle name="Calculation 8" xfId="493"/>
    <cellStyle name="Calculation 9" xfId="494"/>
    <cellStyle name="Check Cell 10" xfId="495"/>
    <cellStyle name="Check Cell 11" xfId="496"/>
    <cellStyle name="Check Cell 12" xfId="497"/>
    <cellStyle name="Check Cell 13" xfId="498"/>
    <cellStyle name="Check Cell 2" xfId="499"/>
    <cellStyle name="Check Cell 2 2" xfId="500"/>
    <cellStyle name="Check Cell 3" xfId="501"/>
    <cellStyle name="Check Cell 4" xfId="502"/>
    <cellStyle name="Check Cell 5" xfId="503"/>
    <cellStyle name="Check Cell 6" xfId="504"/>
    <cellStyle name="Check Cell 7" xfId="505"/>
    <cellStyle name="Check Cell 8" xfId="506"/>
    <cellStyle name="Check Cell 9" xfId="507"/>
    <cellStyle name="Comma" xfId="508" builtinId="3"/>
    <cellStyle name="Comma 10" xfId="509"/>
    <cellStyle name="Comma 10 2" xfId="510"/>
    <cellStyle name="Comma 11" xfId="511"/>
    <cellStyle name="Comma 12" xfId="512"/>
    <cellStyle name="Comma 13" xfId="513"/>
    <cellStyle name="Comma 2" xfId="514"/>
    <cellStyle name="Comma 2 2" xfId="515"/>
    <cellStyle name="Comma 2 2 2" xfId="516"/>
    <cellStyle name="Comma 2 2 2 2" xfId="517"/>
    <cellStyle name="Comma 2 2 2 3" xfId="518"/>
    <cellStyle name="Comma 2 2 2 4" xfId="519"/>
    <cellStyle name="Comma 2 2 2 5" xfId="520"/>
    <cellStyle name="Comma 2 2 3" xfId="521"/>
    <cellStyle name="Comma 2 2 3 2" xfId="522"/>
    <cellStyle name="Comma 2 2 4" xfId="523"/>
    <cellStyle name="Comma 2 2 4 2" xfId="524"/>
    <cellStyle name="Comma 2 3" xfId="525"/>
    <cellStyle name="Comma 2 4" xfId="526"/>
    <cellStyle name="Comma 2 5" xfId="527"/>
    <cellStyle name="Comma 2 6" xfId="528"/>
    <cellStyle name="Comma 2 6 2" xfId="529"/>
    <cellStyle name="Comma 2 6 2 2" xfId="530"/>
    <cellStyle name="Comma 2 6 2 2 2" xfId="531"/>
    <cellStyle name="Comma 2 6 2 3" xfId="532"/>
    <cellStyle name="Comma 2 6 3" xfId="533"/>
    <cellStyle name="Comma 2 6 3 2" xfId="534"/>
    <cellStyle name="Comma 2 6 4" xfId="535"/>
    <cellStyle name="Comma 2 7" xfId="536"/>
    <cellStyle name="Comma 2 7 2" xfId="537"/>
    <cellStyle name="Comma 2 7 2 2" xfId="538"/>
    <cellStyle name="Comma 2 7 3" xfId="539"/>
    <cellStyle name="Comma 2 8" xfId="540"/>
    <cellStyle name="Comma 3" xfId="541"/>
    <cellStyle name="Comma 3 2" xfId="542"/>
    <cellStyle name="Comma 4" xfId="543"/>
    <cellStyle name="Comma 5" xfId="544"/>
    <cellStyle name="Comma 5 2" xfId="545"/>
    <cellStyle name="Comma 6" xfId="546"/>
    <cellStyle name="Comma 7" xfId="547"/>
    <cellStyle name="Comma 7 2" xfId="548"/>
    <cellStyle name="Comma 8" xfId="549"/>
    <cellStyle name="Comma 9" xfId="550"/>
    <cellStyle name="Explanatory Text 10" xfId="551"/>
    <cellStyle name="Explanatory Text 11" xfId="552"/>
    <cellStyle name="Explanatory Text 12" xfId="553"/>
    <cellStyle name="Explanatory Text 13" xfId="554"/>
    <cellStyle name="Explanatory Text 2" xfId="555"/>
    <cellStyle name="Explanatory Text 2 2" xfId="556"/>
    <cellStyle name="Explanatory Text 3" xfId="557"/>
    <cellStyle name="Explanatory Text 4" xfId="558"/>
    <cellStyle name="Explanatory Text 5" xfId="559"/>
    <cellStyle name="Explanatory Text 6" xfId="560"/>
    <cellStyle name="Explanatory Text 7" xfId="561"/>
    <cellStyle name="Explanatory Text 8" xfId="562"/>
    <cellStyle name="Explanatory Text 9" xfId="563"/>
    <cellStyle name="Good 10" xfId="564"/>
    <cellStyle name="Good 11" xfId="565"/>
    <cellStyle name="Good 12" xfId="566"/>
    <cellStyle name="Good 13" xfId="567"/>
    <cellStyle name="Good 2" xfId="568"/>
    <cellStyle name="Good 2 2" xfId="569"/>
    <cellStyle name="Good 3" xfId="570"/>
    <cellStyle name="Good 4" xfId="571"/>
    <cellStyle name="Good 5" xfId="572"/>
    <cellStyle name="Good 6" xfId="573"/>
    <cellStyle name="Good 7" xfId="574"/>
    <cellStyle name="Good 8" xfId="575"/>
    <cellStyle name="Good 9" xfId="576"/>
    <cellStyle name="Heading 1 10" xfId="577"/>
    <cellStyle name="Heading 1 11" xfId="578"/>
    <cellStyle name="Heading 1 12" xfId="579"/>
    <cellStyle name="Heading 1 13" xfId="580"/>
    <cellStyle name="Heading 1 2" xfId="581"/>
    <cellStyle name="Heading 1 2 2" xfId="582"/>
    <cellStyle name="Heading 1 3" xfId="583"/>
    <cellStyle name="Heading 1 4" xfId="584"/>
    <cellStyle name="Heading 1 5" xfId="585"/>
    <cellStyle name="Heading 1 6" xfId="586"/>
    <cellStyle name="Heading 1 7" xfId="587"/>
    <cellStyle name="Heading 1 8" xfId="588"/>
    <cellStyle name="Heading 1 9" xfId="589"/>
    <cellStyle name="Heading 2 10" xfId="590"/>
    <cellStyle name="Heading 2 11" xfId="591"/>
    <cellStyle name="Heading 2 12" xfId="592"/>
    <cellStyle name="Heading 2 13" xfId="593"/>
    <cellStyle name="Heading 2 2" xfId="594"/>
    <cellStyle name="Heading 2 2 2" xfId="595"/>
    <cellStyle name="Heading 2 3" xfId="596"/>
    <cellStyle name="Heading 2 4" xfId="597"/>
    <cellStyle name="Heading 2 5" xfId="598"/>
    <cellStyle name="Heading 2 6" xfId="599"/>
    <cellStyle name="Heading 2 7" xfId="600"/>
    <cellStyle name="Heading 2 8" xfId="601"/>
    <cellStyle name="Heading 2 9" xfId="602"/>
    <cellStyle name="Heading 3 10" xfId="603"/>
    <cellStyle name="Heading 3 11" xfId="604"/>
    <cellStyle name="Heading 3 12" xfId="605"/>
    <cellStyle name="Heading 3 13" xfId="606"/>
    <cellStyle name="Heading 3 2" xfId="607"/>
    <cellStyle name="Heading 3 2 2" xfId="608"/>
    <cellStyle name="Heading 3 3" xfId="609"/>
    <cellStyle name="Heading 3 4" xfId="610"/>
    <cellStyle name="Heading 3 5" xfId="611"/>
    <cellStyle name="Heading 3 6" xfId="612"/>
    <cellStyle name="Heading 3 7" xfId="613"/>
    <cellStyle name="Heading 3 8" xfId="614"/>
    <cellStyle name="Heading 3 9" xfId="615"/>
    <cellStyle name="Heading 4 10" xfId="616"/>
    <cellStyle name="Heading 4 11" xfId="617"/>
    <cellStyle name="Heading 4 12" xfId="618"/>
    <cellStyle name="Heading 4 13" xfId="619"/>
    <cellStyle name="Heading 4 2" xfId="620"/>
    <cellStyle name="Heading 4 2 2" xfId="621"/>
    <cellStyle name="Heading 4 3" xfId="622"/>
    <cellStyle name="Heading 4 4" xfId="623"/>
    <cellStyle name="Heading 4 5" xfId="624"/>
    <cellStyle name="Heading 4 6" xfId="625"/>
    <cellStyle name="Heading 4 7" xfId="626"/>
    <cellStyle name="Heading 4 8" xfId="627"/>
    <cellStyle name="Heading 4 9" xfId="628"/>
    <cellStyle name="Input 10" xfId="629"/>
    <cellStyle name="Input 11" xfId="630"/>
    <cellStyle name="Input 12" xfId="631"/>
    <cellStyle name="Input 13" xfId="632"/>
    <cellStyle name="Input 2" xfId="633"/>
    <cellStyle name="Input 2 2" xfId="634"/>
    <cellStyle name="Input 3" xfId="635"/>
    <cellStyle name="Input 4" xfId="636"/>
    <cellStyle name="Input 5" xfId="637"/>
    <cellStyle name="Input 6" xfId="638"/>
    <cellStyle name="Input 7" xfId="639"/>
    <cellStyle name="Input 8" xfId="640"/>
    <cellStyle name="Input 9" xfId="641"/>
    <cellStyle name="Linked Cell 10" xfId="642"/>
    <cellStyle name="Linked Cell 11" xfId="643"/>
    <cellStyle name="Linked Cell 12" xfId="644"/>
    <cellStyle name="Linked Cell 13" xfId="645"/>
    <cellStyle name="Linked Cell 2" xfId="646"/>
    <cellStyle name="Linked Cell 2 2" xfId="647"/>
    <cellStyle name="Linked Cell 3" xfId="648"/>
    <cellStyle name="Linked Cell 4" xfId="649"/>
    <cellStyle name="Linked Cell 5" xfId="650"/>
    <cellStyle name="Linked Cell 6" xfId="651"/>
    <cellStyle name="Linked Cell 7" xfId="652"/>
    <cellStyle name="Linked Cell 8" xfId="653"/>
    <cellStyle name="Linked Cell 9" xfId="654"/>
    <cellStyle name="Neutral 10" xfId="655"/>
    <cellStyle name="Neutral 11" xfId="656"/>
    <cellStyle name="Neutral 12" xfId="657"/>
    <cellStyle name="Neutral 13" xfId="658"/>
    <cellStyle name="Neutral 2" xfId="659"/>
    <cellStyle name="Neutral 2 2" xfId="660"/>
    <cellStyle name="Neutral 3" xfId="661"/>
    <cellStyle name="Neutral 4" xfId="662"/>
    <cellStyle name="Neutral 5" xfId="663"/>
    <cellStyle name="Neutral 6" xfId="664"/>
    <cellStyle name="Neutral 7" xfId="665"/>
    <cellStyle name="Neutral 8" xfId="666"/>
    <cellStyle name="Neutral 9" xfId="667"/>
    <cellStyle name="Normal" xfId="0" builtinId="0"/>
    <cellStyle name="Normal 2" xfId="668"/>
    <cellStyle name="Normal 2 2" xfId="669"/>
    <cellStyle name="Normal 2 2 2" xfId="670"/>
    <cellStyle name="Normal 2 2 2 2" xfId="671"/>
    <cellStyle name="Normal 2 2 2 3" xfId="672"/>
    <cellStyle name="Normal 2 2 2 4" xfId="673"/>
    <cellStyle name="Normal 2 2 2 5" xfId="674"/>
    <cellStyle name="Normal 2 2 2 5 2" xfId="675"/>
    <cellStyle name="Normal 2 2 2 5 2 2" xfId="676"/>
    <cellStyle name="Normal 2 2 2 5 2 2 2" xfId="808"/>
    <cellStyle name="Normal 2 2 2 5 2 3" xfId="807"/>
    <cellStyle name="Normal 2 2 2 5 3" xfId="677"/>
    <cellStyle name="Normal 2 2 2 5 3 2" xfId="809"/>
    <cellStyle name="Normal 2 2 2 5 4" xfId="806"/>
    <cellStyle name="Normal 2 2 2 6" xfId="678"/>
    <cellStyle name="Normal 2 2 2 6 2" xfId="679"/>
    <cellStyle name="Normal 2 2 2 6 2 2" xfId="811"/>
    <cellStyle name="Normal 2 2 2 6 3" xfId="810"/>
    <cellStyle name="Normal 2 2 2 7" xfId="680"/>
    <cellStyle name="Normal 2 2 2 7 2" xfId="812"/>
    <cellStyle name="Normal 2 2 2 8" xfId="805"/>
    <cellStyle name="Normal 2 2 3" xfId="681"/>
    <cellStyle name="Normal 2 2 3 2" xfId="682"/>
    <cellStyle name="Normal 2 2 3 2 2" xfId="683"/>
    <cellStyle name="Normal 2 2 3 2 2 2" xfId="684"/>
    <cellStyle name="Normal 2 2 3 2 2 2 2" xfId="816"/>
    <cellStyle name="Normal 2 2 3 2 2 3" xfId="815"/>
    <cellStyle name="Normal 2 2 3 2 3" xfId="685"/>
    <cellStyle name="Normal 2 2 3 2 3 2" xfId="817"/>
    <cellStyle name="Normal 2 2 3 2 4" xfId="814"/>
    <cellStyle name="Normal 2 2 3 3" xfId="686"/>
    <cellStyle name="Normal 2 2 3 3 2" xfId="687"/>
    <cellStyle name="Normal 2 2 3 3 2 2" xfId="819"/>
    <cellStyle name="Normal 2 2 3 3 3" xfId="818"/>
    <cellStyle name="Normal 2 2 3 4" xfId="688"/>
    <cellStyle name="Normal 2 2 3 4 2" xfId="820"/>
    <cellStyle name="Normal 2 2 3 5" xfId="813"/>
    <cellStyle name="Normal 2 2 4" xfId="689"/>
    <cellStyle name="Normal 2 2 4 2" xfId="690"/>
    <cellStyle name="Normal 2 2 4 2 2" xfId="691"/>
    <cellStyle name="Normal 2 2 4 2 2 2" xfId="692"/>
    <cellStyle name="Normal 2 2 4 2 2 2 2" xfId="824"/>
    <cellStyle name="Normal 2 2 4 2 2 3" xfId="823"/>
    <cellStyle name="Normal 2 2 4 2 3" xfId="693"/>
    <cellStyle name="Normal 2 2 4 2 3 2" xfId="825"/>
    <cellStyle name="Normal 2 2 4 2 4" xfId="822"/>
    <cellStyle name="Normal 2 2 4 3" xfId="694"/>
    <cellStyle name="Normal 2 2 4 3 2" xfId="695"/>
    <cellStyle name="Normal 2 2 4 3 2 2" xfId="827"/>
    <cellStyle name="Normal 2 2 4 3 3" xfId="826"/>
    <cellStyle name="Normal 2 2 4 4" xfId="696"/>
    <cellStyle name="Normal 2 2 4 4 2" xfId="828"/>
    <cellStyle name="Normal 2 2 4 5" xfId="821"/>
    <cellStyle name="Normal 2 3" xfId="697"/>
    <cellStyle name="Normal 2 3 2" xfId="698"/>
    <cellStyle name="Normal 2 3 2 2" xfId="699"/>
    <cellStyle name="Normal 2 3 2 2 2" xfId="831"/>
    <cellStyle name="Normal 2 3 2 3" xfId="830"/>
    <cellStyle name="Normal 2 3 3" xfId="700"/>
    <cellStyle name="Normal 2 3 3 2" xfId="832"/>
    <cellStyle name="Normal 2 3 4" xfId="829"/>
    <cellStyle name="Normal 2 4" xfId="701"/>
    <cellStyle name="Normal 2 4 2" xfId="702"/>
    <cellStyle name="Normal 2 4 2 2" xfId="834"/>
    <cellStyle name="Normal 2 4 3" xfId="833"/>
    <cellStyle name="Normal 2 5" xfId="703"/>
    <cellStyle name="Normal 2 5 2" xfId="835"/>
    <cellStyle name="Normal 2 6" xfId="804"/>
    <cellStyle name="Normal 3" xfId="704"/>
    <cellStyle name="Normal 3 2" xfId="705"/>
    <cellStyle name="Normal 3 2 2" xfId="706"/>
    <cellStyle name="Normal 3 2 2 2" xfId="707"/>
    <cellStyle name="Normal 3 2 2 2 2" xfId="708"/>
    <cellStyle name="Normal 3 2 2 2 2 2" xfId="840"/>
    <cellStyle name="Normal 3 2 2 2 3" xfId="839"/>
    <cellStyle name="Normal 3 2 2 3" xfId="709"/>
    <cellStyle name="Normal 3 2 2 3 2" xfId="841"/>
    <cellStyle name="Normal 3 2 2 4" xfId="838"/>
    <cellStyle name="Normal 3 2 3" xfId="710"/>
    <cellStyle name="Normal 3 2 3 2" xfId="711"/>
    <cellStyle name="Normal 3 2 3 2 2" xfId="843"/>
    <cellStyle name="Normal 3 2 3 3" xfId="842"/>
    <cellStyle name="Normal 3 2 4" xfId="712"/>
    <cellStyle name="Normal 3 2 4 2" xfId="844"/>
    <cellStyle name="Normal 3 2 5" xfId="837"/>
    <cellStyle name="Normal 3 3" xfId="713"/>
    <cellStyle name="Normal 3 3 2" xfId="714"/>
    <cellStyle name="Normal 3 3 2 2" xfId="715"/>
    <cellStyle name="Normal 3 3 2 2 2" xfId="716"/>
    <cellStyle name="Normal 3 3 2 2 2 2" xfId="848"/>
    <cellStyle name="Normal 3 3 2 2 3" xfId="847"/>
    <cellStyle name="Normal 3 3 2 3" xfId="717"/>
    <cellStyle name="Normal 3 3 2 3 2" xfId="849"/>
    <cellStyle name="Normal 3 3 2 4" xfId="846"/>
    <cellStyle name="Normal 3 3 3" xfId="718"/>
    <cellStyle name="Normal 3 3 3 2" xfId="719"/>
    <cellStyle name="Normal 3 3 3 2 2" xfId="851"/>
    <cellStyle name="Normal 3 3 3 3" xfId="850"/>
    <cellStyle name="Normal 3 3 4" xfId="720"/>
    <cellStyle name="Normal 3 3 4 2" xfId="852"/>
    <cellStyle name="Normal 3 3 5" xfId="845"/>
    <cellStyle name="Normal 3 4" xfId="721"/>
    <cellStyle name="Normal 3 4 2" xfId="722"/>
    <cellStyle name="Normal 3 4 2 2" xfId="723"/>
    <cellStyle name="Normal 3 4 2 2 2" xfId="724"/>
    <cellStyle name="Normal 3 4 2 2 2 2" xfId="856"/>
    <cellStyle name="Normal 3 4 2 2 3" xfId="855"/>
    <cellStyle name="Normal 3 4 2 3" xfId="725"/>
    <cellStyle name="Normal 3 4 2 3 2" xfId="857"/>
    <cellStyle name="Normal 3 4 2 4" xfId="854"/>
    <cellStyle name="Normal 3 4 3" xfId="726"/>
    <cellStyle name="Normal 3 4 3 2" xfId="727"/>
    <cellStyle name="Normal 3 4 3 2 2" xfId="859"/>
    <cellStyle name="Normal 3 4 3 3" xfId="858"/>
    <cellStyle name="Normal 3 4 4" xfId="728"/>
    <cellStyle name="Normal 3 4 4 2" xfId="860"/>
    <cellStyle name="Normal 3 4 5" xfId="853"/>
    <cellStyle name="Normal 3 5" xfId="729"/>
    <cellStyle name="Normal 3 5 2" xfId="730"/>
    <cellStyle name="Normal 3 5 2 2" xfId="731"/>
    <cellStyle name="Normal 3 5 2 2 2" xfId="863"/>
    <cellStyle name="Normal 3 5 2 3" xfId="862"/>
    <cellStyle name="Normal 3 5 3" xfId="732"/>
    <cellStyle name="Normal 3 5 3 2" xfId="864"/>
    <cellStyle name="Normal 3 5 4" xfId="861"/>
    <cellStyle name="Normal 3 6" xfId="733"/>
    <cellStyle name="Normal 3 6 2" xfId="734"/>
    <cellStyle name="Normal 3 6 2 2" xfId="866"/>
    <cellStyle name="Normal 3 6 3" xfId="865"/>
    <cellStyle name="Normal 3 7" xfId="735"/>
    <cellStyle name="Normal 3 7 2" xfId="867"/>
    <cellStyle name="Normal 3 8" xfId="836"/>
    <cellStyle name="Normal 4" xfId="736"/>
    <cellStyle name="Normal 4 2" xfId="737"/>
    <cellStyle name="Normal 8" xfId="738"/>
    <cellStyle name="Note 10" xfId="739"/>
    <cellStyle name="Note 11" xfId="740"/>
    <cellStyle name="Note 12" xfId="741"/>
    <cellStyle name="Note 13" xfId="742"/>
    <cellStyle name="Note 2" xfId="743"/>
    <cellStyle name="Note 2 2" xfId="744"/>
    <cellStyle name="Note 3" xfId="745"/>
    <cellStyle name="Note 4" xfId="746"/>
    <cellStyle name="Note 5" xfId="747"/>
    <cellStyle name="Note 6" xfId="748"/>
    <cellStyle name="Note 7" xfId="749"/>
    <cellStyle name="Note 8" xfId="750"/>
    <cellStyle name="Note 9" xfId="751"/>
    <cellStyle name="Output 10" xfId="752"/>
    <cellStyle name="Output 11" xfId="753"/>
    <cellStyle name="Output 12" xfId="754"/>
    <cellStyle name="Output 13" xfId="755"/>
    <cellStyle name="Output 2" xfId="756"/>
    <cellStyle name="Output 2 2" xfId="757"/>
    <cellStyle name="Output 3" xfId="758"/>
    <cellStyle name="Output 4" xfId="759"/>
    <cellStyle name="Output 5" xfId="760"/>
    <cellStyle name="Output 6" xfId="761"/>
    <cellStyle name="Output 7" xfId="762"/>
    <cellStyle name="Output 8" xfId="763"/>
    <cellStyle name="Output 9" xfId="764"/>
    <cellStyle name="Title 10" xfId="765"/>
    <cellStyle name="Title 11" xfId="766"/>
    <cellStyle name="Title 12" xfId="767"/>
    <cellStyle name="Title 13" xfId="768"/>
    <cellStyle name="Title 2" xfId="769"/>
    <cellStyle name="Title 2 2" xfId="770"/>
    <cellStyle name="Title 3" xfId="771"/>
    <cellStyle name="Title 4" xfId="772"/>
    <cellStyle name="Title 5" xfId="773"/>
    <cellStyle name="Title 6" xfId="774"/>
    <cellStyle name="Title 7" xfId="775"/>
    <cellStyle name="Title 8" xfId="776"/>
    <cellStyle name="Title 9" xfId="777"/>
    <cellStyle name="Total 10" xfId="778"/>
    <cellStyle name="Total 11" xfId="779"/>
    <cellStyle name="Total 12" xfId="780"/>
    <cellStyle name="Total 13" xfId="781"/>
    <cellStyle name="Total 2" xfId="782"/>
    <cellStyle name="Total 2 2" xfId="783"/>
    <cellStyle name="Total 3" xfId="784"/>
    <cellStyle name="Total 4" xfId="785"/>
    <cellStyle name="Total 5" xfId="786"/>
    <cellStyle name="Total 6" xfId="787"/>
    <cellStyle name="Total 7" xfId="788"/>
    <cellStyle name="Total 8" xfId="789"/>
    <cellStyle name="Total 9" xfId="790"/>
    <cellStyle name="Warning Text 10" xfId="791"/>
    <cellStyle name="Warning Text 11" xfId="792"/>
    <cellStyle name="Warning Text 12" xfId="793"/>
    <cellStyle name="Warning Text 13" xfId="794"/>
    <cellStyle name="Warning Text 2" xfId="795"/>
    <cellStyle name="Warning Text 2 2" xfId="796"/>
    <cellStyle name="Warning Text 3" xfId="797"/>
    <cellStyle name="Warning Text 4" xfId="798"/>
    <cellStyle name="Warning Text 5" xfId="799"/>
    <cellStyle name="Warning Text 6" xfId="800"/>
    <cellStyle name="Warning Text 7" xfId="801"/>
    <cellStyle name="Warning Text 8" xfId="802"/>
    <cellStyle name="Warning Text 9" xfId="80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Province/Area wise number of districts/areas with RSP presence</a:t>
            </a: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 (As at</a:t>
            </a:r>
            <a:r>
              <a:rPr lang="en-US" baseline="0"/>
              <a:t> June</a:t>
            </a:r>
            <a:r>
              <a:rPr lang="en-US"/>
              <a:t> 2013)</a:t>
            </a:r>
          </a:p>
        </c:rich>
      </c:tx>
      <c:layout>
        <c:manualLayout>
          <c:xMode val="edge"/>
          <c:yMode val="edge"/>
          <c:x val="0.1078887528850077"/>
          <c:y val="3.036876355748373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'Graphs for presentation'!$B$3</c:f>
              <c:strCache>
                <c:ptCount val="1"/>
                <c:pt idx="0">
                  <c:v>Number of total districts/areas in the province/area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presentation'!$B$4:$B$10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'Graphs for presentation'!$C$3</c:f>
              <c:strCache>
                <c:ptCount val="1"/>
                <c:pt idx="0">
                  <c:v>Number of districts/areas having RSPs presence 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presentation'!$C$4:$C$10</c:f>
              <c:numCache>
                <c:formatCode>General</c:formatCode>
                <c:ptCount val="7"/>
                <c:pt idx="0">
                  <c:v>19</c:v>
                </c:pt>
                <c:pt idx="1">
                  <c:v>19</c:v>
                </c:pt>
                <c:pt idx="2">
                  <c:v>22</c:v>
                </c:pt>
                <c:pt idx="3">
                  <c:v>35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70631552"/>
        <c:axId val="170633088"/>
        <c:axId val="0"/>
      </c:bar3DChart>
      <c:catAx>
        <c:axId val="1706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633088"/>
        <c:crosses val="autoZero"/>
        <c:auto val="1"/>
        <c:lblAlgn val="ctr"/>
        <c:lblOffset val="100"/>
        <c:noMultiLvlLbl val="0"/>
      </c:catAx>
      <c:valAx>
        <c:axId val="170633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631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1206496519721574E-2"/>
          <c:y val="0.93275488069414414"/>
          <c:w val="0.83410721571636481"/>
          <c:h val="4.7722342733187664E-2"/>
        </c:manualLayout>
      </c:layout>
      <c:overlay val="0"/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Province/Area wise number of union councils with RSP presence (As at  June, 2013)</a:t>
            </a:r>
          </a:p>
        </c:rich>
      </c:tx>
      <c:layout>
        <c:manualLayout>
          <c:xMode val="edge"/>
          <c:yMode val="edge"/>
          <c:x val="0.14230271668822769"/>
          <c:y val="3.0425963488843889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presentation'!$B$15</c:f>
              <c:strCache>
                <c:ptCount val="1"/>
                <c:pt idx="0">
                  <c:v>Total rural union councils 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presentation'!$B$16:$B$22</c:f>
              <c:numCache>
                <c:formatCode>General</c:formatCode>
                <c:ptCount val="7"/>
                <c:pt idx="0">
                  <c:v>547</c:v>
                </c:pt>
                <c:pt idx="1">
                  <c:v>961</c:v>
                </c:pt>
                <c:pt idx="2">
                  <c:v>921</c:v>
                </c:pt>
                <c:pt idx="3">
                  <c:v>2712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'Graphs for presentation'!$C$15</c:f>
              <c:strCache>
                <c:ptCount val="1"/>
                <c:pt idx="0">
                  <c:v>Number of union councils having RSP presence 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presentation'!$C$16:$C$22</c:f>
              <c:numCache>
                <c:formatCode>General</c:formatCode>
                <c:ptCount val="7"/>
                <c:pt idx="0">
                  <c:v>279</c:v>
                </c:pt>
                <c:pt idx="1">
                  <c:v>619</c:v>
                </c:pt>
                <c:pt idx="2">
                  <c:v>690</c:v>
                </c:pt>
                <c:pt idx="3">
                  <c:v>1792</c:v>
                </c:pt>
                <c:pt idx="4">
                  <c:v>179</c:v>
                </c:pt>
                <c:pt idx="5">
                  <c:v>94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0753408"/>
        <c:axId val="170759296"/>
      </c:barChart>
      <c:catAx>
        <c:axId val="1707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759296"/>
        <c:crosses val="autoZero"/>
        <c:auto val="1"/>
        <c:lblAlgn val="ctr"/>
        <c:lblOffset val="100"/>
        <c:noMultiLvlLbl val="0"/>
      </c:catAx>
      <c:valAx>
        <c:axId val="170759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753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17593790426907"/>
          <c:y val="0.93306373214504368"/>
          <c:w val="0.66106080206985773"/>
          <c:h val="4.8681541582150642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Calibri"/>
              </a:rPr>
              <a:t>Province-wise organized households </a:t>
            </a:r>
            <a:endParaRPr lang="en-US" sz="1800" b="1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Calibri"/>
              </a:rPr>
              <a:t>(% of total rural households based on 1998 census data ) </a:t>
            </a:r>
            <a:endParaRPr lang="en-US" sz="1800" b="1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Calibri"/>
              </a:rPr>
              <a:t>(As at June 2013)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rich>
      </c:tx>
      <c:layout>
        <c:manualLayout>
          <c:xMode val="edge"/>
          <c:yMode val="edge"/>
          <c:x val="0.16025657850460981"/>
          <c:y val="3.2338308457711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551430024649025E-2"/>
          <c:y val="0.45522498645684334"/>
          <c:w val="0.88141163582299686"/>
          <c:h val="0.22388114088041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presentation'!$B$27</c:f>
              <c:strCache>
                <c:ptCount val="1"/>
                <c:pt idx="0">
                  <c:v>% of households organised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presentation'!$A$28:$A$35</c:f>
              <c:strCache>
                <c:ptCount val="8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  <c:pt idx="7">
                  <c:v>Total </c:v>
                </c:pt>
              </c:strCache>
            </c:strRef>
          </c:cat>
          <c:val>
            <c:numRef>
              <c:f>'Graphs for presentation'!$B$28:$B$35</c:f>
              <c:numCache>
                <c:formatCode>_(* #,##0.0_);_(* \(#,##0.0\);_(* "-"??_);_(@_)</c:formatCode>
                <c:ptCount val="8"/>
                <c:pt idx="0">
                  <c:v>35.037478920793767</c:v>
                </c:pt>
                <c:pt idx="1">
                  <c:v>43.266959591598301</c:v>
                </c:pt>
                <c:pt idx="2">
                  <c:v>40.937545545819098</c:v>
                </c:pt>
                <c:pt idx="3">
                  <c:v>42.703222313043433</c:v>
                </c:pt>
                <c:pt idx="4">
                  <c:v>68.010686745848389</c:v>
                </c:pt>
                <c:pt idx="5">
                  <c:v>69.747920669136846</c:v>
                </c:pt>
                <c:pt idx="6">
                  <c:v>1.8641076907904084</c:v>
                </c:pt>
                <c:pt idx="7">
                  <c:v>41.838337949135763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1275776"/>
        <c:axId val="171277312"/>
      </c:barChart>
      <c:catAx>
        <c:axId val="1712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1277312"/>
        <c:crosses val="autoZero"/>
        <c:auto val="1"/>
        <c:lblAlgn val="ctr"/>
        <c:lblOffset val="100"/>
        <c:noMultiLvlLbl val="0"/>
      </c:catAx>
      <c:valAx>
        <c:axId val="171277312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12757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133350</xdr:rowOff>
    </xdr:from>
    <xdr:to>
      <xdr:col>24</xdr:col>
      <xdr:colOff>361950</xdr:colOff>
      <xdr:row>27</xdr:row>
      <xdr:rowOff>133350</xdr:rowOff>
    </xdr:to>
    <xdr:graphicFrame macro="">
      <xdr:nvGraphicFramePr>
        <xdr:cNvPr id="21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29</xdr:row>
      <xdr:rowOff>123825</xdr:rowOff>
    </xdr:from>
    <xdr:to>
      <xdr:col>23</xdr:col>
      <xdr:colOff>38100</xdr:colOff>
      <xdr:row>58</xdr:row>
      <xdr:rowOff>123825</xdr:rowOff>
    </xdr:to>
    <xdr:graphicFrame macro="">
      <xdr:nvGraphicFramePr>
        <xdr:cNvPr id="21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36</xdr:row>
      <xdr:rowOff>133350</xdr:rowOff>
    </xdr:from>
    <xdr:to>
      <xdr:col>2</xdr:col>
      <xdr:colOff>609600</xdr:colOff>
      <xdr:row>60</xdr:row>
      <xdr:rowOff>76200</xdr:rowOff>
    </xdr:to>
    <xdr:graphicFrame macro="">
      <xdr:nvGraphicFramePr>
        <xdr:cNvPr id="212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zal%20Docs\Workplan%202011\MER%202011\OUTREACH%20ISSUE%2010\Final%20Outreach%20Issue%2010%20all%20RSPs%20(28-09-11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ropbox\Outreach\Issue%2018\SRSP-Outreach%20Issue%2018th%20%20(June%202013)%20%20-%20SRS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BRSP%20Outreach%20Issue%2018th%20%20(June%202013)%20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SRSP-Outreach%20Issue%2018th%20%20(June%202013)%20%20-%20SRS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AKRSP%20Outreach%20Issue%2018th%20%20(June%202013)%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GBTI%20-Outreach%20Issue%2018th%20%20(June%202013)%20%20(Sent%20to%20RSPs%2021-08-13)-Fin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TRDP-Outreach%20Issue%2018th%20%20(June%202013)%20%20(04-09-201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SRSO_Outreach_Issue_18th__(June_2013)-Fina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ropbox\Outreach\Issue%2018\PRSP-Outreach%20(June%202013)%20All%20RSP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PRSP-Outreach%20(June%202013)%20All%20RS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Figs for ppt"/>
      <sheetName val="Overall commulative progres (2)"/>
      <sheetName val="3. Top 10"/>
      <sheetName val="Graphs for presentation"/>
    </sheetNames>
    <sheetDataSet>
      <sheetData sheetId="0">
        <row r="212">
          <cell r="A212" t="str">
            <v xml:space="preserve">Number of districts/areas having RSPs presence  </v>
          </cell>
          <cell r="P212" t="str">
            <v>Number of total districts/areas in the province/area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/>
      <sheetData sheetId="1">
        <row r="43">
          <cell r="I43">
            <v>189</v>
          </cell>
        </row>
        <row r="45">
          <cell r="I45">
            <v>104</v>
          </cell>
        </row>
        <row r="47">
          <cell r="I47">
            <v>54</v>
          </cell>
        </row>
        <row r="49">
          <cell r="I49">
            <v>68</v>
          </cell>
        </row>
        <row r="51">
          <cell r="I51">
            <v>523</v>
          </cell>
        </row>
        <row r="52">
          <cell r="I52">
            <v>259</v>
          </cell>
        </row>
        <row r="55">
          <cell r="I55">
            <v>337</v>
          </cell>
        </row>
        <row r="57">
          <cell r="I57">
            <v>157</v>
          </cell>
        </row>
        <row r="58">
          <cell r="I58">
            <v>117</v>
          </cell>
        </row>
        <row r="59">
          <cell r="I59">
            <v>243</v>
          </cell>
        </row>
        <row r="60">
          <cell r="I60">
            <v>132</v>
          </cell>
        </row>
        <row r="63">
          <cell r="I63">
            <v>30</v>
          </cell>
        </row>
        <row r="64">
          <cell r="I64">
            <v>390</v>
          </cell>
        </row>
        <row r="66">
          <cell r="I66">
            <v>63</v>
          </cell>
        </row>
        <row r="67">
          <cell r="I67">
            <v>33</v>
          </cell>
        </row>
        <row r="69">
          <cell r="I69">
            <v>55</v>
          </cell>
        </row>
        <row r="70">
          <cell r="I70">
            <v>62</v>
          </cell>
        </row>
        <row r="74">
          <cell r="I74">
            <v>100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/>
      <sheetData sheetId="1">
        <row r="12">
          <cell r="E12">
            <v>1</v>
          </cell>
          <cell r="I12">
            <v>6</v>
          </cell>
          <cell r="L12">
            <v>2434</v>
          </cell>
          <cell r="P12">
            <v>109</v>
          </cell>
        </row>
        <row r="17">
          <cell r="E17">
            <v>9</v>
          </cell>
          <cell r="I17">
            <v>98</v>
          </cell>
          <cell r="L17">
            <v>9708</v>
          </cell>
          <cell r="P17">
            <v>577</v>
          </cell>
        </row>
        <row r="18">
          <cell r="E18">
            <v>29</v>
          </cell>
          <cell r="I18">
            <v>41</v>
          </cell>
          <cell r="L18">
            <v>8739</v>
          </cell>
          <cell r="P18">
            <v>163</v>
          </cell>
        </row>
        <row r="19">
          <cell r="E19">
            <v>15</v>
          </cell>
          <cell r="I19">
            <v>226</v>
          </cell>
          <cell r="L19">
            <v>28829</v>
          </cell>
          <cell r="P19">
            <v>1870</v>
          </cell>
        </row>
        <row r="21">
          <cell r="E21">
            <v>7</v>
          </cell>
          <cell r="I21">
            <v>137</v>
          </cell>
          <cell r="L21">
            <v>15739</v>
          </cell>
          <cell r="P21">
            <v>942</v>
          </cell>
        </row>
        <row r="22">
          <cell r="E22">
            <v>28</v>
          </cell>
          <cell r="I22">
            <v>217</v>
          </cell>
          <cell r="L22">
            <v>34100</v>
          </cell>
          <cell r="P22">
            <v>2060</v>
          </cell>
        </row>
        <row r="24">
          <cell r="E24">
            <v>13</v>
          </cell>
          <cell r="I24">
            <v>131</v>
          </cell>
          <cell r="L24">
            <v>19117</v>
          </cell>
          <cell r="P24">
            <v>1220</v>
          </cell>
        </row>
        <row r="27">
          <cell r="E27">
            <v>20</v>
          </cell>
          <cell r="I27">
            <v>20</v>
          </cell>
          <cell r="L27">
            <v>2588</v>
          </cell>
          <cell r="P27">
            <v>134</v>
          </cell>
        </row>
        <row r="28">
          <cell r="E28">
            <v>13</v>
          </cell>
          <cell r="I28">
            <v>82</v>
          </cell>
          <cell r="L28">
            <v>18831</v>
          </cell>
          <cell r="P28">
            <v>1389</v>
          </cell>
        </row>
        <row r="31">
          <cell r="E31">
            <v>1</v>
          </cell>
          <cell r="I31">
            <v>4</v>
          </cell>
          <cell r="L31">
            <v>0</v>
          </cell>
          <cell r="P31">
            <v>4</v>
          </cell>
        </row>
        <row r="33">
          <cell r="E33">
            <v>35</v>
          </cell>
          <cell r="I33">
            <v>197</v>
          </cell>
          <cell r="L33">
            <v>23705</v>
          </cell>
          <cell r="P33">
            <v>1550</v>
          </cell>
        </row>
        <row r="34">
          <cell r="E34">
            <v>5</v>
          </cell>
          <cell r="I34">
            <v>0</v>
          </cell>
          <cell r="L34">
            <v>939</v>
          </cell>
          <cell r="P34">
            <v>88</v>
          </cell>
        </row>
        <row r="35">
          <cell r="E35">
            <v>7</v>
          </cell>
          <cell r="I35">
            <v>38</v>
          </cell>
          <cell r="L35">
            <v>2520</v>
          </cell>
          <cell r="P35">
            <v>118</v>
          </cell>
        </row>
        <row r="38">
          <cell r="E38">
            <v>21</v>
          </cell>
          <cell r="I38">
            <v>141</v>
          </cell>
          <cell r="L38">
            <v>21575</v>
          </cell>
          <cell r="P38">
            <v>1257</v>
          </cell>
        </row>
      </sheetData>
      <sheetData sheetId="2">
        <row r="8">
          <cell r="E8">
            <v>3471</v>
          </cell>
        </row>
        <row r="9">
          <cell r="E9">
            <v>7956</v>
          </cell>
        </row>
        <row r="10">
          <cell r="E10">
            <v>54</v>
          </cell>
        </row>
        <row r="12">
          <cell r="E12">
            <v>57821</v>
          </cell>
        </row>
        <row r="13">
          <cell r="E13">
            <v>131003</v>
          </cell>
        </row>
        <row r="15">
          <cell r="E15">
            <v>5.45</v>
          </cell>
        </row>
        <row r="16">
          <cell r="E16">
            <v>8.7799999999999994</v>
          </cell>
        </row>
        <row r="18">
          <cell r="E18">
            <v>47681</v>
          </cell>
        </row>
        <row r="19">
          <cell r="E19">
            <v>112479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20</v>
          </cell>
        </row>
        <row r="24">
          <cell r="E24">
            <v>1</v>
          </cell>
        </row>
        <row r="25">
          <cell r="E25">
            <v>9</v>
          </cell>
        </row>
        <row r="26">
          <cell r="E26">
            <v>16</v>
          </cell>
        </row>
        <row r="28">
          <cell r="E28">
            <v>1156</v>
          </cell>
        </row>
        <row r="29">
          <cell r="E29">
            <v>1600</v>
          </cell>
        </row>
        <row r="31">
          <cell r="E31">
            <v>0</v>
          </cell>
        </row>
        <row r="32">
          <cell r="E32">
            <v>0</v>
          </cell>
        </row>
        <row r="34">
          <cell r="E34">
            <v>0</v>
          </cell>
        </row>
        <row r="35">
          <cell r="E35">
            <v>0</v>
          </cell>
        </row>
        <row r="37">
          <cell r="E37">
            <v>1295</v>
          </cell>
        </row>
        <row r="38">
          <cell r="E38">
            <v>1056</v>
          </cell>
        </row>
        <row r="39">
          <cell r="E39">
            <v>71525</v>
          </cell>
        </row>
        <row r="40">
          <cell r="E40">
            <v>59225</v>
          </cell>
        </row>
        <row r="41">
          <cell r="E41">
            <v>641</v>
          </cell>
        </row>
        <row r="42">
          <cell r="E42">
            <v>525</v>
          </cell>
        </row>
        <row r="43">
          <cell r="E43">
            <v>141</v>
          </cell>
        </row>
        <row r="44">
          <cell r="E44">
            <v>4453</v>
          </cell>
        </row>
        <row r="45">
          <cell r="E45">
            <v>5543</v>
          </cell>
        </row>
        <row r="47">
          <cell r="E47">
            <v>0</v>
          </cell>
        </row>
        <row r="48">
          <cell r="E48">
            <v>0</v>
          </cell>
        </row>
        <row r="50">
          <cell r="E50">
            <v>1688</v>
          </cell>
        </row>
        <row r="51">
          <cell r="E51">
            <v>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 refreshError="1"/>
      <sheetData sheetId="1" refreshError="1">
        <row r="43">
          <cell r="E43">
            <v>51</v>
          </cell>
          <cell r="L43">
            <v>48996</v>
          </cell>
          <cell r="P43">
            <v>1650</v>
          </cell>
        </row>
        <row r="45">
          <cell r="E45">
            <v>20</v>
          </cell>
          <cell r="L45">
            <v>36596</v>
          </cell>
          <cell r="P45">
            <v>1502</v>
          </cell>
        </row>
        <row r="47">
          <cell r="E47">
            <v>21</v>
          </cell>
          <cell r="L47">
            <v>4358</v>
          </cell>
          <cell r="P47">
            <v>190</v>
          </cell>
        </row>
        <row r="49">
          <cell r="E49">
            <v>37</v>
          </cell>
          <cell r="L49">
            <v>37933</v>
          </cell>
          <cell r="P49">
            <v>1577</v>
          </cell>
        </row>
        <row r="51">
          <cell r="E51">
            <v>24</v>
          </cell>
          <cell r="L51">
            <v>25233</v>
          </cell>
          <cell r="P51">
            <v>805</v>
          </cell>
        </row>
        <row r="52">
          <cell r="E52">
            <v>22</v>
          </cell>
          <cell r="L52">
            <v>31623</v>
          </cell>
          <cell r="P52">
            <v>1482</v>
          </cell>
        </row>
        <row r="55">
          <cell r="E55">
            <v>17</v>
          </cell>
          <cell r="L55">
            <v>14204</v>
          </cell>
          <cell r="P55">
            <v>505</v>
          </cell>
        </row>
        <row r="57">
          <cell r="E57">
            <v>45</v>
          </cell>
          <cell r="L57">
            <v>41322</v>
          </cell>
          <cell r="P57">
            <v>1331</v>
          </cell>
        </row>
        <row r="58">
          <cell r="E58">
            <v>21</v>
          </cell>
          <cell r="L58">
            <v>49483</v>
          </cell>
          <cell r="P58">
            <v>1997</v>
          </cell>
        </row>
        <row r="59">
          <cell r="E59">
            <v>32</v>
          </cell>
          <cell r="L59">
            <v>69685</v>
          </cell>
          <cell r="P59">
            <v>3129</v>
          </cell>
        </row>
        <row r="60">
          <cell r="E60">
            <v>38</v>
          </cell>
          <cell r="L60">
            <v>35642</v>
          </cell>
          <cell r="P60">
            <v>2301</v>
          </cell>
        </row>
        <row r="63">
          <cell r="E63">
            <v>12</v>
          </cell>
          <cell r="L63">
            <v>3987</v>
          </cell>
          <cell r="P63">
            <v>144</v>
          </cell>
        </row>
        <row r="64">
          <cell r="E64">
            <v>55</v>
          </cell>
          <cell r="L64">
            <v>109246</v>
          </cell>
          <cell r="P64">
            <v>3836</v>
          </cell>
        </row>
        <row r="66">
          <cell r="E66">
            <v>20</v>
          </cell>
          <cell r="L66">
            <v>42732</v>
          </cell>
          <cell r="P66">
            <v>1838</v>
          </cell>
        </row>
        <row r="67">
          <cell r="E67">
            <v>10</v>
          </cell>
          <cell r="L67">
            <v>18465</v>
          </cell>
          <cell r="P67">
            <v>776</v>
          </cell>
        </row>
        <row r="69">
          <cell r="E69">
            <v>17</v>
          </cell>
          <cell r="L69">
            <v>16308</v>
          </cell>
          <cell r="P69">
            <v>767</v>
          </cell>
        </row>
        <row r="70">
          <cell r="E70">
            <v>20</v>
          </cell>
          <cell r="L70">
            <v>27671</v>
          </cell>
          <cell r="P70">
            <v>1610</v>
          </cell>
        </row>
        <row r="74">
          <cell r="E74">
            <v>60</v>
          </cell>
          <cell r="L74">
            <v>22378</v>
          </cell>
          <cell r="P74">
            <v>928</v>
          </cell>
        </row>
        <row r="187">
          <cell r="I187">
            <v>0</v>
          </cell>
        </row>
        <row r="196">
          <cell r="I196">
            <v>0</v>
          </cell>
        </row>
      </sheetData>
      <sheetData sheetId="2" refreshError="1">
        <row r="8">
          <cell r="K8">
            <v>9104</v>
          </cell>
        </row>
        <row r="9">
          <cell r="K9">
            <v>17684</v>
          </cell>
        </row>
        <row r="10">
          <cell r="K10">
            <v>0</v>
          </cell>
        </row>
        <row r="12">
          <cell r="K12">
            <v>209535</v>
          </cell>
        </row>
        <row r="13">
          <cell r="K13">
            <v>436739</v>
          </cell>
        </row>
        <row r="15">
          <cell r="K15">
            <v>38</v>
          </cell>
        </row>
        <row r="16">
          <cell r="K16">
            <v>96</v>
          </cell>
        </row>
        <row r="18">
          <cell r="K18">
            <v>57095</v>
          </cell>
        </row>
        <row r="19">
          <cell r="K19">
            <v>87178</v>
          </cell>
        </row>
        <row r="21">
          <cell r="K21">
            <v>0</v>
          </cell>
        </row>
        <row r="22">
          <cell r="K22">
            <v>291</v>
          </cell>
        </row>
        <row r="23">
          <cell r="K23">
            <v>25558</v>
          </cell>
        </row>
        <row r="24">
          <cell r="K24">
            <v>293.51</v>
          </cell>
        </row>
        <row r="25">
          <cell r="K25">
            <v>345.71</v>
          </cell>
        </row>
        <row r="26">
          <cell r="K26">
            <v>302.59399999999999</v>
          </cell>
        </row>
        <row r="28">
          <cell r="K28">
            <v>30934</v>
          </cell>
        </row>
        <row r="29">
          <cell r="K29">
            <v>28628</v>
          </cell>
        </row>
        <row r="31">
          <cell r="K31">
            <v>5834</v>
          </cell>
        </row>
        <row r="32">
          <cell r="K32">
            <v>21566</v>
          </cell>
        </row>
        <row r="34">
          <cell r="K34">
            <v>5834</v>
          </cell>
        </row>
        <row r="35">
          <cell r="K35">
            <v>21566</v>
          </cell>
        </row>
        <row r="37">
          <cell r="K37">
            <v>7923</v>
          </cell>
        </row>
        <row r="38">
          <cell r="K38">
            <v>7750</v>
          </cell>
        </row>
        <row r="39">
          <cell r="K39">
            <v>1528442</v>
          </cell>
        </row>
        <row r="40">
          <cell r="K40">
            <v>1495068</v>
          </cell>
        </row>
        <row r="41">
          <cell r="K41">
            <v>4134.58</v>
          </cell>
        </row>
        <row r="42">
          <cell r="K42">
            <v>4044.7</v>
          </cell>
        </row>
        <row r="43">
          <cell r="K43">
            <v>73</v>
          </cell>
        </row>
        <row r="44">
          <cell r="K44">
            <v>1991</v>
          </cell>
        </row>
        <row r="45">
          <cell r="K45">
            <v>2470</v>
          </cell>
        </row>
        <row r="47">
          <cell r="K47">
            <v>55</v>
          </cell>
        </row>
        <row r="48">
          <cell r="K48">
            <v>38</v>
          </cell>
        </row>
        <row r="50">
          <cell r="K50">
            <v>1066</v>
          </cell>
        </row>
        <row r="51">
          <cell r="K51">
            <v>467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/>
      <sheetData sheetId="1">
        <row r="50">
          <cell r="D50">
            <v>24</v>
          </cell>
          <cell r="H50">
            <v>378</v>
          </cell>
          <cell r="L50">
            <v>34914</v>
          </cell>
          <cell r="P50">
            <v>1680</v>
          </cell>
        </row>
        <row r="174">
          <cell r="E174">
            <v>8</v>
          </cell>
          <cell r="I174">
            <v>44</v>
          </cell>
          <cell r="L174">
            <v>6444</v>
          </cell>
          <cell r="P174">
            <v>333</v>
          </cell>
        </row>
        <row r="176">
          <cell r="E176">
            <v>14</v>
          </cell>
          <cell r="I176">
            <v>56</v>
          </cell>
          <cell r="L176">
            <v>10401</v>
          </cell>
          <cell r="P176">
            <v>469</v>
          </cell>
        </row>
        <row r="177">
          <cell r="E177">
            <v>16</v>
          </cell>
          <cell r="I177">
            <v>80</v>
          </cell>
          <cell r="L177">
            <v>12420</v>
          </cell>
          <cell r="P177">
            <v>548</v>
          </cell>
        </row>
        <row r="178">
          <cell r="E178">
            <v>10</v>
          </cell>
          <cell r="I178">
            <v>56</v>
          </cell>
          <cell r="L178">
            <v>10924</v>
          </cell>
          <cell r="P178">
            <v>434</v>
          </cell>
        </row>
        <row r="179">
          <cell r="E179">
            <v>15</v>
          </cell>
          <cell r="I179">
            <v>83</v>
          </cell>
          <cell r="L179">
            <v>11965</v>
          </cell>
          <cell r="P179">
            <v>507</v>
          </cell>
        </row>
        <row r="180">
          <cell r="E180">
            <v>31</v>
          </cell>
          <cell r="I180">
            <v>167</v>
          </cell>
          <cell r="L180">
            <v>23627</v>
          </cell>
          <cell r="P180">
            <v>1093</v>
          </cell>
        </row>
      </sheetData>
      <sheetData sheetId="2">
        <row r="8">
          <cell r="D8">
            <v>2171</v>
          </cell>
        </row>
        <row r="9">
          <cell r="D9">
            <v>2893</v>
          </cell>
        </row>
        <row r="10">
          <cell r="D10">
            <v>0</v>
          </cell>
        </row>
        <row r="12">
          <cell r="D12">
            <v>84455</v>
          </cell>
        </row>
        <row r="13">
          <cell r="D13">
            <v>121509</v>
          </cell>
        </row>
        <row r="15">
          <cell r="D15">
            <v>129.43899999999999</v>
          </cell>
        </row>
        <row r="16">
          <cell r="D16">
            <v>371.08199999999999</v>
          </cell>
        </row>
        <row r="18">
          <cell r="D18">
            <v>58754</v>
          </cell>
        </row>
        <row r="19">
          <cell r="D19">
            <v>27804</v>
          </cell>
        </row>
        <row r="21">
          <cell r="D21">
            <v>12</v>
          </cell>
        </row>
        <row r="22">
          <cell r="D22">
            <v>0</v>
          </cell>
        </row>
        <row r="23">
          <cell r="D23">
            <v>2055</v>
          </cell>
        </row>
        <row r="24">
          <cell r="D24">
            <v>16.106083000000002</v>
          </cell>
        </row>
        <row r="25">
          <cell r="D25">
            <v>195</v>
          </cell>
        </row>
        <row r="26">
          <cell r="D26">
            <v>833</v>
          </cell>
        </row>
        <row r="28">
          <cell r="D28">
            <v>74813</v>
          </cell>
        </row>
        <row r="29">
          <cell r="D29">
            <v>546311</v>
          </cell>
        </row>
        <row r="31">
          <cell r="D31">
            <v>74813</v>
          </cell>
        </row>
        <row r="32">
          <cell r="D32">
            <v>546311</v>
          </cell>
        </row>
        <row r="34">
          <cell r="D34">
            <v>74813</v>
          </cell>
        </row>
        <row r="35">
          <cell r="D35">
            <v>546311</v>
          </cell>
        </row>
        <row r="37">
          <cell r="D37">
            <v>3576</v>
          </cell>
        </row>
        <row r="38">
          <cell r="D38">
            <v>3576</v>
          </cell>
        </row>
        <row r="39">
          <cell r="D39">
            <v>284440</v>
          </cell>
        </row>
        <row r="40">
          <cell r="D40">
            <v>284440</v>
          </cell>
        </row>
        <row r="41">
          <cell r="D41">
            <v>1825.46</v>
          </cell>
        </row>
        <row r="42">
          <cell r="D42">
            <v>1825.46</v>
          </cell>
        </row>
        <row r="43">
          <cell r="D43">
            <v>867</v>
          </cell>
        </row>
        <row r="44">
          <cell r="D44">
            <v>2900</v>
          </cell>
        </row>
        <row r="45">
          <cell r="D45">
            <v>7375</v>
          </cell>
        </row>
        <row r="47">
          <cell r="D47">
            <v>0</v>
          </cell>
        </row>
        <row r="48">
          <cell r="D48">
            <v>0</v>
          </cell>
        </row>
        <row r="50">
          <cell r="D50">
            <v>1243</v>
          </cell>
        </row>
        <row r="51">
          <cell r="D51">
            <v>0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/>
      <sheetData sheetId="1">
        <row r="56">
          <cell r="I56">
            <v>22</v>
          </cell>
          <cell r="L56">
            <v>7319</v>
          </cell>
          <cell r="P56">
            <v>730</v>
          </cell>
        </row>
        <row r="71">
          <cell r="I71">
            <v>23</v>
          </cell>
          <cell r="L71">
            <v>8196</v>
          </cell>
          <cell r="P71">
            <v>643</v>
          </cell>
        </row>
        <row r="105">
          <cell r="I105">
            <v>69</v>
          </cell>
          <cell r="L105">
            <v>19147</v>
          </cell>
          <cell r="P105">
            <v>1610</v>
          </cell>
        </row>
      </sheetData>
      <sheetData sheetId="2">
        <row r="8">
          <cell r="F8">
            <v>1641</v>
          </cell>
        </row>
        <row r="9">
          <cell r="F9">
            <v>1342</v>
          </cell>
        </row>
        <row r="10">
          <cell r="F10">
            <v>0</v>
          </cell>
        </row>
        <row r="12">
          <cell r="F12">
            <v>27448</v>
          </cell>
        </row>
        <row r="13">
          <cell r="F13">
            <v>25070</v>
          </cell>
        </row>
        <row r="15">
          <cell r="F15">
            <v>4.2</v>
          </cell>
        </row>
        <row r="16">
          <cell r="F16">
            <v>5.0599999999999996</v>
          </cell>
        </row>
        <row r="18">
          <cell r="F18">
            <v>11579</v>
          </cell>
        </row>
        <row r="19">
          <cell r="F19">
            <v>3976</v>
          </cell>
        </row>
        <row r="21">
          <cell r="F21">
            <v>2</v>
          </cell>
        </row>
        <row r="22">
          <cell r="F22">
            <v>5</v>
          </cell>
        </row>
        <row r="23">
          <cell r="F23">
            <v>36</v>
          </cell>
        </row>
        <row r="24">
          <cell r="F24">
            <v>1.1200000000000001</v>
          </cell>
        </row>
        <row r="25">
          <cell r="F25">
            <v>320</v>
          </cell>
        </row>
        <row r="26">
          <cell r="F26">
            <v>79</v>
          </cell>
        </row>
        <row r="28">
          <cell r="F28">
            <v>21383</v>
          </cell>
        </row>
        <row r="29">
          <cell r="F29">
            <v>5603</v>
          </cell>
        </row>
        <row r="31">
          <cell r="F31">
            <v>18099</v>
          </cell>
        </row>
        <row r="32">
          <cell r="F32">
            <v>6593</v>
          </cell>
        </row>
        <row r="34">
          <cell r="F34">
            <v>18099</v>
          </cell>
        </row>
        <row r="35">
          <cell r="F35">
            <v>6593</v>
          </cell>
        </row>
        <row r="37">
          <cell r="F37">
            <v>534</v>
          </cell>
        </row>
        <row r="38">
          <cell r="F38">
            <v>534</v>
          </cell>
        </row>
        <row r="39">
          <cell r="F39">
            <v>20861</v>
          </cell>
        </row>
        <row r="40">
          <cell r="F40">
            <v>20861</v>
          </cell>
        </row>
        <row r="41">
          <cell r="F41">
            <v>161</v>
          </cell>
        </row>
        <row r="42">
          <cell r="F42">
            <v>161</v>
          </cell>
        </row>
        <row r="43">
          <cell r="F43">
            <v>12</v>
          </cell>
        </row>
        <row r="44">
          <cell r="F44">
            <v>780</v>
          </cell>
        </row>
        <row r="45">
          <cell r="F45">
            <v>608</v>
          </cell>
        </row>
        <row r="47">
          <cell r="F47">
            <v>0</v>
          </cell>
        </row>
        <row r="48">
          <cell r="F48">
            <v>0</v>
          </cell>
        </row>
        <row r="50">
          <cell r="F50">
            <v>95</v>
          </cell>
        </row>
        <row r="51">
          <cell r="F51">
            <v>0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/>
      <sheetData sheetId="1">
        <row r="80">
          <cell r="E80">
            <v>30</v>
          </cell>
          <cell r="I80">
            <v>131</v>
          </cell>
          <cell r="L80">
            <v>37116</v>
          </cell>
          <cell r="P80">
            <v>0</v>
          </cell>
        </row>
        <row r="84">
          <cell r="E84">
            <v>12</v>
          </cell>
          <cell r="I84">
            <v>78</v>
          </cell>
          <cell r="L84">
            <v>26725</v>
          </cell>
          <cell r="P84">
            <v>0</v>
          </cell>
        </row>
        <row r="99">
          <cell r="E99">
            <v>44</v>
          </cell>
          <cell r="I99">
            <v>166</v>
          </cell>
          <cell r="L99">
            <v>159605</v>
          </cell>
        </row>
        <row r="101">
          <cell r="E101">
            <v>27</v>
          </cell>
          <cell r="I101">
            <v>186</v>
          </cell>
          <cell r="L101">
            <v>43037</v>
          </cell>
          <cell r="P101">
            <v>5</v>
          </cell>
        </row>
      </sheetData>
      <sheetData sheetId="2">
        <row r="8">
          <cell r="L8">
            <v>8549</v>
          </cell>
        </row>
        <row r="9">
          <cell r="L9">
            <v>5698</v>
          </cell>
        </row>
        <row r="10">
          <cell r="L10">
            <v>1971</v>
          </cell>
        </row>
        <row r="12">
          <cell r="L12">
            <v>175958</v>
          </cell>
        </row>
        <row r="13">
          <cell r="L13">
            <v>138952</v>
          </cell>
        </row>
        <row r="15">
          <cell r="L15">
            <v>81.540000000000006</v>
          </cell>
        </row>
        <row r="16">
          <cell r="L16">
            <v>119.78</v>
          </cell>
        </row>
        <row r="18">
          <cell r="L18">
            <v>90761</v>
          </cell>
        </row>
        <row r="19">
          <cell r="L19">
            <v>90375</v>
          </cell>
        </row>
        <row r="21">
          <cell r="L21">
            <v>8</v>
          </cell>
        </row>
        <row r="22">
          <cell r="L22">
            <v>1307</v>
          </cell>
        </row>
        <row r="23">
          <cell r="L23">
            <v>17101</v>
          </cell>
        </row>
        <row r="24">
          <cell r="L24">
            <v>228.29499999999999</v>
          </cell>
        </row>
        <row r="25">
          <cell r="L25">
            <v>2678.6390000000001</v>
          </cell>
        </row>
        <row r="26">
          <cell r="L26">
            <v>2698.7919999999999</v>
          </cell>
        </row>
        <row r="28">
          <cell r="L28">
            <v>205280</v>
          </cell>
        </row>
        <row r="29">
          <cell r="L29">
            <v>162444</v>
          </cell>
        </row>
        <row r="31">
          <cell r="L31">
            <v>85033</v>
          </cell>
        </row>
        <row r="32">
          <cell r="L32">
            <v>72063</v>
          </cell>
        </row>
        <row r="34">
          <cell r="L34">
            <v>95229</v>
          </cell>
        </row>
        <row r="35">
          <cell r="L35">
            <v>78828</v>
          </cell>
        </row>
        <row r="37">
          <cell r="L37">
            <v>57180</v>
          </cell>
        </row>
        <row r="38">
          <cell r="L38">
            <v>56745</v>
          </cell>
        </row>
        <row r="39">
          <cell r="L39">
            <v>386430</v>
          </cell>
        </row>
        <row r="40">
          <cell r="L40">
            <v>371034</v>
          </cell>
        </row>
        <row r="41">
          <cell r="L41">
            <v>890.5</v>
          </cell>
        </row>
        <row r="42">
          <cell r="L42">
            <v>868.8</v>
          </cell>
        </row>
        <row r="43">
          <cell r="L43">
            <v>113</v>
          </cell>
        </row>
        <row r="44">
          <cell r="L44">
            <v>1947</v>
          </cell>
        </row>
        <row r="45">
          <cell r="L45">
            <v>707</v>
          </cell>
        </row>
        <row r="47">
          <cell r="L47">
            <v>0</v>
          </cell>
        </row>
        <row r="48">
          <cell r="L48">
            <v>0</v>
          </cell>
        </row>
        <row r="50">
          <cell r="L50">
            <v>867</v>
          </cell>
        </row>
        <row r="51">
          <cell r="L51">
            <v>675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/>
      <sheetData sheetId="1">
        <row r="81">
          <cell r="E81">
            <v>37</v>
          </cell>
          <cell r="I81">
            <v>283</v>
          </cell>
          <cell r="L81">
            <v>123054</v>
          </cell>
          <cell r="P81">
            <v>6961</v>
          </cell>
        </row>
        <row r="83">
          <cell r="E83">
            <v>29</v>
          </cell>
          <cell r="I83">
            <v>204</v>
          </cell>
          <cell r="L83">
            <v>84893</v>
          </cell>
          <cell r="P83">
            <v>5074</v>
          </cell>
        </row>
        <row r="86">
          <cell r="E86">
            <v>37</v>
          </cell>
          <cell r="I86">
            <v>170</v>
          </cell>
          <cell r="L86">
            <v>80708</v>
          </cell>
          <cell r="P86">
            <v>4787</v>
          </cell>
        </row>
        <row r="87">
          <cell r="E87">
            <v>49</v>
          </cell>
          <cell r="I87">
            <v>244</v>
          </cell>
          <cell r="L87">
            <v>70400</v>
          </cell>
          <cell r="P87">
            <v>4078</v>
          </cell>
        </row>
        <row r="88">
          <cell r="E88">
            <v>38</v>
          </cell>
          <cell r="I88">
            <v>178</v>
          </cell>
          <cell r="L88">
            <v>37589</v>
          </cell>
          <cell r="P88">
            <v>3605</v>
          </cell>
        </row>
        <row r="91">
          <cell r="E91">
            <v>39</v>
          </cell>
          <cell r="I91">
            <v>142</v>
          </cell>
          <cell r="L91">
            <v>24710</v>
          </cell>
          <cell r="P91">
            <v>1729</v>
          </cell>
        </row>
        <row r="93">
          <cell r="E93">
            <v>34</v>
          </cell>
          <cell r="I93">
            <v>236</v>
          </cell>
          <cell r="L93">
            <v>29475</v>
          </cell>
          <cell r="P93">
            <v>2221</v>
          </cell>
        </row>
        <row r="95">
          <cell r="E95">
            <v>50</v>
          </cell>
          <cell r="I95">
            <v>222</v>
          </cell>
          <cell r="L95">
            <v>104557</v>
          </cell>
          <cell r="P95">
            <v>5997</v>
          </cell>
        </row>
        <row r="96">
          <cell r="E96">
            <v>25</v>
          </cell>
          <cell r="I96">
            <v>196</v>
          </cell>
          <cell r="L96">
            <v>36343</v>
          </cell>
          <cell r="P96">
            <v>2613</v>
          </cell>
        </row>
      </sheetData>
      <sheetData sheetId="2">
        <row r="8">
          <cell r="J8">
            <v>32866</v>
          </cell>
        </row>
        <row r="9">
          <cell r="J9">
            <v>4159</v>
          </cell>
        </row>
        <row r="10">
          <cell r="J10">
            <v>40</v>
          </cell>
        </row>
        <row r="12">
          <cell r="J12">
            <v>553067</v>
          </cell>
        </row>
        <row r="13">
          <cell r="J13">
            <v>38662</v>
          </cell>
        </row>
        <row r="15">
          <cell r="J15">
            <v>110</v>
          </cell>
        </row>
        <row r="16">
          <cell r="J16">
            <v>7</v>
          </cell>
        </row>
        <row r="18">
          <cell r="J18">
            <v>226024</v>
          </cell>
        </row>
        <row r="19">
          <cell r="J19">
            <v>13129</v>
          </cell>
        </row>
        <row r="21">
          <cell r="J21">
            <v>17</v>
          </cell>
        </row>
        <row r="22">
          <cell r="J22">
            <v>3528</v>
          </cell>
        </row>
        <row r="23">
          <cell r="J23">
            <v>94183</v>
          </cell>
        </row>
        <row r="24">
          <cell r="J24">
            <v>938</v>
          </cell>
        </row>
        <row r="25">
          <cell r="J25">
            <v>3606</v>
          </cell>
        </row>
        <row r="26">
          <cell r="J26">
            <v>634</v>
          </cell>
        </row>
        <row r="28">
          <cell r="J28">
            <v>226391</v>
          </cell>
        </row>
        <row r="29">
          <cell r="J29">
            <v>43786</v>
          </cell>
        </row>
        <row r="31">
          <cell r="J31">
            <v>211929</v>
          </cell>
        </row>
        <row r="32">
          <cell r="J32">
            <v>40601</v>
          </cell>
        </row>
        <row r="34">
          <cell r="J34">
            <v>358136</v>
          </cell>
        </row>
        <row r="35">
          <cell r="J35">
            <v>257340</v>
          </cell>
        </row>
        <row r="37">
          <cell r="J37">
            <v>39555</v>
          </cell>
        </row>
        <row r="38">
          <cell r="J38">
            <v>39555</v>
          </cell>
        </row>
        <row r="39">
          <cell r="J39">
            <v>227005</v>
          </cell>
        </row>
        <row r="40">
          <cell r="J40">
            <v>227005</v>
          </cell>
        </row>
        <row r="41">
          <cell r="J41">
            <v>2567</v>
          </cell>
        </row>
        <row r="42">
          <cell r="J42">
            <v>2567</v>
          </cell>
        </row>
        <row r="43">
          <cell r="J43">
            <v>2</v>
          </cell>
        </row>
        <row r="44">
          <cell r="J44">
            <v>25</v>
          </cell>
        </row>
        <row r="45">
          <cell r="J45">
            <v>55</v>
          </cell>
        </row>
        <row r="47">
          <cell r="J47">
            <v>0</v>
          </cell>
        </row>
        <row r="48">
          <cell r="J48">
            <v>0</v>
          </cell>
        </row>
        <row r="50">
          <cell r="J50">
            <v>4777</v>
          </cell>
        </row>
        <row r="51">
          <cell r="J51">
            <v>0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 12"/>
      <sheetName val="2. Overall com progres Sept-ref"/>
      <sheetName val="Difference"/>
    </sheetNames>
    <sheetDataSet>
      <sheetData sheetId="0"/>
      <sheetData sheetId="1">
        <row r="111">
          <cell r="E111"/>
          <cell r="H111"/>
          <cell r="K111">
            <v>1069</v>
          </cell>
          <cell r="O111">
            <v>60</v>
          </cell>
        </row>
        <row r="113">
          <cell r="E113"/>
          <cell r="H113"/>
          <cell r="K113">
            <v>20260</v>
          </cell>
          <cell r="O113">
            <v>1302</v>
          </cell>
        </row>
        <row r="114">
          <cell r="E114">
            <v>71</v>
          </cell>
          <cell r="H114">
            <v>336</v>
          </cell>
          <cell r="K114">
            <v>59508</v>
          </cell>
          <cell r="O114">
            <v>3896</v>
          </cell>
        </row>
        <row r="115">
          <cell r="E115">
            <v>62</v>
          </cell>
          <cell r="H115">
            <v>372</v>
          </cell>
          <cell r="K115">
            <v>52485</v>
          </cell>
          <cell r="O115">
            <v>2993</v>
          </cell>
        </row>
        <row r="116">
          <cell r="E116">
            <v>35</v>
          </cell>
          <cell r="H116">
            <v>368</v>
          </cell>
          <cell r="K116">
            <v>47721</v>
          </cell>
          <cell r="O116">
            <v>3046</v>
          </cell>
        </row>
        <row r="117">
          <cell r="E117">
            <v>16</v>
          </cell>
          <cell r="H117">
            <v>108</v>
          </cell>
          <cell r="K117">
            <v>28220</v>
          </cell>
          <cell r="O117">
            <v>1739</v>
          </cell>
        </row>
        <row r="118">
          <cell r="E118">
            <v>21</v>
          </cell>
          <cell r="H118">
            <v>181</v>
          </cell>
          <cell r="K118">
            <v>27461</v>
          </cell>
          <cell r="O118">
            <v>1882</v>
          </cell>
        </row>
        <row r="120">
          <cell r="E120">
            <v>7</v>
          </cell>
          <cell r="H120">
            <v>20</v>
          </cell>
          <cell r="K120">
            <v>11035</v>
          </cell>
          <cell r="O120">
            <v>847</v>
          </cell>
        </row>
        <row r="121">
          <cell r="E121">
            <v>19</v>
          </cell>
          <cell r="H121">
            <v>129</v>
          </cell>
          <cell r="K121">
            <v>26551</v>
          </cell>
          <cell r="O121">
            <v>1631</v>
          </cell>
        </row>
        <row r="124">
          <cell r="E124">
            <v>27</v>
          </cell>
          <cell r="H124">
            <v>156</v>
          </cell>
          <cell r="K124">
            <v>40588</v>
          </cell>
          <cell r="O124">
            <v>2719</v>
          </cell>
        </row>
        <row r="125">
          <cell r="E125">
            <v>24</v>
          </cell>
          <cell r="H125">
            <v>346</v>
          </cell>
          <cell r="K125">
            <v>121192</v>
          </cell>
          <cell r="O125">
            <v>8028</v>
          </cell>
        </row>
        <row r="127">
          <cell r="E127">
            <v>5</v>
          </cell>
          <cell r="H127">
            <v>14</v>
          </cell>
          <cell r="K127">
            <v>4039</v>
          </cell>
          <cell r="O127">
            <v>269</v>
          </cell>
        </row>
        <row r="128">
          <cell r="E128">
            <v>53</v>
          </cell>
          <cell r="H128">
            <v>244</v>
          </cell>
          <cell r="K128">
            <v>34720</v>
          </cell>
          <cell r="O128">
            <v>2263</v>
          </cell>
        </row>
        <row r="131">
          <cell r="E131">
            <v>22</v>
          </cell>
          <cell r="H131">
            <v>148</v>
          </cell>
          <cell r="K131">
            <v>35212</v>
          </cell>
          <cell r="O131">
            <v>2382</v>
          </cell>
        </row>
        <row r="133">
          <cell r="E133">
            <v>16</v>
          </cell>
          <cell r="H133">
            <v>256</v>
          </cell>
          <cell r="K133">
            <v>147022</v>
          </cell>
          <cell r="O133">
            <v>8926</v>
          </cell>
        </row>
        <row r="135">
          <cell r="E135"/>
          <cell r="H135">
            <v>0</v>
          </cell>
          <cell r="K135">
            <v>695</v>
          </cell>
          <cell r="O135">
            <v>45</v>
          </cell>
        </row>
        <row r="136">
          <cell r="E136">
            <v>61</v>
          </cell>
          <cell r="H136">
            <v>554</v>
          </cell>
          <cell r="K136">
            <v>109194</v>
          </cell>
          <cell r="O136">
            <v>5296</v>
          </cell>
        </row>
        <row r="137">
          <cell r="E137">
            <v>27</v>
          </cell>
          <cell r="H137">
            <v>229</v>
          </cell>
          <cell r="K137">
            <v>33086</v>
          </cell>
          <cell r="O137">
            <v>2185</v>
          </cell>
        </row>
        <row r="138">
          <cell r="E138">
            <v>20</v>
          </cell>
          <cell r="H138">
            <v>174</v>
          </cell>
          <cell r="K138">
            <v>22982</v>
          </cell>
          <cell r="O138">
            <v>1488</v>
          </cell>
        </row>
        <row r="142">
          <cell r="E142">
            <v>0</v>
          </cell>
          <cell r="H142">
            <v>0</v>
          </cell>
          <cell r="K142">
            <v>18650</v>
          </cell>
          <cell r="O142">
            <v>1218</v>
          </cell>
        </row>
        <row r="144">
          <cell r="E144">
            <v>39</v>
          </cell>
          <cell r="H144">
            <v>272</v>
          </cell>
          <cell r="K144">
            <v>43068</v>
          </cell>
          <cell r="O144">
            <v>2707</v>
          </cell>
        </row>
        <row r="146">
          <cell r="E146">
            <v>57</v>
          </cell>
          <cell r="H146">
            <v>224</v>
          </cell>
          <cell r="K146">
            <v>47660</v>
          </cell>
          <cell r="O146">
            <v>2978</v>
          </cell>
        </row>
        <row r="148">
          <cell r="E148">
            <v>10</v>
          </cell>
          <cell r="H148">
            <v>143</v>
          </cell>
          <cell r="K148">
            <v>24686</v>
          </cell>
          <cell r="O148">
            <v>1594</v>
          </cell>
        </row>
        <row r="149">
          <cell r="E149">
            <v>87</v>
          </cell>
          <cell r="H149">
            <v>788</v>
          </cell>
          <cell r="K149">
            <v>155729</v>
          </cell>
          <cell r="O149">
            <v>6989</v>
          </cell>
        </row>
        <row r="150">
          <cell r="E150">
            <v>22</v>
          </cell>
          <cell r="H150">
            <v>152</v>
          </cell>
          <cell r="K150">
            <v>38010</v>
          </cell>
          <cell r="O150">
            <v>2499</v>
          </cell>
        </row>
      </sheetData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 12"/>
      <sheetName val="2. Overall com progres Sept-ref"/>
      <sheetName val="Difference"/>
    </sheetNames>
    <sheetDataSet>
      <sheetData sheetId="0" refreshError="1"/>
      <sheetData sheetId="1" refreshError="1"/>
      <sheetData sheetId="2" refreshError="1">
        <row r="8">
          <cell r="H8">
            <v>28382</v>
          </cell>
        </row>
        <row r="9">
          <cell r="H9">
            <v>40600</v>
          </cell>
        </row>
        <row r="10">
          <cell r="H10">
            <v>0</v>
          </cell>
        </row>
        <row r="12">
          <cell r="H12">
            <v>463722</v>
          </cell>
        </row>
        <row r="13">
          <cell r="H13">
            <v>697339</v>
          </cell>
        </row>
        <row r="15">
          <cell r="H15">
            <v>56.366999999999997</v>
          </cell>
        </row>
        <row r="16">
          <cell r="H16">
            <v>63.838999999999999</v>
          </cell>
        </row>
        <row r="18">
          <cell r="H18">
            <v>142125</v>
          </cell>
        </row>
        <row r="19">
          <cell r="H19">
            <v>324580</v>
          </cell>
        </row>
        <row r="21">
          <cell r="H21">
            <v>2</v>
          </cell>
        </row>
        <row r="22">
          <cell r="H22">
            <v>38</v>
          </cell>
        </row>
        <row r="23">
          <cell r="H23">
            <v>2834</v>
          </cell>
        </row>
        <row r="24">
          <cell r="H24">
            <v>30.527999999999999</v>
          </cell>
        </row>
        <row r="25">
          <cell r="H25">
            <v>4062.9659999999999</v>
          </cell>
        </row>
        <row r="26">
          <cell r="H26">
            <v>5818.9299999999994</v>
          </cell>
        </row>
        <row r="28">
          <cell r="H28">
            <v>296622</v>
          </cell>
        </row>
        <row r="29">
          <cell r="H29">
            <v>419081</v>
          </cell>
        </row>
        <row r="31">
          <cell r="H31">
            <v>0</v>
          </cell>
        </row>
        <row r="32">
          <cell r="H32">
            <v>0</v>
          </cell>
        </row>
        <row r="34">
          <cell r="H34">
            <v>0</v>
          </cell>
        </row>
        <row r="35">
          <cell r="H35">
            <v>0</v>
          </cell>
        </row>
        <row r="37">
          <cell r="H37">
            <v>6433</v>
          </cell>
        </row>
        <row r="38">
          <cell r="H38">
            <v>6433</v>
          </cell>
        </row>
        <row r="39">
          <cell r="H39">
            <v>674798</v>
          </cell>
        </row>
        <row r="40">
          <cell r="H40">
            <v>674798</v>
          </cell>
        </row>
        <row r="41">
          <cell r="H41">
            <v>1675.181</v>
          </cell>
        </row>
        <row r="42">
          <cell r="H42">
            <v>1675.181</v>
          </cell>
        </row>
        <row r="43">
          <cell r="H43">
            <v>201</v>
          </cell>
        </row>
        <row r="44">
          <cell r="H44">
            <v>5188</v>
          </cell>
        </row>
        <row r="45">
          <cell r="H45">
            <v>6822</v>
          </cell>
        </row>
        <row r="47">
          <cell r="H47">
            <v>0</v>
          </cell>
        </row>
        <row r="48">
          <cell r="H48">
            <v>0</v>
          </cell>
        </row>
        <row r="50">
          <cell r="H50">
            <v>8442</v>
          </cell>
        </row>
        <row r="51">
          <cell r="H51">
            <v>1770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tabSelected="1" zoomScale="90" zoomScaleNormal="90" workbookViewId="0"/>
  </sheetViews>
  <sheetFormatPr defaultRowHeight="12.75" x14ac:dyDescent="0.2"/>
  <cols>
    <col min="1" max="1" width="52.42578125" bestFit="1" customWidth="1"/>
    <col min="2" max="2" width="35" bestFit="1" customWidth="1"/>
    <col min="3" max="3" width="29.5703125" customWidth="1"/>
    <col min="4" max="4" width="33.5703125" bestFit="1" customWidth="1"/>
  </cols>
  <sheetData>
    <row r="2" spans="1:3" ht="13.5" thickBot="1" x14ac:dyDescent="0.25"/>
    <row r="3" spans="1:3" x14ac:dyDescent="0.2">
      <c r="A3" s="98" t="s">
        <v>216</v>
      </c>
      <c r="B3" s="126" t="str">
        <f>'[1]1.RSP Districts '!P212</f>
        <v>Number of total districts/areas in the province/area</v>
      </c>
      <c r="C3" s="126" t="str">
        <f>'[1]1.RSP Districts '!A212</f>
        <v xml:space="preserve">Number of districts/areas having RSPs presence  </v>
      </c>
    </row>
    <row r="4" spans="1:3" x14ac:dyDescent="0.2">
      <c r="A4" s="33" t="s">
        <v>173</v>
      </c>
      <c r="B4" s="126">
        <f>'1.RSP Districts '!R219</f>
        <v>30</v>
      </c>
      <c r="C4" s="126">
        <f>'1.RSP Districts '!A219</f>
        <v>19</v>
      </c>
    </row>
    <row r="5" spans="1:3" x14ac:dyDescent="0.2">
      <c r="A5" s="33" t="s">
        <v>228</v>
      </c>
      <c r="B5" s="126">
        <f>'1.RSP Districts '!R220</f>
        <v>24</v>
      </c>
      <c r="C5" s="126">
        <f>'1.RSP Districts '!A220</f>
        <v>19</v>
      </c>
    </row>
    <row r="6" spans="1:3" x14ac:dyDescent="0.2">
      <c r="A6" s="33" t="s">
        <v>174</v>
      </c>
      <c r="B6" s="126">
        <f>'1.RSP Districts '!R221</f>
        <v>23</v>
      </c>
      <c r="C6" s="126">
        <f>'1.RSP Districts '!A221</f>
        <v>22</v>
      </c>
    </row>
    <row r="7" spans="1:3" x14ac:dyDescent="0.2">
      <c r="A7" s="33" t="s">
        <v>253</v>
      </c>
      <c r="B7" s="126">
        <f>'1.RSP Districts '!R222+'1.RSP Districts '!R218</f>
        <v>37</v>
      </c>
      <c r="C7" s="126">
        <f>'1.RSP Districts '!A222+'1.RSP Districts '!A218</f>
        <v>35</v>
      </c>
    </row>
    <row r="8" spans="1:3" x14ac:dyDescent="0.2">
      <c r="A8" s="33" t="s">
        <v>229</v>
      </c>
      <c r="B8" s="126">
        <f>'1.RSP Districts '!R223</f>
        <v>10</v>
      </c>
      <c r="C8" s="126">
        <f>'1.RSP Districts '!A223</f>
        <v>10</v>
      </c>
    </row>
    <row r="9" spans="1:3" x14ac:dyDescent="0.2">
      <c r="A9" s="33" t="s">
        <v>230</v>
      </c>
      <c r="B9" s="126">
        <f>'1.RSP Districts '!R224</f>
        <v>7</v>
      </c>
      <c r="C9" s="126">
        <f>'1.RSP Districts '!A224</f>
        <v>6</v>
      </c>
    </row>
    <row r="10" spans="1:3" x14ac:dyDescent="0.2">
      <c r="A10" s="33" t="s">
        <v>231</v>
      </c>
      <c r="B10" s="126">
        <f>'1.RSP Districts '!R225</f>
        <v>13</v>
      </c>
      <c r="C10" s="126">
        <f>'1.RSP Districts '!A225</f>
        <v>5</v>
      </c>
    </row>
    <row r="11" spans="1:3" x14ac:dyDescent="0.2">
      <c r="A11" s="127" t="s">
        <v>254</v>
      </c>
      <c r="B11">
        <f>SUM(B4:B10)</f>
        <v>144</v>
      </c>
      <c r="C11">
        <f>SUM(C4:C10)</f>
        <v>116</v>
      </c>
    </row>
    <row r="15" spans="1:3" x14ac:dyDescent="0.2">
      <c r="A15" s="126" t="s">
        <v>216</v>
      </c>
      <c r="B15" s="126" t="s">
        <v>255</v>
      </c>
      <c r="C15" s="126" t="s">
        <v>256</v>
      </c>
    </row>
    <row r="16" spans="1:3" x14ac:dyDescent="0.2">
      <c r="A16" s="126" t="s">
        <v>173</v>
      </c>
      <c r="B16" s="126">
        <f>'1.RSP Districts '!C219</f>
        <v>547</v>
      </c>
      <c r="C16" s="126">
        <f>'1.RSP Districts '!E219</f>
        <v>279</v>
      </c>
    </row>
    <row r="17" spans="1:4" x14ac:dyDescent="0.2">
      <c r="A17" s="126" t="s">
        <v>228</v>
      </c>
      <c r="B17" s="126">
        <f>'1.RSP Districts '!C220</f>
        <v>961</v>
      </c>
      <c r="C17" s="126">
        <f>'1.RSP Districts '!E220</f>
        <v>619</v>
      </c>
    </row>
    <row r="18" spans="1:4" x14ac:dyDescent="0.2">
      <c r="A18" s="126" t="s">
        <v>174</v>
      </c>
      <c r="B18" s="126">
        <f>'1.RSP Districts '!C221</f>
        <v>921</v>
      </c>
      <c r="C18" s="126">
        <f>'1.RSP Districts '!E221</f>
        <v>690</v>
      </c>
    </row>
    <row r="19" spans="1:4" x14ac:dyDescent="0.2">
      <c r="A19" s="126" t="s">
        <v>253</v>
      </c>
      <c r="B19" s="126">
        <f>'1.RSP Districts '!C222+'1.RSP Districts '!C218</f>
        <v>2712</v>
      </c>
      <c r="C19" s="126">
        <f>'1.RSP Districts '!E222+'1.RSP Districts '!E218</f>
        <v>1792</v>
      </c>
    </row>
    <row r="20" spans="1:4" x14ac:dyDescent="0.2">
      <c r="A20" s="126" t="s">
        <v>229</v>
      </c>
      <c r="B20" s="126">
        <f>'1.RSP Districts '!C223</f>
        <v>196</v>
      </c>
      <c r="C20" s="126">
        <f>'1.RSP Districts '!E223</f>
        <v>179</v>
      </c>
    </row>
    <row r="21" spans="1:4" x14ac:dyDescent="0.2">
      <c r="A21" s="126" t="s">
        <v>230</v>
      </c>
      <c r="B21" s="126">
        <f>'1.RSP Districts '!C224</f>
        <v>103</v>
      </c>
      <c r="C21" s="126">
        <f>'1.RSP Districts '!E224</f>
        <v>94</v>
      </c>
    </row>
    <row r="22" spans="1:4" x14ac:dyDescent="0.2">
      <c r="A22" s="126" t="s">
        <v>231</v>
      </c>
      <c r="B22" s="126">
        <f>'1.RSP Districts '!C225</f>
        <v>190</v>
      </c>
      <c r="C22" s="126">
        <f>'1.RSP Districts '!E225</f>
        <v>6</v>
      </c>
    </row>
    <row r="23" spans="1:4" x14ac:dyDescent="0.2">
      <c r="A23" s="126" t="s">
        <v>218</v>
      </c>
      <c r="B23" s="126">
        <f>SUM(B16:B22)</f>
        <v>5630</v>
      </c>
      <c r="C23" s="126">
        <f>SUM(C16:C22)</f>
        <v>3659</v>
      </c>
    </row>
    <row r="24" spans="1:4" ht="13.5" thickBot="1" x14ac:dyDescent="0.25">
      <c r="C24" s="128">
        <f>C23/B23%</f>
        <v>64.991119005328599</v>
      </c>
    </row>
    <row r="25" spans="1:4" x14ac:dyDescent="0.2">
      <c r="B25" s="129"/>
    </row>
    <row r="26" spans="1:4" x14ac:dyDescent="0.2">
      <c r="B26" s="130"/>
    </row>
    <row r="27" spans="1:4" ht="12.75" customHeight="1" x14ac:dyDescent="0.2">
      <c r="A27" s="131" t="s">
        <v>216</v>
      </c>
      <c r="B27" s="126" t="s">
        <v>272</v>
      </c>
      <c r="C27" s="126" t="s">
        <v>257</v>
      </c>
      <c r="D27" s="126" t="s">
        <v>271</v>
      </c>
    </row>
    <row r="28" spans="1:4" x14ac:dyDescent="0.2">
      <c r="A28" s="33" t="s">
        <v>173</v>
      </c>
      <c r="B28" s="132">
        <f t="shared" ref="B28:B35" si="0">D28/C28%</f>
        <v>35.037478920793767</v>
      </c>
      <c r="C28" s="133">
        <f>'1.RSP Districts '!J219</f>
        <v>814191</v>
      </c>
      <c r="D28" s="133">
        <f>'1.RSP Districts '!L219</f>
        <v>285272</v>
      </c>
    </row>
    <row r="29" spans="1:4" x14ac:dyDescent="0.2">
      <c r="A29" s="33" t="s">
        <v>228</v>
      </c>
      <c r="B29" s="132">
        <f t="shared" si="0"/>
        <v>43.266959591598301</v>
      </c>
      <c r="C29" s="133">
        <f>'1.RSP Districts '!J220</f>
        <v>1889904</v>
      </c>
      <c r="D29" s="133">
        <f>'1.RSP Districts '!L220</f>
        <v>817704</v>
      </c>
    </row>
    <row r="30" spans="1:4" x14ac:dyDescent="0.2">
      <c r="A30" s="33" t="s">
        <v>174</v>
      </c>
      <c r="B30" s="132">
        <f t="shared" si="0"/>
        <v>40.937545545819098</v>
      </c>
      <c r="C30" s="133">
        <f>'1.RSP Districts '!J221</f>
        <v>2816903.1255411254</v>
      </c>
      <c r="D30" s="133">
        <f>'1.RSP Districts '!L221</f>
        <v>1153171</v>
      </c>
    </row>
    <row r="31" spans="1:4" x14ac:dyDescent="0.2">
      <c r="A31" s="33" t="s">
        <v>253</v>
      </c>
      <c r="B31" s="132">
        <f t="shared" si="0"/>
        <v>42.703222313043433</v>
      </c>
      <c r="C31" s="133">
        <f>'1.RSP Districts '!J222+'1.RSP Districts '!J218</f>
        <v>6518180.2431565113</v>
      </c>
      <c r="D31" s="133">
        <f>'1.RSP Districts '!L222+'1.RSP Districts '!L218</f>
        <v>2783473</v>
      </c>
    </row>
    <row r="32" spans="1:4" x14ac:dyDescent="0.2">
      <c r="A32" s="33" t="s">
        <v>229</v>
      </c>
      <c r="B32" s="132">
        <f t="shared" si="0"/>
        <v>68.010686745848389</v>
      </c>
      <c r="C32" s="133">
        <f>'1.RSP Districts '!J223</f>
        <v>398969.65165781637</v>
      </c>
      <c r="D32" s="133">
        <f>'1.RSP Districts '!L223</f>
        <v>271342</v>
      </c>
    </row>
    <row r="33" spans="1:4" x14ac:dyDescent="0.2">
      <c r="A33" s="33" t="s">
        <v>230</v>
      </c>
      <c r="B33" s="132">
        <f t="shared" si="0"/>
        <v>69.747920669136846</v>
      </c>
      <c r="C33" s="133">
        <f>'1.RSP Districts '!J224</f>
        <v>108649.83396348439</v>
      </c>
      <c r="D33" s="133">
        <f>'1.RSP Districts '!L224</f>
        <v>75781</v>
      </c>
    </row>
    <row r="34" spans="1:4" x14ac:dyDescent="0.2">
      <c r="A34" s="33" t="s">
        <v>231</v>
      </c>
      <c r="B34" s="132">
        <f t="shared" si="0"/>
        <v>1.8641076907904084</v>
      </c>
      <c r="C34" s="133">
        <f>'1.RSP Districts '!J225</f>
        <v>343649.6738707067</v>
      </c>
      <c r="D34" s="133">
        <f>'1.RSP Districts '!L225</f>
        <v>6406</v>
      </c>
    </row>
    <row r="35" spans="1:4" x14ac:dyDescent="0.2">
      <c r="A35" s="134" t="s">
        <v>17</v>
      </c>
      <c r="B35" s="132">
        <f t="shared" si="0"/>
        <v>41.838337949135763</v>
      </c>
      <c r="C35" s="133">
        <f>SUM(C28:C34)</f>
        <v>12890447.528189642</v>
      </c>
      <c r="D35" s="133">
        <f>SUM(D28:D34)</f>
        <v>5393149</v>
      </c>
    </row>
    <row r="36" spans="1:4" x14ac:dyDescent="0.2">
      <c r="D36" s="100">
        <f>D35*6.5</f>
        <v>35055468.5</v>
      </c>
    </row>
    <row r="37" spans="1:4" x14ac:dyDescent="0.2">
      <c r="D37" s="166">
        <f>D36/1000000</f>
        <v>35.055468500000003</v>
      </c>
    </row>
  </sheetData>
  <phoneticPr fontId="3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57"/>
  <sheetViews>
    <sheetView view="pageBreakPreview" zoomScale="73" zoomScaleNormal="87" zoomScaleSheetLayoutView="73" workbookViewId="0">
      <pane xSplit="2" ySplit="3" topLeftCell="C212" activePane="bottomRight" state="frozen"/>
      <selection activeCell="G51" sqref="G51"/>
      <selection pane="topRight" activeCell="G51" sqref="G51"/>
      <selection pane="bottomLeft" activeCell="G51" sqref="G51"/>
      <selection pane="bottomRight" activeCell="L226" sqref="L226"/>
    </sheetView>
  </sheetViews>
  <sheetFormatPr defaultRowHeight="15" x14ac:dyDescent="0.25"/>
  <cols>
    <col min="1" max="1" width="6.42578125" style="2" customWidth="1"/>
    <col min="2" max="2" width="28.85546875" style="1" bestFit="1" customWidth="1"/>
    <col min="3" max="3" width="17.7109375" style="3" bestFit="1" customWidth="1"/>
    <col min="4" max="5" width="15.5703125" style="3" customWidth="1"/>
    <col min="6" max="6" width="17.7109375" style="3" customWidth="1"/>
    <col min="7" max="7" width="15.5703125" style="3" customWidth="1"/>
    <col min="8" max="9" width="15.5703125" style="143" customWidth="1"/>
    <col min="10" max="10" width="20.85546875" style="12" customWidth="1"/>
    <col min="11" max="14" width="15.5703125" style="10" customWidth="1"/>
    <col min="15" max="17" width="15.5703125" style="12" customWidth="1"/>
    <col min="18" max="18" width="13" style="3" bestFit="1" customWidth="1"/>
    <col min="19" max="16384" width="9.140625" style="1"/>
  </cols>
  <sheetData>
    <row r="1" spans="1:19" thickBot="1" x14ac:dyDescent="0.25">
      <c r="A1" s="184" t="s">
        <v>273</v>
      </c>
      <c r="B1" s="184"/>
      <c r="C1" s="184"/>
      <c r="D1" s="184"/>
      <c r="E1" s="184"/>
      <c r="F1" s="184"/>
      <c r="G1" s="184"/>
      <c r="H1" s="185"/>
      <c r="I1" s="185"/>
      <c r="J1" s="184"/>
      <c r="K1" s="184"/>
      <c r="L1" s="184"/>
      <c r="M1" s="184"/>
      <c r="N1" s="184"/>
      <c r="O1" s="184"/>
      <c r="P1" s="184"/>
      <c r="Q1" s="184"/>
      <c r="R1" s="184"/>
    </row>
    <row r="2" spans="1:19" ht="53.25" customHeight="1" x14ac:dyDescent="0.2">
      <c r="A2" s="186" t="s">
        <v>33</v>
      </c>
      <c r="B2" s="188" t="s">
        <v>34</v>
      </c>
      <c r="C2" s="188" t="s">
        <v>212</v>
      </c>
      <c r="D2" s="180" t="s">
        <v>266</v>
      </c>
      <c r="E2" s="180"/>
      <c r="F2" s="180"/>
      <c r="G2" s="181"/>
      <c r="H2" s="182" t="s">
        <v>281</v>
      </c>
      <c r="I2" s="192" t="s">
        <v>282</v>
      </c>
      <c r="J2" s="188" t="s">
        <v>36</v>
      </c>
      <c r="K2" s="180" t="s">
        <v>267</v>
      </c>
      <c r="L2" s="180"/>
      <c r="M2" s="180"/>
      <c r="N2" s="181"/>
      <c r="O2" s="188" t="s">
        <v>268</v>
      </c>
      <c r="P2" s="188"/>
      <c r="Q2" s="188"/>
      <c r="R2" s="190" t="s">
        <v>35</v>
      </c>
    </row>
    <row r="3" spans="1:19" ht="49.5" customHeight="1" thickBot="1" x14ac:dyDescent="0.25">
      <c r="A3" s="187"/>
      <c r="B3" s="189"/>
      <c r="C3" s="189"/>
      <c r="D3" s="89" t="s">
        <v>276</v>
      </c>
      <c r="E3" s="139" t="s">
        <v>277</v>
      </c>
      <c r="F3" s="89" t="s">
        <v>242</v>
      </c>
      <c r="G3" s="89" t="s">
        <v>278</v>
      </c>
      <c r="H3" s="183"/>
      <c r="I3" s="193"/>
      <c r="J3" s="189"/>
      <c r="K3" s="89" t="s">
        <v>276</v>
      </c>
      <c r="L3" s="139" t="s">
        <v>277</v>
      </c>
      <c r="M3" s="89" t="s">
        <v>242</v>
      </c>
      <c r="N3" s="89" t="s">
        <v>278</v>
      </c>
      <c r="O3" s="89" t="s">
        <v>276</v>
      </c>
      <c r="P3" s="139" t="s">
        <v>277</v>
      </c>
      <c r="Q3" s="89" t="s">
        <v>242</v>
      </c>
      <c r="R3" s="191"/>
      <c r="S3" s="1">
        <v>1</v>
      </c>
    </row>
    <row r="4" spans="1:19" ht="6.75" customHeight="1" thickBot="1" x14ac:dyDescent="0.25">
      <c r="A4" s="13"/>
      <c r="B4" s="14"/>
      <c r="C4" s="15"/>
      <c r="D4" s="15"/>
      <c r="E4" s="15"/>
      <c r="F4" s="15"/>
      <c r="G4" s="15"/>
      <c r="H4" s="15"/>
      <c r="I4" s="15"/>
      <c r="J4" s="16"/>
      <c r="K4" s="17"/>
      <c r="L4" s="17"/>
      <c r="M4" s="17"/>
      <c r="N4" s="17"/>
      <c r="O4" s="16"/>
      <c r="P4" s="16"/>
      <c r="Q4" s="16"/>
      <c r="R4" s="15"/>
      <c r="S4" s="1">
        <v>1</v>
      </c>
    </row>
    <row r="5" spans="1:19" ht="21.75" customHeight="1" x14ac:dyDescent="0.2">
      <c r="A5" s="18" t="s">
        <v>37</v>
      </c>
      <c r="B5" s="19"/>
      <c r="C5" s="20"/>
      <c r="D5" s="20"/>
      <c r="E5" s="20"/>
      <c r="F5" s="20"/>
      <c r="G5" s="20"/>
      <c r="H5" s="20"/>
      <c r="I5" s="20"/>
      <c r="J5" s="20"/>
      <c r="K5" s="21"/>
      <c r="L5" s="21"/>
      <c r="M5" s="21"/>
      <c r="N5" s="21"/>
      <c r="O5" s="20"/>
      <c r="P5" s="20"/>
      <c r="Q5" s="20"/>
      <c r="R5" s="22"/>
      <c r="S5" s="1">
        <v>1</v>
      </c>
    </row>
    <row r="6" spans="1:19" thickBot="1" x14ac:dyDescent="0.25">
      <c r="A6" s="37">
        <v>1</v>
      </c>
      <c r="B6" s="38" t="s">
        <v>38</v>
      </c>
      <c r="C6" s="39">
        <v>12</v>
      </c>
      <c r="D6" s="39">
        <v>12</v>
      </c>
      <c r="E6" s="39">
        <v>12</v>
      </c>
      <c r="F6" s="140">
        <f>(E6-D6)/D6%</f>
        <v>0</v>
      </c>
      <c r="G6" s="140">
        <f>E6/C6%</f>
        <v>100</v>
      </c>
      <c r="H6" s="39">
        <v>722</v>
      </c>
      <c r="I6" s="39">
        <v>722</v>
      </c>
      <c r="J6" s="39">
        <v>43884</v>
      </c>
      <c r="K6" s="39">
        <v>25415</v>
      </c>
      <c r="L6" s="39">
        <v>26187</v>
      </c>
      <c r="M6" s="140">
        <f>(L6-K6)/K6%</f>
        <v>3.0375762345071808</v>
      </c>
      <c r="N6" s="140">
        <f>L6/J6%</f>
        <v>59.673229423024338</v>
      </c>
      <c r="O6" s="39">
        <v>1535</v>
      </c>
      <c r="P6" s="39">
        <v>1563</v>
      </c>
      <c r="Q6" s="140">
        <f>(P6-O6)/O6%</f>
        <v>1.8241042345276874</v>
      </c>
      <c r="R6" s="161" t="s">
        <v>5</v>
      </c>
      <c r="S6" s="1">
        <v>1</v>
      </c>
    </row>
    <row r="7" spans="1:19" s="5" customFormat="1" ht="15.75" thickBot="1" x14ac:dyDescent="0.3">
      <c r="A7" s="158">
        <f>A6</f>
        <v>1</v>
      </c>
      <c r="B7" s="160" t="s">
        <v>39</v>
      </c>
      <c r="C7" s="57">
        <f>C6</f>
        <v>12</v>
      </c>
      <c r="D7" s="57">
        <f>D6</f>
        <v>12</v>
      </c>
      <c r="E7" s="57">
        <f>E6</f>
        <v>12</v>
      </c>
      <c r="F7" s="157">
        <f>(E7-D7)/D7%</f>
        <v>0</v>
      </c>
      <c r="G7" s="157">
        <f>E7/C7%</f>
        <v>100</v>
      </c>
      <c r="H7" s="157">
        <f>H6</f>
        <v>722</v>
      </c>
      <c r="I7" s="157">
        <f>I6</f>
        <v>722</v>
      </c>
      <c r="J7" s="57">
        <f>J6</f>
        <v>43884</v>
      </c>
      <c r="K7" s="57">
        <f>K6</f>
        <v>25415</v>
      </c>
      <c r="L7" s="57">
        <f>L6</f>
        <v>26187</v>
      </c>
      <c r="M7" s="157">
        <f>(L7-K7)/K7%</f>
        <v>3.0375762345071808</v>
      </c>
      <c r="N7" s="157">
        <f>L7/J7%</f>
        <v>59.673229423024338</v>
      </c>
      <c r="O7" s="57">
        <f>O6</f>
        <v>1535</v>
      </c>
      <c r="P7" s="57">
        <f>P6</f>
        <v>1563</v>
      </c>
      <c r="Q7" s="157">
        <f>(P7-O7)/O7%</f>
        <v>1.8241042345276874</v>
      </c>
      <c r="R7" s="159"/>
      <c r="S7" s="1">
        <v>1</v>
      </c>
    </row>
    <row r="8" spans="1:19" ht="4.5" customHeight="1" thickBot="1" x14ac:dyDescent="0.25">
      <c r="A8" s="13"/>
      <c r="B8" s="14"/>
      <c r="C8" s="59"/>
      <c r="D8" s="28"/>
      <c r="E8" s="28"/>
      <c r="F8" s="106"/>
      <c r="G8" s="106"/>
      <c r="H8" s="106"/>
      <c r="I8" s="106"/>
      <c r="J8" s="59"/>
      <c r="K8" s="28"/>
      <c r="L8" s="28"/>
      <c r="M8" s="28"/>
      <c r="N8" s="28"/>
      <c r="O8" s="28"/>
      <c r="P8" s="28"/>
      <c r="Q8" s="28"/>
      <c r="R8" s="15"/>
      <c r="S8" s="1">
        <v>1</v>
      </c>
    </row>
    <row r="9" spans="1:19" ht="14.25" x14ac:dyDescent="0.2">
      <c r="A9" s="18" t="s">
        <v>40</v>
      </c>
      <c r="B9" s="19"/>
      <c r="C9" s="20"/>
      <c r="D9" s="29"/>
      <c r="E9" s="29"/>
      <c r="F9" s="107"/>
      <c r="G9" s="107"/>
      <c r="H9" s="107"/>
      <c r="I9" s="107"/>
      <c r="J9" s="20"/>
      <c r="K9" s="29"/>
      <c r="L9" s="29"/>
      <c r="M9" s="29"/>
      <c r="N9" s="29"/>
      <c r="O9" s="29"/>
      <c r="P9" s="29"/>
      <c r="Q9" s="29"/>
      <c r="R9" s="22"/>
      <c r="S9" s="1">
        <v>1</v>
      </c>
    </row>
    <row r="10" spans="1:19" ht="14.25" x14ac:dyDescent="0.2">
      <c r="A10" s="23">
        <v>1</v>
      </c>
      <c r="B10" s="24" t="s">
        <v>41</v>
      </c>
      <c r="C10" s="25">
        <v>8</v>
      </c>
      <c r="D10" s="39">
        <v>8</v>
      </c>
      <c r="E10" s="39">
        <v>8</v>
      </c>
      <c r="F10" s="105">
        <f>(E10-D10)/D10%</f>
        <v>0</v>
      </c>
      <c r="G10" s="105">
        <f>E10/C10%</f>
        <v>100</v>
      </c>
      <c r="H10" s="39">
        <v>118</v>
      </c>
      <c r="I10" s="39">
        <v>118</v>
      </c>
      <c r="J10" s="25">
        <v>22144</v>
      </c>
      <c r="K10" s="25">
        <v>9890</v>
      </c>
      <c r="L10" s="39">
        <v>9890</v>
      </c>
      <c r="M10" s="105">
        <f t="shared" ref="M10:M40" si="0">(L10-K10)/K10%</f>
        <v>0</v>
      </c>
      <c r="N10" s="105">
        <f t="shared" ref="N10:N40" si="1">L10/J10%</f>
        <v>44.662210982658962</v>
      </c>
      <c r="O10" s="25">
        <v>598</v>
      </c>
      <c r="P10" s="39">
        <v>598</v>
      </c>
      <c r="Q10" s="105">
        <f t="shared" ref="Q10:Q40" si="2">(P10-O10)/O10%</f>
        <v>0</v>
      </c>
      <c r="R10" s="27" t="s">
        <v>5</v>
      </c>
      <c r="S10" s="1">
        <v>1</v>
      </c>
    </row>
    <row r="11" spans="1:19" ht="14.25" x14ac:dyDescent="0.2">
      <c r="A11" s="23">
        <v>2</v>
      </c>
      <c r="B11" s="24" t="s">
        <v>180</v>
      </c>
      <c r="C11" s="25">
        <v>8</v>
      </c>
      <c r="D11" s="39">
        <v>0</v>
      </c>
      <c r="E11" s="39"/>
      <c r="F11" s="105">
        <v>0</v>
      </c>
      <c r="G11" s="105">
        <f t="shared" ref="G11:G40" si="3">E11/C11%</f>
        <v>0</v>
      </c>
      <c r="H11" s="105"/>
      <c r="I11" s="105"/>
      <c r="J11" s="25">
        <v>13787</v>
      </c>
      <c r="K11" s="25">
        <v>0</v>
      </c>
      <c r="L11" s="25"/>
      <c r="M11" s="105">
        <v>0</v>
      </c>
      <c r="N11" s="105">
        <v>0</v>
      </c>
      <c r="O11" s="25"/>
      <c r="P11" s="26"/>
      <c r="Q11" s="105">
        <v>0</v>
      </c>
      <c r="R11" s="81">
        <v>0</v>
      </c>
      <c r="S11" s="1">
        <v>1</v>
      </c>
    </row>
    <row r="12" spans="1:19" ht="14.25" x14ac:dyDescent="0.2">
      <c r="A12" s="23">
        <v>3</v>
      </c>
      <c r="B12" s="24" t="s">
        <v>42</v>
      </c>
      <c r="C12" s="25">
        <v>27</v>
      </c>
      <c r="D12" s="39">
        <v>1</v>
      </c>
      <c r="E12" s="39">
        <f>'[2]1.RSP Districts '!E12</f>
        <v>1</v>
      </c>
      <c r="F12" s="105">
        <f t="shared" ref="F12:F40" si="4">(E12-D12)/D12%</f>
        <v>0</v>
      </c>
      <c r="G12" s="105">
        <f t="shared" si="3"/>
        <v>3.7037037037037033</v>
      </c>
      <c r="H12" s="39">
        <v>6</v>
      </c>
      <c r="I12" s="39">
        <f>'[2]1.RSP Districts '!I12</f>
        <v>6</v>
      </c>
      <c r="J12" s="25">
        <v>35003</v>
      </c>
      <c r="K12" s="25">
        <v>2434</v>
      </c>
      <c r="L12" s="39">
        <f>'[2]1.RSP Districts '!L12</f>
        <v>2434</v>
      </c>
      <c r="M12" s="105">
        <f t="shared" si="0"/>
        <v>0</v>
      </c>
      <c r="N12" s="105">
        <f t="shared" si="1"/>
        <v>6.953689683741394</v>
      </c>
      <c r="O12" s="25">
        <v>109</v>
      </c>
      <c r="P12" s="39">
        <f>'[2]1.RSP Districts '!P12</f>
        <v>109</v>
      </c>
      <c r="Q12" s="105">
        <f t="shared" si="2"/>
        <v>0</v>
      </c>
      <c r="R12" s="27" t="s">
        <v>3</v>
      </c>
      <c r="S12" s="1">
        <v>1</v>
      </c>
    </row>
    <row r="13" spans="1:19" ht="14.25" x14ac:dyDescent="0.2">
      <c r="A13" s="23">
        <v>4</v>
      </c>
      <c r="B13" s="24" t="s">
        <v>181</v>
      </c>
      <c r="C13" s="25">
        <v>10</v>
      </c>
      <c r="D13" s="39">
        <v>0</v>
      </c>
      <c r="E13" s="39"/>
      <c r="F13" s="105">
        <v>0</v>
      </c>
      <c r="G13" s="105">
        <f t="shared" si="3"/>
        <v>0</v>
      </c>
      <c r="H13" s="105"/>
      <c r="I13" s="105"/>
      <c r="J13" s="174">
        <v>13570</v>
      </c>
      <c r="K13" s="25">
        <v>0</v>
      </c>
      <c r="L13" s="25"/>
      <c r="M13" s="105">
        <v>0</v>
      </c>
      <c r="N13" s="105">
        <v>0</v>
      </c>
      <c r="O13" s="25"/>
      <c r="P13" s="26"/>
      <c r="Q13" s="105">
        <v>0</v>
      </c>
      <c r="R13" s="81">
        <v>0</v>
      </c>
      <c r="S13" s="1">
        <v>1</v>
      </c>
    </row>
    <row r="14" spans="1:19" ht="14.25" x14ac:dyDescent="0.2">
      <c r="A14" s="23">
        <v>5</v>
      </c>
      <c r="B14" s="24" t="s">
        <v>182</v>
      </c>
      <c r="C14" s="25">
        <v>12</v>
      </c>
      <c r="D14" s="39">
        <v>0</v>
      </c>
      <c r="E14" s="39"/>
      <c r="F14" s="105">
        <v>0</v>
      </c>
      <c r="G14" s="105">
        <f t="shared" si="3"/>
        <v>0</v>
      </c>
      <c r="H14" s="105"/>
      <c r="I14" s="105"/>
      <c r="J14" s="174">
        <v>27337</v>
      </c>
      <c r="K14" s="25">
        <v>0</v>
      </c>
      <c r="L14" s="25"/>
      <c r="M14" s="105">
        <v>0</v>
      </c>
      <c r="N14" s="105">
        <v>0</v>
      </c>
      <c r="O14" s="25"/>
      <c r="P14" s="26"/>
      <c r="Q14" s="105">
        <v>0</v>
      </c>
      <c r="R14" s="81">
        <v>0</v>
      </c>
      <c r="S14" s="1">
        <v>1</v>
      </c>
    </row>
    <row r="15" spans="1:19" ht="14.25" x14ac:dyDescent="0.2">
      <c r="A15" s="23">
        <v>6</v>
      </c>
      <c r="B15" s="24" t="s">
        <v>43</v>
      </c>
      <c r="C15" s="25">
        <v>13</v>
      </c>
      <c r="D15" s="39">
        <v>13</v>
      </c>
      <c r="E15" s="39">
        <v>13</v>
      </c>
      <c r="F15" s="105">
        <f t="shared" si="4"/>
        <v>0</v>
      </c>
      <c r="G15" s="105">
        <f t="shared" si="3"/>
        <v>100</v>
      </c>
      <c r="H15" s="39">
        <v>144</v>
      </c>
      <c r="I15" s="39">
        <v>144</v>
      </c>
      <c r="J15" s="25">
        <v>16691</v>
      </c>
      <c r="K15" s="39">
        <v>19310</v>
      </c>
      <c r="L15" s="39">
        <v>19310</v>
      </c>
      <c r="M15" s="105">
        <f t="shared" si="0"/>
        <v>0</v>
      </c>
      <c r="N15" s="105">
        <f t="shared" si="1"/>
        <v>115.6910910071296</v>
      </c>
      <c r="O15" s="25">
        <v>862</v>
      </c>
      <c r="P15" s="39">
        <v>862</v>
      </c>
      <c r="Q15" s="105">
        <f t="shared" si="2"/>
        <v>0</v>
      </c>
      <c r="R15" s="27" t="s">
        <v>5</v>
      </c>
      <c r="S15" s="1">
        <v>1</v>
      </c>
    </row>
    <row r="16" spans="1:19" ht="14.25" x14ac:dyDescent="0.2">
      <c r="A16" s="23">
        <v>7</v>
      </c>
      <c r="B16" s="24" t="s">
        <v>183</v>
      </c>
      <c r="C16" s="25">
        <v>10</v>
      </c>
      <c r="D16" s="39">
        <v>0</v>
      </c>
      <c r="E16" s="39"/>
      <c r="F16" s="105">
        <v>0</v>
      </c>
      <c r="G16" s="105">
        <f t="shared" si="3"/>
        <v>0</v>
      </c>
      <c r="H16" s="105"/>
      <c r="I16" s="105"/>
      <c r="J16" s="25">
        <v>0</v>
      </c>
      <c r="K16" s="25">
        <v>0</v>
      </c>
      <c r="L16" s="25"/>
      <c r="M16" s="105">
        <v>0</v>
      </c>
      <c r="N16" s="105">
        <v>0</v>
      </c>
      <c r="O16" s="25">
        <v>0</v>
      </c>
      <c r="P16" s="26"/>
      <c r="Q16" s="105">
        <v>0</v>
      </c>
      <c r="R16" s="81">
        <v>0</v>
      </c>
      <c r="S16" s="1">
        <v>1</v>
      </c>
    </row>
    <row r="17" spans="1:19" ht="14.25" x14ac:dyDescent="0.2">
      <c r="A17" s="23">
        <v>8</v>
      </c>
      <c r="B17" s="24" t="s">
        <v>44</v>
      </c>
      <c r="C17" s="25">
        <v>9</v>
      </c>
      <c r="D17" s="39">
        <v>9</v>
      </c>
      <c r="E17" s="39">
        <f>'[2]1.RSP Districts '!E17</f>
        <v>9</v>
      </c>
      <c r="F17" s="105">
        <f t="shared" si="4"/>
        <v>0</v>
      </c>
      <c r="G17" s="105">
        <f t="shared" si="3"/>
        <v>100</v>
      </c>
      <c r="H17" s="39">
        <v>98</v>
      </c>
      <c r="I17" s="39">
        <f>'[2]1.RSP Districts '!I17</f>
        <v>98</v>
      </c>
      <c r="J17" s="25">
        <v>16184</v>
      </c>
      <c r="K17" s="39">
        <v>9708</v>
      </c>
      <c r="L17" s="39">
        <f>'[2]1.RSP Districts '!L17</f>
        <v>9708</v>
      </c>
      <c r="M17" s="105">
        <f t="shared" si="0"/>
        <v>0</v>
      </c>
      <c r="N17" s="105">
        <f t="shared" si="1"/>
        <v>59.985170538803757</v>
      </c>
      <c r="O17" s="25">
        <v>577</v>
      </c>
      <c r="P17" s="39">
        <f>'[2]1.RSP Districts '!P17</f>
        <v>577</v>
      </c>
      <c r="Q17" s="105">
        <f t="shared" si="2"/>
        <v>0</v>
      </c>
      <c r="R17" s="27" t="s">
        <v>3</v>
      </c>
      <c r="S17" s="1">
        <v>1</v>
      </c>
    </row>
    <row r="18" spans="1:19" ht="14.25" x14ac:dyDescent="0.2">
      <c r="A18" s="23">
        <v>9</v>
      </c>
      <c r="B18" s="24" t="s">
        <v>45</v>
      </c>
      <c r="C18" s="25">
        <v>46</v>
      </c>
      <c r="D18" s="39">
        <v>29</v>
      </c>
      <c r="E18" s="39">
        <f>'[2]1.RSP Districts '!E18</f>
        <v>29</v>
      </c>
      <c r="F18" s="105">
        <f t="shared" si="4"/>
        <v>0</v>
      </c>
      <c r="G18" s="105">
        <f t="shared" si="3"/>
        <v>63.043478260869563</v>
      </c>
      <c r="H18" s="39">
        <v>41</v>
      </c>
      <c r="I18" s="39">
        <f>'[2]1.RSP Districts '!I18</f>
        <v>41</v>
      </c>
      <c r="J18" s="25">
        <v>52664</v>
      </c>
      <c r="K18" s="25">
        <v>8739</v>
      </c>
      <c r="L18" s="39">
        <f>'[2]1.RSP Districts '!L18</f>
        <v>8739</v>
      </c>
      <c r="M18" s="105">
        <f t="shared" si="0"/>
        <v>0</v>
      </c>
      <c r="N18" s="105">
        <f t="shared" si="1"/>
        <v>16.593878171046637</v>
      </c>
      <c r="O18" s="25">
        <v>163</v>
      </c>
      <c r="P18" s="39">
        <f>'[2]1.RSP Districts '!P18</f>
        <v>163</v>
      </c>
      <c r="Q18" s="105">
        <f t="shared" si="2"/>
        <v>0</v>
      </c>
      <c r="R18" s="27" t="s">
        <v>3</v>
      </c>
      <c r="S18" s="1">
        <v>1</v>
      </c>
    </row>
    <row r="19" spans="1:19" ht="14.25" x14ac:dyDescent="0.2">
      <c r="A19" s="23">
        <v>10</v>
      </c>
      <c r="B19" s="24" t="s">
        <v>46</v>
      </c>
      <c r="C19" s="25">
        <v>18</v>
      </c>
      <c r="D19" s="39">
        <v>15</v>
      </c>
      <c r="E19" s="39">
        <f>'[2]1.RSP Districts '!E19</f>
        <v>15</v>
      </c>
      <c r="F19" s="105">
        <f t="shared" si="4"/>
        <v>0</v>
      </c>
      <c r="G19" s="105">
        <f t="shared" si="3"/>
        <v>83.333333333333343</v>
      </c>
      <c r="H19" s="39">
        <v>226</v>
      </c>
      <c r="I19" s="39">
        <f>'[2]1.RSP Districts '!I19</f>
        <v>226</v>
      </c>
      <c r="J19" s="25">
        <v>31396</v>
      </c>
      <c r="K19" s="25">
        <v>28829</v>
      </c>
      <c r="L19" s="39">
        <f>'[2]1.RSP Districts '!L19</f>
        <v>28829</v>
      </c>
      <c r="M19" s="105">
        <f t="shared" si="0"/>
        <v>0</v>
      </c>
      <c r="N19" s="105">
        <f t="shared" si="1"/>
        <v>91.823799210090456</v>
      </c>
      <c r="O19" s="25">
        <v>1870</v>
      </c>
      <c r="P19" s="39">
        <f>'[2]1.RSP Districts '!P19</f>
        <v>1870</v>
      </c>
      <c r="Q19" s="105">
        <f t="shared" si="2"/>
        <v>0</v>
      </c>
      <c r="R19" s="27" t="s">
        <v>3</v>
      </c>
      <c r="S19" s="1">
        <v>1</v>
      </c>
    </row>
    <row r="20" spans="1:19" ht="14.25" x14ac:dyDescent="0.2">
      <c r="A20" s="23">
        <v>11</v>
      </c>
      <c r="B20" s="24" t="s">
        <v>47</v>
      </c>
      <c r="C20" s="25">
        <v>38</v>
      </c>
      <c r="D20" s="39">
        <v>38</v>
      </c>
      <c r="E20" s="39">
        <v>38</v>
      </c>
      <c r="F20" s="105">
        <f t="shared" si="4"/>
        <v>0</v>
      </c>
      <c r="G20" s="105">
        <f t="shared" si="3"/>
        <v>100</v>
      </c>
      <c r="H20" s="39">
        <v>357</v>
      </c>
      <c r="I20" s="39">
        <v>357</v>
      </c>
      <c r="J20" s="25">
        <v>70164</v>
      </c>
      <c r="K20" s="25">
        <v>48560</v>
      </c>
      <c r="L20" s="39">
        <v>48560</v>
      </c>
      <c r="M20" s="105">
        <f t="shared" si="0"/>
        <v>0</v>
      </c>
      <c r="N20" s="105">
        <f t="shared" si="1"/>
        <v>69.209281112821387</v>
      </c>
      <c r="O20" s="25">
        <v>2244</v>
      </c>
      <c r="P20" s="39">
        <v>2245</v>
      </c>
      <c r="Q20" s="105">
        <f t="shared" si="2"/>
        <v>4.4563279857397504E-2</v>
      </c>
      <c r="R20" s="27" t="s">
        <v>5</v>
      </c>
      <c r="S20" s="1">
        <v>1</v>
      </c>
    </row>
    <row r="21" spans="1:19" ht="14.25" x14ac:dyDescent="0.2">
      <c r="A21" s="23">
        <v>12</v>
      </c>
      <c r="B21" s="24" t="s">
        <v>48</v>
      </c>
      <c r="C21" s="25">
        <v>7</v>
      </c>
      <c r="D21" s="39">
        <v>7</v>
      </c>
      <c r="E21" s="39">
        <f>'[2]1.RSP Districts '!E21</f>
        <v>7</v>
      </c>
      <c r="F21" s="105">
        <f t="shared" si="4"/>
        <v>0</v>
      </c>
      <c r="G21" s="105">
        <f t="shared" si="3"/>
        <v>99.999999999999986</v>
      </c>
      <c r="H21" s="39">
        <v>137</v>
      </c>
      <c r="I21" s="39">
        <f>'[2]1.RSP Districts '!I21</f>
        <v>137</v>
      </c>
      <c r="J21" s="25">
        <v>14328.125</v>
      </c>
      <c r="K21" s="39">
        <v>15739</v>
      </c>
      <c r="L21" s="39">
        <f>'[2]1.RSP Districts '!L21</f>
        <v>15739</v>
      </c>
      <c r="M21" s="105">
        <f t="shared" si="0"/>
        <v>0</v>
      </c>
      <c r="N21" s="105">
        <f t="shared" si="1"/>
        <v>109.84689203925845</v>
      </c>
      <c r="O21" s="25">
        <v>942</v>
      </c>
      <c r="P21" s="39">
        <f>'[2]1.RSP Districts '!P21</f>
        <v>942</v>
      </c>
      <c r="Q21" s="105">
        <f t="shared" si="2"/>
        <v>0</v>
      </c>
      <c r="R21" s="27" t="s">
        <v>3</v>
      </c>
      <c r="S21" s="1">
        <v>1</v>
      </c>
    </row>
    <row r="22" spans="1:19" ht="14.25" x14ac:dyDescent="0.2">
      <c r="A22" s="23">
        <v>13</v>
      </c>
      <c r="B22" s="24" t="s">
        <v>49</v>
      </c>
      <c r="C22" s="25">
        <v>35</v>
      </c>
      <c r="D22" s="39">
        <v>28</v>
      </c>
      <c r="E22" s="39">
        <f>'[2]1.RSP Districts '!E22</f>
        <v>28</v>
      </c>
      <c r="F22" s="105">
        <f t="shared" si="4"/>
        <v>0</v>
      </c>
      <c r="G22" s="105">
        <f t="shared" si="3"/>
        <v>80</v>
      </c>
      <c r="H22" s="39">
        <v>217</v>
      </c>
      <c r="I22" s="39">
        <f>'[2]1.RSP Districts '!I22</f>
        <v>217</v>
      </c>
      <c r="J22" s="25">
        <v>60032</v>
      </c>
      <c r="K22" s="39">
        <v>34100</v>
      </c>
      <c r="L22" s="39">
        <f>'[2]1.RSP Districts '!L22</f>
        <v>34100</v>
      </c>
      <c r="M22" s="105">
        <f t="shared" si="0"/>
        <v>0</v>
      </c>
      <c r="N22" s="105">
        <f t="shared" si="1"/>
        <v>56.803038379530911</v>
      </c>
      <c r="O22" s="25">
        <v>2060</v>
      </c>
      <c r="P22" s="39">
        <f>'[2]1.RSP Districts '!P22</f>
        <v>2060</v>
      </c>
      <c r="Q22" s="105">
        <f t="shared" si="2"/>
        <v>0</v>
      </c>
      <c r="R22" s="27" t="s">
        <v>3</v>
      </c>
      <c r="S22" s="1">
        <v>1</v>
      </c>
    </row>
    <row r="23" spans="1:19" ht="14.25" x14ac:dyDescent="0.2">
      <c r="A23" s="23">
        <v>14</v>
      </c>
      <c r="B23" s="24" t="s">
        <v>184</v>
      </c>
      <c r="C23" s="25">
        <v>25</v>
      </c>
      <c r="D23" s="39">
        <v>0</v>
      </c>
      <c r="E23" s="39"/>
      <c r="F23" s="105">
        <v>0</v>
      </c>
      <c r="G23" s="105">
        <f t="shared" si="3"/>
        <v>0</v>
      </c>
      <c r="H23" s="105"/>
      <c r="I23" s="105"/>
      <c r="J23" s="175">
        <v>44863</v>
      </c>
      <c r="K23" s="25">
        <v>0</v>
      </c>
      <c r="L23" s="25"/>
      <c r="M23" s="105">
        <v>0</v>
      </c>
      <c r="N23" s="105">
        <v>0</v>
      </c>
      <c r="O23" s="25">
        <v>0</v>
      </c>
      <c r="P23" s="26"/>
      <c r="Q23" s="105">
        <v>0</v>
      </c>
      <c r="R23" s="81">
        <v>0</v>
      </c>
      <c r="S23" s="1">
        <v>1</v>
      </c>
    </row>
    <row r="24" spans="1:19" ht="14.25" x14ac:dyDescent="0.2">
      <c r="A24" s="23">
        <v>15</v>
      </c>
      <c r="B24" s="24" t="s">
        <v>50</v>
      </c>
      <c r="C24" s="25">
        <v>15</v>
      </c>
      <c r="D24" s="39">
        <v>13</v>
      </c>
      <c r="E24" s="39">
        <f>'[2]1.RSP Districts '!E24</f>
        <v>13</v>
      </c>
      <c r="F24" s="105">
        <f t="shared" si="4"/>
        <v>0</v>
      </c>
      <c r="G24" s="105">
        <f t="shared" si="3"/>
        <v>86.666666666666671</v>
      </c>
      <c r="H24" s="39">
        <v>131</v>
      </c>
      <c r="I24" s="39">
        <f>'[2]1.RSP Districts '!I24</f>
        <v>131</v>
      </c>
      <c r="J24" s="25">
        <v>28796</v>
      </c>
      <c r="K24" s="25">
        <v>19117</v>
      </c>
      <c r="L24" s="39">
        <f>'[2]1.RSP Districts '!L24</f>
        <v>19117</v>
      </c>
      <c r="M24" s="105">
        <f t="shared" si="0"/>
        <v>0</v>
      </c>
      <c r="N24" s="105">
        <f t="shared" si="1"/>
        <v>66.387692735102107</v>
      </c>
      <c r="O24" s="25">
        <v>1220</v>
      </c>
      <c r="P24" s="39">
        <f>'[2]1.RSP Districts '!P24</f>
        <v>1220</v>
      </c>
      <c r="Q24" s="105">
        <f t="shared" si="2"/>
        <v>0</v>
      </c>
      <c r="R24" s="27" t="s">
        <v>3</v>
      </c>
      <c r="S24" s="1">
        <v>1</v>
      </c>
    </row>
    <row r="25" spans="1:19" ht="14.25" x14ac:dyDescent="0.2">
      <c r="A25" s="23">
        <v>16</v>
      </c>
      <c r="B25" s="24" t="s">
        <v>185</v>
      </c>
      <c r="C25" s="25">
        <v>8</v>
      </c>
      <c r="D25" s="39">
        <v>0</v>
      </c>
      <c r="E25" s="39"/>
      <c r="F25" s="105">
        <v>0</v>
      </c>
      <c r="G25" s="105">
        <f t="shared" si="3"/>
        <v>0</v>
      </c>
      <c r="H25" s="105"/>
      <c r="I25" s="105"/>
      <c r="J25" s="174">
        <v>15156</v>
      </c>
      <c r="K25" s="25">
        <v>0</v>
      </c>
      <c r="L25" s="25"/>
      <c r="M25" s="105">
        <v>0</v>
      </c>
      <c r="N25" s="105">
        <v>0</v>
      </c>
      <c r="O25" s="25">
        <v>0</v>
      </c>
      <c r="P25" s="26"/>
      <c r="Q25" s="105">
        <v>0</v>
      </c>
      <c r="R25" s="81">
        <v>0</v>
      </c>
      <c r="S25" s="1">
        <v>1</v>
      </c>
    </row>
    <row r="26" spans="1:19" ht="14.25" x14ac:dyDescent="0.2">
      <c r="A26" s="23">
        <v>17</v>
      </c>
      <c r="B26" s="24" t="s">
        <v>51</v>
      </c>
      <c r="C26" s="25">
        <v>22</v>
      </c>
      <c r="D26" s="39">
        <v>0</v>
      </c>
      <c r="E26" s="39">
        <v>0</v>
      </c>
      <c r="F26" s="105">
        <v>0</v>
      </c>
      <c r="G26" s="105">
        <f t="shared" si="3"/>
        <v>0</v>
      </c>
      <c r="H26" s="39">
        <v>288</v>
      </c>
      <c r="I26" s="39">
        <v>288</v>
      </c>
      <c r="J26" s="25">
        <v>34637</v>
      </c>
      <c r="K26" s="25">
        <v>1739</v>
      </c>
      <c r="L26" s="39">
        <v>1739</v>
      </c>
      <c r="M26" s="105">
        <v>0</v>
      </c>
      <c r="N26" s="105">
        <f t="shared" si="1"/>
        <v>5.0206426653578546</v>
      </c>
      <c r="O26" s="25">
        <v>103</v>
      </c>
      <c r="P26" s="39">
        <v>103</v>
      </c>
      <c r="Q26" s="105">
        <v>0</v>
      </c>
      <c r="R26" s="27" t="s">
        <v>5</v>
      </c>
      <c r="S26" s="1">
        <v>1</v>
      </c>
    </row>
    <row r="27" spans="1:19" ht="14.25" x14ac:dyDescent="0.2">
      <c r="A27" s="23">
        <v>18</v>
      </c>
      <c r="B27" s="24" t="s">
        <v>186</v>
      </c>
      <c r="C27" s="25">
        <v>20</v>
      </c>
      <c r="D27" s="39">
        <v>20</v>
      </c>
      <c r="E27" s="39">
        <f>'[2]1.RSP Districts '!E27</f>
        <v>20</v>
      </c>
      <c r="F27" s="105">
        <f t="shared" si="4"/>
        <v>0</v>
      </c>
      <c r="G27" s="105">
        <f t="shared" si="3"/>
        <v>100</v>
      </c>
      <c r="H27" s="39">
        <v>20</v>
      </c>
      <c r="I27" s="39">
        <f>'[2]1.RSP Districts '!I27</f>
        <v>20</v>
      </c>
      <c r="J27" s="174">
        <v>39770</v>
      </c>
      <c r="K27" s="25">
        <v>2588</v>
      </c>
      <c r="L27" s="39">
        <f>'[2]1.RSP Districts '!L27</f>
        <v>2588</v>
      </c>
      <c r="M27" s="105">
        <f t="shared" si="0"/>
        <v>0</v>
      </c>
      <c r="N27" s="105">
        <f t="shared" si="1"/>
        <v>6.5074176514961026</v>
      </c>
      <c r="O27" s="25">
        <v>134</v>
      </c>
      <c r="P27" s="39">
        <f>'[2]1.RSP Districts '!P27</f>
        <v>134</v>
      </c>
      <c r="Q27" s="105">
        <f t="shared" si="2"/>
        <v>0</v>
      </c>
      <c r="R27" s="81" t="s">
        <v>3</v>
      </c>
      <c r="S27" s="1">
        <v>1</v>
      </c>
    </row>
    <row r="28" spans="1:19" ht="14.25" x14ac:dyDescent="0.2">
      <c r="A28" s="23">
        <v>19</v>
      </c>
      <c r="B28" s="24" t="s">
        <v>52</v>
      </c>
      <c r="C28" s="25">
        <v>13</v>
      </c>
      <c r="D28" s="39">
        <v>13</v>
      </c>
      <c r="E28" s="39">
        <f>'[2]1.RSP Districts '!E28</f>
        <v>13</v>
      </c>
      <c r="F28" s="105">
        <f t="shared" si="4"/>
        <v>0</v>
      </c>
      <c r="G28" s="105">
        <f t="shared" si="3"/>
        <v>100</v>
      </c>
      <c r="H28" s="39">
        <v>82</v>
      </c>
      <c r="I28" s="39">
        <f>'[2]1.RSP Districts '!I28</f>
        <v>82</v>
      </c>
      <c r="J28" s="25">
        <v>18831</v>
      </c>
      <c r="K28" s="25">
        <v>18831</v>
      </c>
      <c r="L28" s="39">
        <f>'[2]1.RSP Districts '!L28</f>
        <v>18831</v>
      </c>
      <c r="M28" s="105">
        <f t="shared" si="0"/>
        <v>0</v>
      </c>
      <c r="N28" s="105">
        <f t="shared" si="1"/>
        <v>100</v>
      </c>
      <c r="O28" s="25">
        <v>1389</v>
      </c>
      <c r="P28" s="39">
        <f>'[2]1.RSP Districts '!P28</f>
        <v>1389</v>
      </c>
      <c r="Q28" s="105">
        <f t="shared" si="2"/>
        <v>0</v>
      </c>
      <c r="R28" s="27" t="s">
        <v>3</v>
      </c>
      <c r="S28" s="1">
        <v>1</v>
      </c>
    </row>
    <row r="29" spans="1:19" ht="14.25" x14ac:dyDescent="0.2">
      <c r="A29" s="23">
        <v>20</v>
      </c>
      <c r="B29" s="24" t="s">
        <v>187</v>
      </c>
      <c r="C29" s="25">
        <v>10</v>
      </c>
      <c r="D29" s="39">
        <v>0</v>
      </c>
      <c r="E29" s="39"/>
      <c r="F29" s="105">
        <v>0</v>
      </c>
      <c r="G29" s="105">
        <f t="shared" si="3"/>
        <v>0</v>
      </c>
      <c r="H29" s="105"/>
      <c r="I29" s="105"/>
      <c r="J29" s="174">
        <v>19126</v>
      </c>
      <c r="K29" s="25">
        <v>0</v>
      </c>
      <c r="L29" s="25"/>
      <c r="M29" s="105">
        <v>0</v>
      </c>
      <c r="N29" s="105">
        <v>0</v>
      </c>
      <c r="O29" s="25">
        <v>0</v>
      </c>
      <c r="P29" s="26"/>
      <c r="Q29" s="105">
        <v>0</v>
      </c>
      <c r="R29" s="81">
        <v>0</v>
      </c>
      <c r="S29" s="1">
        <v>1</v>
      </c>
    </row>
    <row r="30" spans="1:19" ht="14.25" x14ac:dyDescent="0.2">
      <c r="A30" s="23">
        <v>21</v>
      </c>
      <c r="B30" s="24" t="s">
        <v>188</v>
      </c>
      <c r="C30" s="25">
        <v>24</v>
      </c>
      <c r="D30" s="39">
        <v>0</v>
      </c>
      <c r="E30" s="39"/>
      <c r="F30" s="105">
        <v>0</v>
      </c>
      <c r="G30" s="105">
        <f t="shared" si="3"/>
        <v>0</v>
      </c>
      <c r="H30" s="105"/>
      <c r="I30" s="105"/>
      <c r="J30" s="174">
        <v>34981</v>
      </c>
      <c r="K30" s="25">
        <v>0</v>
      </c>
      <c r="L30" s="25"/>
      <c r="M30" s="105">
        <v>0</v>
      </c>
      <c r="N30" s="105">
        <v>0</v>
      </c>
      <c r="O30" s="25">
        <v>0</v>
      </c>
      <c r="P30" s="26"/>
      <c r="Q30" s="105">
        <v>0</v>
      </c>
      <c r="R30" s="81">
        <v>0</v>
      </c>
      <c r="S30" s="1">
        <v>1</v>
      </c>
    </row>
    <row r="31" spans="1:19" ht="14.25" x14ac:dyDescent="0.2">
      <c r="A31" s="23">
        <v>22</v>
      </c>
      <c r="B31" s="24" t="s">
        <v>189</v>
      </c>
      <c r="C31" s="25">
        <v>10</v>
      </c>
      <c r="D31" s="39">
        <v>1</v>
      </c>
      <c r="E31" s="39">
        <f>'[2]1.RSP Districts '!E31</f>
        <v>1</v>
      </c>
      <c r="F31" s="105">
        <f t="shared" si="4"/>
        <v>0</v>
      </c>
      <c r="G31" s="105">
        <f t="shared" si="3"/>
        <v>10</v>
      </c>
      <c r="H31" s="39">
        <v>4</v>
      </c>
      <c r="I31" s="39">
        <f>'[2]1.RSP Districts '!I31</f>
        <v>4</v>
      </c>
      <c r="J31" s="174">
        <v>13570</v>
      </c>
      <c r="K31" s="25">
        <v>0</v>
      </c>
      <c r="L31" s="39">
        <f>'[2]1.RSP Districts '!L31</f>
        <v>0</v>
      </c>
      <c r="M31" s="105">
        <v>0</v>
      </c>
      <c r="N31" s="105">
        <v>0</v>
      </c>
      <c r="O31" s="25">
        <v>4</v>
      </c>
      <c r="P31" s="39">
        <f>'[2]1.RSP Districts '!P31</f>
        <v>4</v>
      </c>
      <c r="Q31" s="105">
        <v>0</v>
      </c>
      <c r="R31" s="27" t="s">
        <v>3</v>
      </c>
      <c r="S31" s="1">
        <v>1</v>
      </c>
    </row>
    <row r="32" spans="1:19" ht="14.25" x14ac:dyDescent="0.2">
      <c r="A32" s="23">
        <v>23</v>
      </c>
      <c r="B32" s="24" t="s">
        <v>53</v>
      </c>
      <c r="C32" s="25">
        <v>16</v>
      </c>
      <c r="D32" s="39">
        <v>16</v>
      </c>
      <c r="E32" s="39">
        <v>16</v>
      </c>
      <c r="F32" s="105">
        <f t="shared" si="4"/>
        <v>0</v>
      </c>
      <c r="G32" s="105">
        <f t="shared" si="3"/>
        <v>100</v>
      </c>
      <c r="H32" s="39">
        <v>117</v>
      </c>
      <c r="I32" s="39">
        <v>117</v>
      </c>
      <c r="J32" s="25">
        <v>35703</v>
      </c>
      <c r="K32" s="25">
        <v>16949</v>
      </c>
      <c r="L32" s="39">
        <v>16949</v>
      </c>
      <c r="M32" s="105">
        <f t="shared" si="0"/>
        <v>0</v>
      </c>
      <c r="N32" s="105">
        <f t="shared" si="1"/>
        <v>47.472201215584128</v>
      </c>
      <c r="O32" s="25">
        <v>1042</v>
      </c>
      <c r="P32" s="39">
        <v>1042</v>
      </c>
      <c r="Q32" s="105">
        <f t="shared" si="2"/>
        <v>0</v>
      </c>
      <c r="R32" s="27" t="s">
        <v>5</v>
      </c>
      <c r="S32" s="1">
        <v>1</v>
      </c>
    </row>
    <row r="33" spans="1:19" ht="14.25" x14ac:dyDescent="0.2">
      <c r="A33" s="23">
        <v>24</v>
      </c>
      <c r="B33" s="24" t="s">
        <v>54</v>
      </c>
      <c r="C33" s="25">
        <v>38</v>
      </c>
      <c r="D33" s="39">
        <v>35</v>
      </c>
      <c r="E33" s="39">
        <f>'[2]1.RSP Districts '!E33</f>
        <v>35</v>
      </c>
      <c r="F33" s="105">
        <f t="shared" si="4"/>
        <v>0</v>
      </c>
      <c r="G33" s="105">
        <f t="shared" si="3"/>
        <v>92.10526315789474</v>
      </c>
      <c r="H33" s="39">
        <v>197</v>
      </c>
      <c r="I33" s="39">
        <f>'[2]1.RSP Districts '!I33</f>
        <v>197</v>
      </c>
      <c r="J33" s="25">
        <v>55654</v>
      </c>
      <c r="K33" s="39">
        <v>22340</v>
      </c>
      <c r="L33" s="39">
        <f>'[2]1.RSP Districts '!L33</f>
        <v>23705</v>
      </c>
      <c r="M33" s="105">
        <f t="shared" si="0"/>
        <v>6.1101163831692027</v>
      </c>
      <c r="N33" s="105">
        <f t="shared" si="1"/>
        <v>42.59352427498473</v>
      </c>
      <c r="O33" s="25">
        <v>1459</v>
      </c>
      <c r="P33" s="39">
        <f>'[2]1.RSP Districts '!P33</f>
        <v>1550</v>
      </c>
      <c r="Q33" s="105">
        <f t="shared" si="2"/>
        <v>6.2371487320082251</v>
      </c>
      <c r="R33" s="27" t="s">
        <v>3</v>
      </c>
      <c r="S33" s="1">
        <v>1</v>
      </c>
    </row>
    <row r="34" spans="1:19" ht="14.25" x14ac:dyDescent="0.2">
      <c r="A34" s="23">
        <v>25</v>
      </c>
      <c r="B34" s="24" t="s">
        <v>193</v>
      </c>
      <c r="C34" s="25">
        <v>47</v>
      </c>
      <c r="D34" s="39">
        <v>5</v>
      </c>
      <c r="E34" s="39">
        <f>'[2]1.RSP Districts '!E34</f>
        <v>5</v>
      </c>
      <c r="F34" s="105">
        <f t="shared" si="4"/>
        <v>0</v>
      </c>
      <c r="G34" s="105">
        <f t="shared" si="3"/>
        <v>10.638297872340425</v>
      </c>
      <c r="H34" s="39">
        <v>0</v>
      </c>
      <c r="I34" s="39">
        <f>'[2]1.RSP Districts '!I34</f>
        <v>0</v>
      </c>
      <c r="J34" s="174">
        <v>25232</v>
      </c>
      <c r="K34" s="39">
        <v>939</v>
      </c>
      <c r="L34" s="39">
        <f>'[2]1.RSP Districts '!L34</f>
        <v>939</v>
      </c>
      <c r="M34" s="105">
        <f t="shared" si="0"/>
        <v>0</v>
      </c>
      <c r="N34" s="105">
        <f t="shared" si="1"/>
        <v>3.7214648065948004</v>
      </c>
      <c r="O34" s="25">
        <v>88</v>
      </c>
      <c r="P34" s="39">
        <f>'[2]1.RSP Districts '!P34</f>
        <v>88</v>
      </c>
      <c r="Q34" s="105">
        <f t="shared" si="2"/>
        <v>0</v>
      </c>
      <c r="R34" s="81" t="s">
        <v>3</v>
      </c>
      <c r="S34" s="1">
        <v>1</v>
      </c>
    </row>
    <row r="35" spans="1:19" ht="14.25" x14ac:dyDescent="0.2">
      <c r="A35" s="23">
        <v>26</v>
      </c>
      <c r="B35" s="24" t="s">
        <v>55</v>
      </c>
      <c r="C35" s="25">
        <v>7</v>
      </c>
      <c r="D35" s="39">
        <v>7</v>
      </c>
      <c r="E35" s="39">
        <f>'[2]1.RSP Districts '!E35</f>
        <v>7</v>
      </c>
      <c r="F35" s="105">
        <f t="shared" si="4"/>
        <v>0</v>
      </c>
      <c r="G35" s="105">
        <f t="shared" si="3"/>
        <v>99.999999999999986</v>
      </c>
      <c r="H35" s="39">
        <v>38</v>
      </c>
      <c r="I35" s="39">
        <f>'[2]1.RSP Districts '!I35</f>
        <v>38</v>
      </c>
      <c r="J35" s="25">
        <v>10608.311688311687</v>
      </c>
      <c r="K35" s="39">
        <v>2520</v>
      </c>
      <c r="L35" s="39">
        <f>'[2]1.RSP Districts '!L35</f>
        <v>2520</v>
      </c>
      <c r="M35" s="105">
        <f t="shared" si="0"/>
        <v>0</v>
      </c>
      <c r="N35" s="105">
        <f t="shared" si="1"/>
        <v>23.754958131335393</v>
      </c>
      <c r="O35" s="25">
        <v>118</v>
      </c>
      <c r="P35" s="39">
        <f>'[2]1.RSP Districts '!P35</f>
        <v>118</v>
      </c>
      <c r="Q35" s="105">
        <f t="shared" si="2"/>
        <v>0</v>
      </c>
      <c r="R35" s="27" t="s">
        <v>3</v>
      </c>
      <c r="S35" s="1">
        <v>1</v>
      </c>
    </row>
    <row r="36" spans="1:19" ht="14.25" x14ac:dyDescent="0.2">
      <c r="A36" s="23">
        <v>27</v>
      </c>
      <c r="B36" s="24" t="s">
        <v>190</v>
      </c>
      <c r="C36" s="25">
        <v>11</v>
      </c>
      <c r="D36" s="39">
        <v>0</v>
      </c>
      <c r="E36" s="39"/>
      <c r="F36" s="105">
        <v>0</v>
      </c>
      <c r="G36" s="105">
        <f t="shared" si="3"/>
        <v>0</v>
      </c>
      <c r="H36" s="105"/>
      <c r="I36" s="105"/>
      <c r="J36" s="174">
        <v>19815</v>
      </c>
      <c r="K36" s="25">
        <v>0</v>
      </c>
      <c r="L36" s="25"/>
      <c r="M36" s="105">
        <v>0</v>
      </c>
      <c r="N36" s="105">
        <v>0</v>
      </c>
      <c r="O36" s="25">
        <v>0</v>
      </c>
      <c r="P36" s="26"/>
      <c r="Q36" s="105">
        <v>0</v>
      </c>
      <c r="R36" s="81">
        <v>0</v>
      </c>
      <c r="S36" s="1">
        <v>1</v>
      </c>
    </row>
    <row r="37" spans="1:19" ht="14.25" x14ac:dyDescent="0.2">
      <c r="A37" s="23">
        <v>28</v>
      </c>
      <c r="B37" s="24" t="s">
        <v>191</v>
      </c>
      <c r="C37" s="25">
        <v>9</v>
      </c>
      <c r="D37" s="39">
        <v>0</v>
      </c>
      <c r="E37" s="39"/>
      <c r="F37" s="105">
        <v>0</v>
      </c>
      <c r="G37" s="105">
        <f t="shared" si="3"/>
        <v>0</v>
      </c>
      <c r="H37" s="105"/>
      <c r="I37" s="105"/>
      <c r="J37" s="174">
        <v>18421.875</v>
      </c>
      <c r="K37" s="25">
        <v>0</v>
      </c>
      <c r="L37" s="25"/>
      <c r="M37" s="105">
        <v>0</v>
      </c>
      <c r="N37" s="105">
        <v>0</v>
      </c>
      <c r="O37" s="25">
        <v>0</v>
      </c>
      <c r="P37" s="26"/>
      <c r="Q37" s="105">
        <v>0</v>
      </c>
      <c r="R37" s="81">
        <v>0</v>
      </c>
      <c r="S37" s="1">
        <v>1</v>
      </c>
    </row>
    <row r="38" spans="1:19" ht="14.25" x14ac:dyDescent="0.2">
      <c r="A38" s="23">
        <v>29</v>
      </c>
      <c r="B38" s="24" t="s">
        <v>56</v>
      </c>
      <c r="C38" s="25">
        <v>21</v>
      </c>
      <c r="D38" s="39">
        <v>21</v>
      </c>
      <c r="E38" s="39">
        <f>'[2]1.RSP Districts '!E38</f>
        <v>21</v>
      </c>
      <c r="F38" s="105">
        <f t="shared" si="4"/>
        <v>0</v>
      </c>
      <c r="G38" s="105">
        <f t="shared" si="3"/>
        <v>100</v>
      </c>
      <c r="H38" s="39">
        <v>141</v>
      </c>
      <c r="I38" s="39">
        <f>'[2]1.RSP Districts '!I38</f>
        <v>141</v>
      </c>
      <c r="J38" s="25">
        <v>21117.688311688311</v>
      </c>
      <c r="K38" s="39">
        <v>21125</v>
      </c>
      <c r="L38" s="39">
        <f>'[2]1.RSP Districts '!L38</f>
        <v>21575</v>
      </c>
      <c r="M38" s="105">
        <f t="shared" si="0"/>
        <v>2.1301775147928996</v>
      </c>
      <c r="N38" s="105">
        <f t="shared" si="1"/>
        <v>102.16553858339965</v>
      </c>
      <c r="O38" s="25">
        <v>1227</v>
      </c>
      <c r="P38" s="39">
        <f>'[2]1.RSP Districts '!P38</f>
        <v>1257</v>
      </c>
      <c r="Q38" s="105">
        <f t="shared" si="2"/>
        <v>2.4449877750611249</v>
      </c>
      <c r="R38" s="27" t="s">
        <v>3</v>
      </c>
      <c r="S38" s="1">
        <v>1</v>
      </c>
    </row>
    <row r="39" spans="1:19" thickBot="1" x14ac:dyDescent="0.25">
      <c r="A39" s="37">
        <v>30</v>
      </c>
      <c r="B39" s="38" t="s">
        <v>192</v>
      </c>
      <c r="C39" s="39">
        <v>10</v>
      </c>
      <c r="D39" s="39">
        <v>0</v>
      </c>
      <c r="E39" s="39"/>
      <c r="F39" s="140">
        <v>0</v>
      </c>
      <c r="G39" s="140">
        <f t="shared" si="3"/>
        <v>0</v>
      </c>
      <c r="H39" s="140"/>
      <c r="I39" s="140"/>
      <c r="J39" s="174">
        <v>4609</v>
      </c>
      <c r="K39" s="25">
        <v>0</v>
      </c>
      <c r="L39" s="39"/>
      <c r="M39" s="140">
        <v>0</v>
      </c>
      <c r="N39" s="140">
        <v>0</v>
      </c>
      <c r="O39" s="25">
        <v>0</v>
      </c>
      <c r="P39" s="41"/>
      <c r="Q39" s="140">
        <v>0</v>
      </c>
      <c r="R39" s="90">
        <v>0</v>
      </c>
      <c r="S39" s="1">
        <v>1</v>
      </c>
    </row>
    <row r="40" spans="1:19" s="5" customFormat="1" ht="15.75" thickBot="1" x14ac:dyDescent="0.3">
      <c r="A40" s="156">
        <f>COUNTIF(R10:R39,"*")</f>
        <v>19</v>
      </c>
      <c r="B40" s="155" t="s">
        <v>39</v>
      </c>
      <c r="C40" s="57">
        <f>SUM(C10:C39)</f>
        <v>547</v>
      </c>
      <c r="D40" s="57">
        <f>SUM(D10:D39)</f>
        <v>279</v>
      </c>
      <c r="E40" s="57">
        <f>SUM(E10:E39)</f>
        <v>279</v>
      </c>
      <c r="F40" s="157">
        <f t="shared" si="4"/>
        <v>0</v>
      </c>
      <c r="G40" s="157">
        <f t="shared" si="3"/>
        <v>51.005484460694703</v>
      </c>
      <c r="H40" s="157">
        <f>SUM(H10:H39)</f>
        <v>2362</v>
      </c>
      <c r="I40" s="157">
        <f>SUM(I10:I39)</f>
        <v>2362</v>
      </c>
      <c r="J40" s="57">
        <f>SUM(J10:J39)</f>
        <v>814191</v>
      </c>
      <c r="K40" s="57">
        <f>SUM(K10:K39)</f>
        <v>283457</v>
      </c>
      <c r="L40" s="57">
        <f>SUM(L10:L39)</f>
        <v>285272</v>
      </c>
      <c r="M40" s="157">
        <f t="shared" si="0"/>
        <v>0.64030875935327047</v>
      </c>
      <c r="N40" s="157">
        <f t="shared" si="1"/>
        <v>35.037478920793767</v>
      </c>
      <c r="O40" s="57">
        <f>SUM(O10:O39)</f>
        <v>16209</v>
      </c>
      <c r="P40" s="57">
        <f>SUM(P10:P39)</f>
        <v>16331</v>
      </c>
      <c r="Q40" s="157">
        <f t="shared" si="2"/>
        <v>0.75266827071380094</v>
      </c>
      <c r="R40" s="159"/>
      <c r="S40" s="1">
        <v>1</v>
      </c>
    </row>
    <row r="41" spans="1:19" ht="5.25" customHeight="1" thickBot="1" x14ac:dyDescent="0.25">
      <c r="A41" s="91"/>
      <c r="B41" s="92"/>
      <c r="C41" s="46"/>
      <c r="D41" s="46"/>
      <c r="E41" s="46"/>
      <c r="F41" s="108"/>
      <c r="G41" s="108"/>
      <c r="H41" s="108"/>
      <c r="I41" s="108"/>
      <c r="J41" s="46"/>
      <c r="K41" s="46"/>
      <c r="L41" s="46"/>
      <c r="M41" s="46"/>
      <c r="N41" s="46"/>
      <c r="O41" s="46"/>
      <c r="P41" s="46"/>
      <c r="Q41" s="46"/>
      <c r="R41" s="93"/>
      <c r="S41" s="1">
        <v>1</v>
      </c>
    </row>
    <row r="42" spans="1:19" s="6" customFormat="1" ht="14.25" x14ac:dyDescent="0.2">
      <c r="A42" s="18" t="s">
        <v>57</v>
      </c>
      <c r="B42" s="19"/>
      <c r="C42" s="20"/>
      <c r="D42" s="29"/>
      <c r="E42" s="29"/>
      <c r="F42" s="107"/>
      <c r="G42" s="107"/>
      <c r="H42" s="107"/>
      <c r="I42" s="107"/>
      <c r="J42" s="20"/>
      <c r="K42" s="29"/>
      <c r="L42" s="29"/>
      <c r="M42" s="29"/>
      <c r="N42" s="29"/>
      <c r="O42" s="29"/>
      <c r="P42" s="29"/>
      <c r="Q42" s="29"/>
      <c r="R42" s="22"/>
      <c r="S42" s="1">
        <v>1</v>
      </c>
    </row>
    <row r="43" spans="1:19" ht="14.25" x14ac:dyDescent="0.2">
      <c r="A43" s="23">
        <v>1</v>
      </c>
      <c r="B43" s="24" t="s">
        <v>58</v>
      </c>
      <c r="C43" s="25">
        <v>51</v>
      </c>
      <c r="D43" s="25">
        <v>51</v>
      </c>
      <c r="E43" s="25">
        <f>'[3]1.RSP Districts '!E43</f>
        <v>51</v>
      </c>
      <c r="F43" s="105">
        <f t="shared" ref="F43:F76" si="5">(E43-D43)/D43%</f>
        <v>0</v>
      </c>
      <c r="G43" s="105">
        <f t="shared" ref="G43:G76" si="6">E43/C43%</f>
        <v>100</v>
      </c>
      <c r="H43" s="25">
        <v>189</v>
      </c>
      <c r="I43" s="25">
        <f>'[10]1.RSP Districts '!I43</f>
        <v>189</v>
      </c>
      <c r="J43" s="25">
        <v>115585</v>
      </c>
      <c r="K43" s="25">
        <v>48996</v>
      </c>
      <c r="L43" s="25">
        <f>'[3]1.RSP Districts '!L43</f>
        <v>48996</v>
      </c>
      <c r="M43" s="105">
        <f t="shared" ref="M43:M76" si="7">(L43-K43)/K43%</f>
        <v>0</v>
      </c>
      <c r="N43" s="105">
        <f t="shared" ref="N43:N76" si="8">L43/J43%</f>
        <v>42.389583423454603</v>
      </c>
      <c r="O43" s="25">
        <v>1650</v>
      </c>
      <c r="P43" s="25">
        <f>'[3]1.RSP Districts '!P43</f>
        <v>1650</v>
      </c>
      <c r="Q43" s="105">
        <f t="shared" ref="Q43:Q76" si="9">(P43-O43)/O43%</f>
        <v>0</v>
      </c>
      <c r="R43" s="27" t="s">
        <v>9</v>
      </c>
      <c r="S43" s="1">
        <v>1</v>
      </c>
    </row>
    <row r="44" spans="1:19" ht="14.25" x14ac:dyDescent="0.2">
      <c r="A44" s="23">
        <v>2</v>
      </c>
      <c r="B44" s="24" t="s">
        <v>206</v>
      </c>
      <c r="C44" s="25">
        <v>49</v>
      </c>
      <c r="D44" s="25">
        <v>0</v>
      </c>
      <c r="E44" s="25">
        <v>0</v>
      </c>
      <c r="F44" s="105">
        <v>0</v>
      </c>
      <c r="G44" s="105">
        <f t="shared" si="6"/>
        <v>0</v>
      </c>
      <c r="H44" s="105">
        <v>0</v>
      </c>
      <c r="I44" s="105">
        <v>0</v>
      </c>
      <c r="J44" s="174">
        <v>65010</v>
      </c>
      <c r="K44" s="25">
        <v>0</v>
      </c>
      <c r="L44" s="25">
        <v>0</v>
      </c>
      <c r="M44" s="105">
        <v>0</v>
      </c>
      <c r="N44" s="105">
        <v>0</v>
      </c>
      <c r="O44" s="25">
        <v>0</v>
      </c>
      <c r="P44" s="26">
        <v>0</v>
      </c>
      <c r="Q44" s="105">
        <v>0</v>
      </c>
      <c r="R44" s="81">
        <v>0</v>
      </c>
      <c r="S44" s="1">
        <v>1</v>
      </c>
    </row>
    <row r="45" spans="1:19" ht="14.25" x14ac:dyDescent="0.2">
      <c r="A45" s="23">
        <v>3</v>
      </c>
      <c r="B45" s="24" t="s">
        <v>59</v>
      </c>
      <c r="C45" s="25">
        <v>20</v>
      </c>
      <c r="D45" s="25">
        <v>20</v>
      </c>
      <c r="E45" s="25">
        <f>'[3]1.RSP Districts '!E45</f>
        <v>20</v>
      </c>
      <c r="F45" s="105">
        <f t="shared" si="5"/>
        <v>0</v>
      </c>
      <c r="G45" s="105">
        <f t="shared" si="6"/>
        <v>100</v>
      </c>
      <c r="H45" s="25">
        <v>104</v>
      </c>
      <c r="I45" s="25">
        <f>'[10]1.RSP Districts '!I45</f>
        <v>104</v>
      </c>
      <c r="J45" s="25">
        <v>46053</v>
      </c>
      <c r="K45" s="25">
        <v>36501</v>
      </c>
      <c r="L45" s="25">
        <f>'[3]1.RSP Districts '!L45</f>
        <v>36596</v>
      </c>
      <c r="M45" s="105">
        <f t="shared" si="7"/>
        <v>0.26026684200432865</v>
      </c>
      <c r="N45" s="105">
        <f t="shared" si="8"/>
        <v>79.464964280285756</v>
      </c>
      <c r="O45" s="25">
        <v>1496</v>
      </c>
      <c r="P45" s="25">
        <f>'[3]1.RSP Districts '!P45</f>
        <v>1502</v>
      </c>
      <c r="Q45" s="105">
        <f t="shared" si="9"/>
        <v>0.40106951871657753</v>
      </c>
      <c r="R45" s="27" t="s">
        <v>9</v>
      </c>
      <c r="S45" s="1">
        <v>1</v>
      </c>
    </row>
    <row r="46" spans="1:19" ht="14.25" x14ac:dyDescent="0.2">
      <c r="A46" s="23">
        <v>4</v>
      </c>
      <c r="B46" s="24" t="s">
        <v>60</v>
      </c>
      <c r="C46" s="25">
        <v>27</v>
      </c>
      <c r="D46" s="25">
        <v>5</v>
      </c>
      <c r="E46" s="39">
        <v>5</v>
      </c>
      <c r="F46" s="105">
        <f t="shared" si="5"/>
        <v>0</v>
      </c>
      <c r="G46" s="105">
        <f t="shared" si="6"/>
        <v>18.518518518518519</v>
      </c>
      <c r="H46" s="39">
        <v>167</v>
      </c>
      <c r="I46" s="39">
        <v>167</v>
      </c>
      <c r="J46" s="25">
        <v>56591</v>
      </c>
      <c r="K46" s="39">
        <v>269</v>
      </c>
      <c r="L46" s="39">
        <v>269</v>
      </c>
      <c r="M46" s="105">
        <f t="shared" si="7"/>
        <v>0</v>
      </c>
      <c r="N46" s="105">
        <f t="shared" si="8"/>
        <v>0.475340601862487</v>
      </c>
      <c r="O46" s="25">
        <v>19</v>
      </c>
      <c r="P46" s="39">
        <v>19</v>
      </c>
      <c r="Q46" s="105">
        <f t="shared" si="9"/>
        <v>0</v>
      </c>
      <c r="R46" s="27" t="s">
        <v>5</v>
      </c>
      <c r="S46" s="1">
        <v>1</v>
      </c>
    </row>
    <row r="47" spans="1:19" ht="14.25" x14ac:dyDescent="0.2">
      <c r="A47" s="23">
        <v>4</v>
      </c>
      <c r="B47" s="24" t="s">
        <v>61</v>
      </c>
      <c r="C47" s="25">
        <v>27</v>
      </c>
      <c r="D47" s="25">
        <v>21</v>
      </c>
      <c r="E47" s="25">
        <f>'[3]1.RSP Districts '!E47</f>
        <v>21</v>
      </c>
      <c r="F47" s="105">
        <f t="shared" si="5"/>
        <v>0</v>
      </c>
      <c r="G47" s="105">
        <f t="shared" si="6"/>
        <v>77.777777777777771</v>
      </c>
      <c r="H47" s="25">
        <v>54</v>
      </c>
      <c r="I47" s="25">
        <f>'[10]1.RSP Districts '!I47</f>
        <v>54</v>
      </c>
      <c r="J47" s="25">
        <v>56591</v>
      </c>
      <c r="K47" s="25">
        <v>3733</v>
      </c>
      <c r="L47" s="25">
        <f>'[3]1.RSP Districts '!L47</f>
        <v>4358</v>
      </c>
      <c r="M47" s="105">
        <f t="shared" si="7"/>
        <v>16.742566300562551</v>
      </c>
      <c r="N47" s="105">
        <f t="shared" si="8"/>
        <v>7.7008711632591762</v>
      </c>
      <c r="O47" s="25">
        <v>165</v>
      </c>
      <c r="P47" s="25">
        <f>'[3]1.RSP Districts '!P47</f>
        <v>190</v>
      </c>
      <c r="Q47" s="105">
        <f t="shared" si="9"/>
        <v>15.151515151515152</v>
      </c>
      <c r="R47" s="27" t="s">
        <v>9</v>
      </c>
      <c r="S47" s="1">
        <v>1</v>
      </c>
    </row>
    <row r="48" spans="1:19" ht="14.25" x14ac:dyDescent="0.2">
      <c r="A48" s="23">
        <v>5</v>
      </c>
      <c r="B48" s="24" t="s">
        <v>62</v>
      </c>
      <c r="C48" s="25">
        <v>49</v>
      </c>
      <c r="D48" s="25">
        <v>28</v>
      </c>
      <c r="E48" s="39">
        <v>28</v>
      </c>
      <c r="F48" s="105">
        <f t="shared" si="5"/>
        <v>0</v>
      </c>
      <c r="G48" s="105">
        <f t="shared" si="6"/>
        <v>57.142857142857146</v>
      </c>
      <c r="H48" s="39">
        <v>226</v>
      </c>
      <c r="I48" s="39">
        <v>226</v>
      </c>
      <c r="J48" s="25">
        <v>102361</v>
      </c>
      <c r="K48" s="39">
        <v>12926</v>
      </c>
      <c r="L48" s="39">
        <v>12926</v>
      </c>
      <c r="M48" s="105">
        <f t="shared" si="7"/>
        <v>0</v>
      </c>
      <c r="N48" s="105">
        <f t="shared" si="8"/>
        <v>12.627856312462754</v>
      </c>
      <c r="O48" s="25">
        <v>736</v>
      </c>
      <c r="P48" s="39">
        <v>736</v>
      </c>
      <c r="Q48" s="105">
        <f t="shared" si="9"/>
        <v>0</v>
      </c>
      <c r="R48" s="27" t="s">
        <v>5</v>
      </c>
      <c r="S48" s="1">
        <v>1</v>
      </c>
    </row>
    <row r="49" spans="1:19" ht="14.25" x14ac:dyDescent="0.2">
      <c r="A49" s="23">
        <v>5</v>
      </c>
      <c r="B49" s="24" t="s">
        <v>63</v>
      </c>
      <c r="C49" s="25">
        <v>49</v>
      </c>
      <c r="D49" s="25">
        <v>37</v>
      </c>
      <c r="E49" s="25">
        <f>'[3]1.RSP Districts '!E49</f>
        <v>37</v>
      </c>
      <c r="F49" s="105">
        <f t="shared" si="5"/>
        <v>0</v>
      </c>
      <c r="G49" s="105">
        <f t="shared" si="6"/>
        <v>75.510204081632651</v>
      </c>
      <c r="H49" s="25">
        <v>68</v>
      </c>
      <c r="I49" s="25">
        <f>'[10]1.RSP Districts '!I49</f>
        <v>68</v>
      </c>
      <c r="J49" s="25">
        <v>102361</v>
      </c>
      <c r="K49" s="25">
        <v>36196</v>
      </c>
      <c r="L49" s="25">
        <f>'[3]1.RSP Districts '!L49</f>
        <v>37933</v>
      </c>
      <c r="M49" s="105">
        <f t="shared" si="7"/>
        <v>4.7988728036247101</v>
      </c>
      <c r="N49" s="105">
        <f t="shared" si="8"/>
        <v>37.058059221773917</v>
      </c>
      <c r="O49" s="25">
        <v>1549</v>
      </c>
      <c r="P49" s="25">
        <f>'[3]1.RSP Districts '!P49</f>
        <v>1577</v>
      </c>
      <c r="Q49" s="105">
        <f t="shared" si="9"/>
        <v>1.8076178179470626</v>
      </c>
      <c r="R49" s="27" t="s">
        <v>9</v>
      </c>
      <c r="S49" s="1">
        <v>1</v>
      </c>
    </row>
    <row r="50" spans="1:19" ht="14.25" x14ac:dyDescent="0.2">
      <c r="A50" s="23">
        <v>6</v>
      </c>
      <c r="B50" s="24" t="s">
        <v>64</v>
      </c>
      <c r="C50" s="25">
        <v>24</v>
      </c>
      <c r="D50" s="25">
        <v>24</v>
      </c>
      <c r="E50" s="25">
        <f>'[4]1.RSP Districts '!D50</f>
        <v>24</v>
      </c>
      <c r="F50" s="105">
        <f t="shared" si="5"/>
        <v>0</v>
      </c>
      <c r="G50" s="105">
        <f t="shared" si="6"/>
        <v>100</v>
      </c>
      <c r="H50" s="25">
        <v>378</v>
      </c>
      <c r="I50" s="25">
        <f>'[4]1.RSP Districts '!H50</f>
        <v>378</v>
      </c>
      <c r="J50" s="25">
        <v>36879</v>
      </c>
      <c r="K50" s="25">
        <v>34914</v>
      </c>
      <c r="L50" s="25">
        <f>'[4]1.RSP Districts '!L50</f>
        <v>34914</v>
      </c>
      <c r="M50" s="105">
        <f t="shared" si="7"/>
        <v>0</v>
      </c>
      <c r="N50" s="105">
        <f t="shared" si="8"/>
        <v>94.671764418774913</v>
      </c>
      <c r="O50" s="25">
        <v>1439</v>
      </c>
      <c r="P50" s="25">
        <f>'[4]1.RSP Districts '!$P$50</f>
        <v>1680</v>
      </c>
      <c r="Q50" s="105">
        <f t="shared" si="9"/>
        <v>16.747741487143848</v>
      </c>
      <c r="R50" s="27" t="s">
        <v>2</v>
      </c>
      <c r="S50" s="1">
        <v>1</v>
      </c>
    </row>
    <row r="51" spans="1:19" ht="14.25" x14ac:dyDescent="0.2">
      <c r="A51" s="23">
        <v>6</v>
      </c>
      <c r="B51" s="24" t="s">
        <v>65</v>
      </c>
      <c r="C51" s="25">
        <v>24</v>
      </c>
      <c r="D51" s="25">
        <v>24</v>
      </c>
      <c r="E51" s="25">
        <f>'[3]1.RSP Districts '!E51</f>
        <v>24</v>
      </c>
      <c r="F51" s="105">
        <f t="shared" si="5"/>
        <v>0</v>
      </c>
      <c r="G51" s="105">
        <f t="shared" si="6"/>
        <v>100</v>
      </c>
      <c r="H51" s="25">
        <v>523</v>
      </c>
      <c r="I51" s="25">
        <f>'[10]1.RSP Districts '!I51</f>
        <v>523</v>
      </c>
      <c r="J51" s="25">
        <v>36879</v>
      </c>
      <c r="K51" s="25">
        <v>24883</v>
      </c>
      <c r="L51" s="25">
        <f>'[3]1.RSP Districts '!L51</f>
        <v>25233</v>
      </c>
      <c r="M51" s="105">
        <f t="shared" si="7"/>
        <v>1.4065828075392839</v>
      </c>
      <c r="N51" s="105">
        <f t="shared" si="8"/>
        <v>68.421052631578945</v>
      </c>
      <c r="O51" s="25">
        <v>791</v>
      </c>
      <c r="P51" s="25">
        <f>'[3]1.RSP Districts '!P51</f>
        <v>805</v>
      </c>
      <c r="Q51" s="105">
        <f t="shared" si="9"/>
        <v>1.7699115044247786</v>
      </c>
      <c r="R51" s="27" t="s">
        <v>9</v>
      </c>
      <c r="S51" s="1">
        <v>1</v>
      </c>
    </row>
    <row r="52" spans="1:19" ht="14.25" x14ac:dyDescent="0.2">
      <c r="A52" s="23">
        <v>7</v>
      </c>
      <c r="B52" s="24" t="s">
        <v>66</v>
      </c>
      <c r="C52" s="25">
        <v>28</v>
      </c>
      <c r="D52" s="25">
        <v>21</v>
      </c>
      <c r="E52" s="25">
        <f>'[3]1.RSP Districts '!E52</f>
        <v>22</v>
      </c>
      <c r="F52" s="105">
        <f t="shared" si="5"/>
        <v>4.7619047619047619</v>
      </c>
      <c r="G52" s="105">
        <f t="shared" si="6"/>
        <v>78.571428571428569</v>
      </c>
      <c r="H52" s="25">
        <v>259</v>
      </c>
      <c r="I52" s="25">
        <f>'[10]1.RSP Districts '!I52</f>
        <v>259</v>
      </c>
      <c r="J52" s="25">
        <v>70230</v>
      </c>
      <c r="K52" s="25">
        <v>31623</v>
      </c>
      <c r="L52" s="25">
        <f>'[3]1.RSP Districts '!L52</f>
        <v>31623</v>
      </c>
      <c r="M52" s="105">
        <f t="shared" si="7"/>
        <v>0</v>
      </c>
      <c r="N52" s="105">
        <f t="shared" si="8"/>
        <v>45.027765912003417</v>
      </c>
      <c r="O52" s="25">
        <v>1482</v>
      </c>
      <c r="P52" s="25">
        <f>'[3]1.RSP Districts '!P52</f>
        <v>1482</v>
      </c>
      <c r="Q52" s="105">
        <f t="shared" si="9"/>
        <v>0</v>
      </c>
      <c r="R52" s="27" t="s">
        <v>9</v>
      </c>
      <c r="S52" s="1">
        <v>1</v>
      </c>
    </row>
    <row r="53" spans="1:19" ht="14.25" x14ac:dyDescent="0.2">
      <c r="A53" s="23">
        <v>8</v>
      </c>
      <c r="B53" s="24" t="s">
        <v>207</v>
      </c>
      <c r="C53" s="25">
        <v>37</v>
      </c>
      <c r="D53" s="25">
        <v>0</v>
      </c>
      <c r="E53" s="25">
        <v>0</v>
      </c>
      <c r="F53" s="105">
        <v>0</v>
      </c>
      <c r="G53" s="105">
        <f t="shared" si="6"/>
        <v>0</v>
      </c>
      <c r="H53" s="105">
        <v>0</v>
      </c>
      <c r="I53" s="25">
        <v>0</v>
      </c>
      <c r="J53" s="174">
        <v>73626</v>
      </c>
      <c r="K53" s="25">
        <v>0</v>
      </c>
      <c r="L53" s="25">
        <v>0</v>
      </c>
      <c r="M53" s="105">
        <v>0</v>
      </c>
      <c r="N53" s="105">
        <v>0</v>
      </c>
      <c r="O53" s="25">
        <v>0</v>
      </c>
      <c r="P53" s="26">
        <v>0</v>
      </c>
      <c r="Q53" s="105">
        <v>0</v>
      </c>
      <c r="R53" s="81">
        <v>0</v>
      </c>
      <c r="S53" s="1">
        <v>1</v>
      </c>
    </row>
    <row r="54" spans="1:19" ht="14.25" x14ac:dyDescent="0.2">
      <c r="A54" s="23">
        <v>9</v>
      </c>
      <c r="B54" s="24" t="s">
        <v>208</v>
      </c>
      <c r="C54" s="25">
        <v>47</v>
      </c>
      <c r="D54" s="25">
        <v>0</v>
      </c>
      <c r="E54" s="25">
        <v>0</v>
      </c>
      <c r="F54" s="105">
        <v>0</v>
      </c>
      <c r="G54" s="105">
        <f t="shared" si="6"/>
        <v>0</v>
      </c>
      <c r="H54" s="105">
        <v>0</v>
      </c>
      <c r="I54" s="25">
        <v>0</v>
      </c>
      <c r="J54" s="174">
        <v>99528</v>
      </c>
      <c r="K54" s="25">
        <v>0</v>
      </c>
      <c r="L54" s="25">
        <v>0</v>
      </c>
      <c r="M54" s="105">
        <v>0</v>
      </c>
      <c r="N54" s="105">
        <v>0</v>
      </c>
      <c r="O54" s="25">
        <v>0</v>
      </c>
      <c r="P54" s="26">
        <v>0</v>
      </c>
      <c r="Q54" s="105">
        <v>0</v>
      </c>
      <c r="R54" s="81">
        <v>0</v>
      </c>
      <c r="S54" s="1">
        <v>1</v>
      </c>
    </row>
    <row r="55" spans="1:19" ht="14.25" x14ac:dyDescent="0.2">
      <c r="A55" s="23">
        <v>10</v>
      </c>
      <c r="B55" s="24" t="s">
        <v>67</v>
      </c>
      <c r="C55" s="25">
        <v>19</v>
      </c>
      <c r="D55" s="25">
        <v>17</v>
      </c>
      <c r="E55" s="25">
        <f>'[3]1.RSP Districts '!E55</f>
        <v>17</v>
      </c>
      <c r="F55" s="105">
        <f t="shared" si="5"/>
        <v>0</v>
      </c>
      <c r="G55" s="105">
        <f t="shared" si="6"/>
        <v>89.473684210526315</v>
      </c>
      <c r="H55" s="25">
        <v>337</v>
      </c>
      <c r="I55" s="25">
        <f>'[10]1.RSP Districts '!I55</f>
        <v>337</v>
      </c>
      <c r="J55" s="25">
        <v>24536</v>
      </c>
      <c r="K55" s="25">
        <v>14204</v>
      </c>
      <c r="L55" s="25">
        <f>'[3]1.RSP Districts '!L55</f>
        <v>14204</v>
      </c>
      <c r="M55" s="105">
        <f t="shared" si="7"/>
        <v>0</v>
      </c>
      <c r="N55" s="105">
        <f t="shared" si="8"/>
        <v>57.890446690577107</v>
      </c>
      <c r="O55" s="25">
        <v>505</v>
      </c>
      <c r="P55" s="25">
        <f>'[3]1.RSP Districts '!P55</f>
        <v>505</v>
      </c>
      <c r="Q55" s="105">
        <f t="shared" si="9"/>
        <v>0</v>
      </c>
      <c r="R55" s="27" t="s">
        <v>9</v>
      </c>
      <c r="S55" s="1">
        <v>1</v>
      </c>
    </row>
    <row r="56" spans="1:19" ht="14.25" x14ac:dyDescent="0.2">
      <c r="A56" s="23">
        <v>11</v>
      </c>
      <c r="B56" s="24" t="s">
        <v>68</v>
      </c>
      <c r="C56" s="25">
        <v>45</v>
      </c>
      <c r="D56" s="25">
        <v>4</v>
      </c>
      <c r="E56" s="25">
        <v>4</v>
      </c>
      <c r="F56" s="105">
        <f t="shared" si="5"/>
        <v>0</v>
      </c>
      <c r="G56" s="105">
        <f t="shared" si="6"/>
        <v>8.8888888888888893</v>
      </c>
      <c r="H56" s="25">
        <v>22</v>
      </c>
      <c r="I56" s="25">
        <f>'[5]1.RSP Districts '!I56</f>
        <v>22</v>
      </c>
      <c r="J56" s="25">
        <v>94383</v>
      </c>
      <c r="K56" s="25">
        <v>6969</v>
      </c>
      <c r="L56" s="25">
        <f>'[5]1.RSP Districts '!L56</f>
        <v>7319</v>
      </c>
      <c r="M56" s="105">
        <f t="shared" si="7"/>
        <v>5.02224135457024</v>
      </c>
      <c r="N56" s="105">
        <f t="shared" si="8"/>
        <v>7.7545744466694213</v>
      </c>
      <c r="O56" s="25">
        <v>700</v>
      </c>
      <c r="P56" s="25">
        <f>'[5]1.RSP Districts '!P56</f>
        <v>730</v>
      </c>
      <c r="Q56" s="105">
        <f t="shared" si="9"/>
        <v>4.2857142857142856</v>
      </c>
      <c r="R56" s="27" t="s">
        <v>4</v>
      </c>
      <c r="S56" s="1">
        <v>1</v>
      </c>
    </row>
    <row r="57" spans="1:19" ht="14.25" x14ac:dyDescent="0.2">
      <c r="A57" s="23">
        <v>11</v>
      </c>
      <c r="B57" s="24" t="s">
        <v>69</v>
      </c>
      <c r="C57" s="25">
        <v>45</v>
      </c>
      <c r="D57" s="25">
        <v>45</v>
      </c>
      <c r="E57" s="25">
        <f>'[3]1.RSP Districts '!E57</f>
        <v>45</v>
      </c>
      <c r="F57" s="105">
        <f t="shared" si="5"/>
        <v>0</v>
      </c>
      <c r="G57" s="105">
        <f t="shared" si="6"/>
        <v>100</v>
      </c>
      <c r="H57" s="25">
        <v>157</v>
      </c>
      <c r="I57" s="25">
        <f>'[10]1.RSP Districts '!I57</f>
        <v>157</v>
      </c>
      <c r="J57" s="25">
        <v>94383</v>
      </c>
      <c r="K57" s="25">
        <v>41322</v>
      </c>
      <c r="L57" s="25">
        <f>'[3]1.RSP Districts '!L57</f>
        <v>41322</v>
      </c>
      <c r="M57" s="105">
        <f t="shared" si="7"/>
        <v>0</v>
      </c>
      <c r="N57" s="105">
        <f t="shared" si="8"/>
        <v>43.781189409109686</v>
      </c>
      <c r="O57" s="25">
        <v>1331</v>
      </c>
      <c r="P57" s="25">
        <f>'[3]1.RSP Districts '!P57</f>
        <v>1331</v>
      </c>
      <c r="Q57" s="105">
        <f t="shared" si="9"/>
        <v>0</v>
      </c>
      <c r="R57" s="27" t="s">
        <v>9</v>
      </c>
      <c r="S57" s="1">
        <v>1</v>
      </c>
    </row>
    <row r="58" spans="1:19" ht="14.25" x14ac:dyDescent="0.2">
      <c r="A58" s="23">
        <v>12</v>
      </c>
      <c r="B58" s="24" t="s">
        <v>70</v>
      </c>
      <c r="C58" s="25">
        <v>21</v>
      </c>
      <c r="D58" s="25">
        <v>21</v>
      </c>
      <c r="E58" s="25">
        <f>'[3]1.RSP Districts '!E58</f>
        <v>21</v>
      </c>
      <c r="F58" s="105">
        <f t="shared" si="5"/>
        <v>0</v>
      </c>
      <c r="G58" s="105">
        <f t="shared" si="6"/>
        <v>100</v>
      </c>
      <c r="H58" s="25">
        <v>117</v>
      </c>
      <c r="I58" s="25">
        <f>'[10]1.RSP Districts '!I58</f>
        <v>117</v>
      </c>
      <c r="J58" s="25">
        <v>40734</v>
      </c>
      <c r="K58" s="25">
        <v>49483</v>
      </c>
      <c r="L58" s="25">
        <f>'[3]1.RSP Districts '!L58</f>
        <v>49483</v>
      </c>
      <c r="M58" s="105">
        <f t="shared" si="7"/>
        <v>0</v>
      </c>
      <c r="N58" s="105">
        <f t="shared" si="8"/>
        <v>121.47837187607405</v>
      </c>
      <c r="O58" s="25">
        <v>1997</v>
      </c>
      <c r="P58" s="25">
        <f>'[3]1.RSP Districts '!P58</f>
        <v>1997</v>
      </c>
      <c r="Q58" s="105">
        <f t="shared" si="9"/>
        <v>0</v>
      </c>
      <c r="R58" s="27" t="s">
        <v>9</v>
      </c>
      <c r="S58" s="1">
        <v>1</v>
      </c>
    </row>
    <row r="59" spans="1:19" ht="14.25" x14ac:dyDescent="0.2">
      <c r="A59" s="23">
        <v>13</v>
      </c>
      <c r="B59" s="24" t="s">
        <v>71</v>
      </c>
      <c r="C59" s="25">
        <v>32</v>
      </c>
      <c r="D59" s="25">
        <v>32</v>
      </c>
      <c r="E59" s="25">
        <f>'[3]1.RSP Districts '!E59</f>
        <v>32</v>
      </c>
      <c r="F59" s="105">
        <f t="shared" si="5"/>
        <v>0</v>
      </c>
      <c r="G59" s="105">
        <f t="shared" si="6"/>
        <v>100</v>
      </c>
      <c r="H59" s="25">
        <v>243</v>
      </c>
      <c r="I59" s="25">
        <f>'[10]1.RSP Districts '!I59</f>
        <v>243</v>
      </c>
      <c r="J59" s="25">
        <v>55911</v>
      </c>
      <c r="K59" s="25">
        <v>69685</v>
      </c>
      <c r="L59" s="25">
        <f>'[3]1.RSP Districts '!L59</f>
        <v>69685</v>
      </c>
      <c r="M59" s="105">
        <f t="shared" si="7"/>
        <v>0</v>
      </c>
      <c r="N59" s="105">
        <f t="shared" si="8"/>
        <v>124.6355815492479</v>
      </c>
      <c r="O59" s="25">
        <v>3129</v>
      </c>
      <c r="P59" s="25">
        <f>'[3]1.RSP Districts '!P59</f>
        <v>3129</v>
      </c>
      <c r="Q59" s="105">
        <f t="shared" si="9"/>
        <v>0</v>
      </c>
      <c r="R59" s="27" t="s">
        <v>9</v>
      </c>
      <c r="S59" s="1">
        <v>1</v>
      </c>
    </row>
    <row r="60" spans="1:19" ht="14.25" x14ac:dyDescent="0.2">
      <c r="A60" s="23">
        <v>14</v>
      </c>
      <c r="B60" s="24" t="s">
        <v>72</v>
      </c>
      <c r="C60" s="25">
        <v>38</v>
      </c>
      <c r="D60" s="25">
        <v>38</v>
      </c>
      <c r="E60" s="25">
        <f>'[3]1.RSP Districts '!E60</f>
        <v>38</v>
      </c>
      <c r="F60" s="105">
        <f t="shared" si="5"/>
        <v>0</v>
      </c>
      <c r="G60" s="105">
        <f t="shared" si="6"/>
        <v>100</v>
      </c>
      <c r="H60" s="25">
        <v>132</v>
      </c>
      <c r="I60" s="25">
        <f>'[10]1.RSP Districts '!I60</f>
        <v>132</v>
      </c>
      <c r="J60" s="25">
        <v>74041</v>
      </c>
      <c r="K60" s="25">
        <v>34916</v>
      </c>
      <c r="L60" s="25">
        <f>'[3]1.RSP Districts '!L60</f>
        <v>35642</v>
      </c>
      <c r="M60" s="105">
        <f t="shared" si="7"/>
        <v>2.0792759766296252</v>
      </c>
      <c r="N60" s="105">
        <f t="shared" si="8"/>
        <v>48.138193703488611</v>
      </c>
      <c r="O60" s="25">
        <v>2238</v>
      </c>
      <c r="P60" s="25">
        <f>'[3]1.RSP Districts '!P60</f>
        <v>2301</v>
      </c>
      <c r="Q60" s="105">
        <f t="shared" si="9"/>
        <v>2.8150134048257374</v>
      </c>
      <c r="R60" s="27" t="s">
        <v>9</v>
      </c>
      <c r="S60" s="1">
        <v>1</v>
      </c>
    </row>
    <row r="61" spans="1:19" ht="14.25" x14ac:dyDescent="0.2">
      <c r="A61" s="23">
        <v>15</v>
      </c>
      <c r="B61" s="24" t="s">
        <v>210</v>
      </c>
      <c r="C61" s="25">
        <v>33</v>
      </c>
      <c r="D61" s="25">
        <v>0</v>
      </c>
      <c r="E61" s="25"/>
      <c r="F61" s="105">
        <v>0</v>
      </c>
      <c r="G61" s="105">
        <f t="shared" si="6"/>
        <v>0</v>
      </c>
      <c r="H61" s="105"/>
      <c r="I61" s="105"/>
      <c r="J61" s="174">
        <v>48700</v>
      </c>
      <c r="K61" s="25">
        <v>0</v>
      </c>
      <c r="L61" s="25"/>
      <c r="M61" s="105">
        <v>0</v>
      </c>
      <c r="N61" s="105">
        <v>0</v>
      </c>
      <c r="O61" s="25"/>
      <c r="P61" s="26"/>
      <c r="Q61" s="105">
        <v>0</v>
      </c>
      <c r="R61" s="81">
        <v>0</v>
      </c>
      <c r="S61" s="1">
        <v>1</v>
      </c>
    </row>
    <row r="62" spans="1:19" ht="14.25" x14ac:dyDescent="0.2">
      <c r="A62" s="23">
        <v>16</v>
      </c>
      <c r="B62" s="24" t="s">
        <v>73</v>
      </c>
      <c r="C62" s="25">
        <v>28</v>
      </c>
      <c r="D62" s="25">
        <v>25</v>
      </c>
      <c r="E62" s="39">
        <v>25</v>
      </c>
      <c r="F62" s="105">
        <f t="shared" si="5"/>
        <v>0</v>
      </c>
      <c r="G62" s="105">
        <f t="shared" si="6"/>
        <v>89.285714285714278</v>
      </c>
      <c r="H62" s="39">
        <v>193</v>
      </c>
      <c r="I62" s="39">
        <v>193</v>
      </c>
      <c r="J62" s="25">
        <v>45731</v>
      </c>
      <c r="K62" s="39">
        <v>29040</v>
      </c>
      <c r="L62" s="39">
        <v>29040</v>
      </c>
      <c r="M62" s="105">
        <f t="shared" si="7"/>
        <v>0</v>
      </c>
      <c r="N62" s="105">
        <f t="shared" si="8"/>
        <v>63.50178216089742</v>
      </c>
      <c r="O62" s="25">
        <v>1848</v>
      </c>
      <c r="P62" s="39">
        <v>1848</v>
      </c>
      <c r="Q62" s="105">
        <f t="shared" si="9"/>
        <v>0</v>
      </c>
      <c r="R62" s="27" t="s">
        <v>5</v>
      </c>
      <c r="S62" s="1">
        <v>1</v>
      </c>
    </row>
    <row r="63" spans="1:19" ht="14.25" x14ac:dyDescent="0.2">
      <c r="A63" s="23">
        <v>16</v>
      </c>
      <c r="B63" s="24" t="s">
        <v>259</v>
      </c>
      <c r="C63" s="25">
        <v>28</v>
      </c>
      <c r="D63" s="25">
        <v>12</v>
      </c>
      <c r="E63" s="25">
        <f>'[3]1.RSP Districts '!E63</f>
        <v>12</v>
      </c>
      <c r="F63" s="105">
        <f t="shared" si="5"/>
        <v>0</v>
      </c>
      <c r="G63" s="105">
        <f t="shared" si="6"/>
        <v>42.857142857142854</v>
      </c>
      <c r="H63" s="25">
        <v>30</v>
      </c>
      <c r="I63" s="25">
        <f>'[10]1.RSP Districts '!I63</f>
        <v>30</v>
      </c>
      <c r="J63" s="25">
        <v>45731</v>
      </c>
      <c r="K63" s="25">
        <v>3235</v>
      </c>
      <c r="L63" s="25">
        <f>'[3]1.RSP Districts '!L63</f>
        <v>3987</v>
      </c>
      <c r="M63" s="105">
        <f t="shared" si="7"/>
        <v>23.245749613601234</v>
      </c>
      <c r="N63" s="105">
        <f t="shared" si="8"/>
        <v>8.7183748441975908</v>
      </c>
      <c r="O63" s="25">
        <v>112</v>
      </c>
      <c r="P63" s="25">
        <f>'[3]1.RSP Districts '!P63</f>
        <v>144</v>
      </c>
      <c r="Q63" s="105">
        <f t="shared" si="9"/>
        <v>28.571428571428569</v>
      </c>
      <c r="R63" s="27" t="s">
        <v>9</v>
      </c>
      <c r="S63" s="1">
        <v>1</v>
      </c>
    </row>
    <row r="64" spans="1:19" ht="14.25" x14ac:dyDescent="0.2">
      <c r="A64" s="23">
        <v>17</v>
      </c>
      <c r="B64" s="24" t="s">
        <v>74</v>
      </c>
      <c r="C64" s="25">
        <v>59</v>
      </c>
      <c r="D64" s="25">
        <v>55</v>
      </c>
      <c r="E64" s="25">
        <f>'[3]1.RSP Districts '!E64</f>
        <v>55</v>
      </c>
      <c r="F64" s="105">
        <f t="shared" si="5"/>
        <v>0</v>
      </c>
      <c r="G64" s="105">
        <f t="shared" si="6"/>
        <v>93.220338983050851</v>
      </c>
      <c r="H64" s="25">
        <v>390</v>
      </c>
      <c r="I64" s="25">
        <f>'[10]1.RSP Districts '!I64</f>
        <v>390</v>
      </c>
      <c r="J64" s="25">
        <v>167833</v>
      </c>
      <c r="K64" s="25">
        <v>109246</v>
      </c>
      <c r="L64" s="25">
        <f>'[3]1.RSP Districts '!L64</f>
        <v>109246</v>
      </c>
      <c r="M64" s="105">
        <f t="shared" si="7"/>
        <v>0</v>
      </c>
      <c r="N64" s="105">
        <f t="shared" si="8"/>
        <v>65.092085585075637</v>
      </c>
      <c r="O64" s="25">
        <v>3836</v>
      </c>
      <c r="P64" s="25">
        <f>'[3]1.RSP Districts '!P64</f>
        <v>3836</v>
      </c>
      <c r="Q64" s="105">
        <f t="shared" si="9"/>
        <v>0</v>
      </c>
      <c r="R64" s="27" t="s">
        <v>9</v>
      </c>
      <c r="S64" s="1">
        <v>1</v>
      </c>
    </row>
    <row r="65" spans="1:19" ht="14.25" x14ac:dyDescent="0.2">
      <c r="A65" s="23">
        <v>18</v>
      </c>
      <c r="B65" s="24" t="s">
        <v>75</v>
      </c>
      <c r="C65" s="25">
        <v>75</v>
      </c>
      <c r="D65" s="25">
        <v>63</v>
      </c>
      <c r="E65" s="39">
        <v>63</v>
      </c>
      <c r="F65" s="105">
        <f t="shared" si="5"/>
        <v>0</v>
      </c>
      <c r="G65" s="105">
        <f t="shared" si="6"/>
        <v>84</v>
      </c>
      <c r="H65" s="39">
        <v>187</v>
      </c>
      <c r="I65" s="39">
        <v>187</v>
      </c>
      <c r="J65" s="25">
        <v>141386</v>
      </c>
      <c r="K65" s="39">
        <v>53799</v>
      </c>
      <c r="L65" s="39">
        <v>53799</v>
      </c>
      <c r="M65" s="105">
        <f t="shared" si="7"/>
        <v>0</v>
      </c>
      <c r="N65" s="105">
        <f t="shared" si="8"/>
        <v>38.051150750427908</v>
      </c>
      <c r="O65" s="25">
        <v>3781</v>
      </c>
      <c r="P65" s="39">
        <v>3781</v>
      </c>
      <c r="Q65" s="105">
        <f t="shared" si="9"/>
        <v>0</v>
      </c>
      <c r="R65" s="27" t="s">
        <v>5</v>
      </c>
      <c r="S65" s="1">
        <v>1</v>
      </c>
    </row>
    <row r="66" spans="1:19" ht="14.25" x14ac:dyDescent="0.2">
      <c r="A66" s="23">
        <v>18</v>
      </c>
      <c r="B66" s="24" t="s">
        <v>76</v>
      </c>
      <c r="C66" s="25">
        <v>75</v>
      </c>
      <c r="D66" s="25">
        <v>20</v>
      </c>
      <c r="E66" s="25">
        <f>'[3]1.RSP Districts '!E66</f>
        <v>20</v>
      </c>
      <c r="F66" s="105">
        <f t="shared" si="5"/>
        <v>0</v>
      </c>
      <c r="G66" s="105">
        <f t="shared" si="6"/>
        <v>26.666666666666668</v>
      </c>
      <c r="H66" s="25">
        <v>63</v>
      </c>
      <c r="I66" s="25">
        <f>'[10]1.RSP Districts '!I66</f>
        <v>63</v>
      </c>
      <c r="J66" s="25">
        <v>141386</v>
      </c>
      <c r="K66" s="25">
        <v>42732</v>
      </c>
      <c r="L66" s="25">
        <f>'[3]1.RSP Districts '!L66</f>
        <v>42732</v>
      </c>
      <c r="M66" s="105">
        <f t="shared" si="7"/>
        <v>0</v>
      </c>
      <c r="N66" s="105">
        <f t="shared" si="8"/>
        <v>30.223643076400776</v>
      </c>
      <c r="O66" s="25">
        <v>1838</v>
      </c>
      <c r="P66" s="25">
        <f>'[3]1.RSP Districts '!P66</f>
        <v>1838</v>
      </c>
      <c r="Q66" s="105">
        <f t="shared" si="9"/>
        <v>0</v>
      </c>
      <c r="R66" s="27" t="s">
        <v>9</v>
      </c>
      <c r="S66" s="1">
        <v>1</v>
      </c>
    </row>
    <row r="67" spans="1:19" ht="14.25" x14ac:dyDescent="0.2">
      <c r="A67" s="23">
        <v>19</v>
      </c>
      <c r="B67" s="24" t="s">
        <v>77</v>
      </c>
      <c r="C67" s="25">
        <v>48</v>
      </c>
      <c r="D67" s="25">
        <v>10</v>
      </c>
      <c r="E67" s="25">
        <f>'[3]1.RSP Districts '!E67</f>
        <v>10</v>
      </c>
      <c r="F67" s="105">
        <f t="shared" si="5"/>
        <v>0</v>
      </c>
      <c r="G67" s="105">
        <f t="shared" si="6"/>
        <v>20.833333333333336</v>
      </c>
      <c r="H67" s="25">
        <v>33</v>
      </c>
      <c r="I67" s="25">
        <f>'[10]1.RSP Districts '!I67</f>
        <v>33</v>
      </c>
      <c r="J67" s="25">
        <v>84851</v>
      </c>
      <c r="K67" s="25">
        <v>18069</v>
      </c>
      <c r="L67" s="25">
        <f>'[3]1.RSP Districts '!L67</f>
        <v>18465</v>
      </c>
      <c r="M67" s="105">
        <f t="shared" si="7"/>
        <v>2.1915988709945209</v>
      </c>
      <c r="N67" s="105">
        <f t="shared" si="8"/>
        <v>21.761676350308189</v>
      </c>
      <c r="O67" s="25">
        <v>769</v>
      </c>
      <c r="P67" s="25">
        <f>'[3]1.RSP Districts '!P67</f>
        <v>776</v>
      </c>
      <c r="Q67" s="105">
        <f t="shared" si="9"/>
        <v>0.91027308192457734</v>
      </c>
      <c r="R67" s="27" t="s">
        <v>9</v>
      </c>
      <c r="S67" s="1">
        <v>1</v>
      </c>
    </row>
    <row r="68" spans="1:19" ht="14.25" x14ac:dyDescent="0.2">
      <c r="A68" s="23">
        <v>19</v>
      </c>
      <c r="B68" s="24" t="s">
        <v>258</v>
      </c>
      <c r="C68" s="25">
        <v>48</v>
      </c>
      <c r="D68" s="25">
        <v>13</v>
      </c>
      <c r="E68" s="39">
        <v>13</v>
      </c>
      <c r="F68" s="105">
        <f t="shared" si="5"/>
        <v>0</v>
      </c>
      <c r="G68" s="105">
        <f t="shared" si="6"/>
        <v>27.083333333333336</v>
      </c>
      <c r="H68" s="39">
        <v>176</v>
      </c>
      <c r="I68" s="39">
        <v>176</v>
      </c>
      <c r="J68" s="25">
        <v>84851</v>
      </c>
      <c r="K68" s="39">
        <v>2163</v>
      </c>
      <c r="L68" s="39">
        <v>2163</v>
      </c>
      <c r="M68" s="105">
        <f t="shared" si="7"/>
        <v>0</v>
      </c>
      <c r="N68" s="105">
        <f t="shared" si="8"/>
        <v>2.5491744351863854</v>
      </c>
      <c r="O68" s="25">
        <v>101</v>
      </c>
      <c r="P68" s="39">
        <v>101</v>
      </c>
      <c r="Q68" s="105">
        <f t="shared" si="9"/>
        <v>0</v>
      </c>
      <c r="R68" s="27" t="s">
        <v>5</v>
      </c>
      <c r="S68" s="1">
        <v>1</v>
      </c>
    </row>
    <row r="69" spans="1:19" ht="14.25" x14ac:dyDescent="0.2">
      <c r="A69" s="23">
        <v>20</v>
      </c>
      <c r="B69" s="24" t="s">
        <v>78</v>
      </c>
      <c r="C69" s="25">
        <v>67</v>
      </c>
      <c r="D69" s="25">
        <v>17</v>
      </c>
      <c r="E69" s="25">
        <f>'[3]1.RSP Districts '!E69</f>
        <v>17</v>
      </c>
      <c r="F69" s="105">
        <f t="shared" si="5"/>
        <v>0</v>
      </c>
      <c r="G69" s="105">
        <f t="shared" si="6"/>
        <v>25.373134328358208</v>
      </c>
      <c r="H69" s="25">
        <v>55</v>
      </c>
      <c r="I69" s="25">
        <f>'[10]1.RSP Districts '!I69</f>
        <v>55</v>
      </c>
      <c r="J69" s="25">
        <v>132070</v>
      </c>
      <c r="K69" s="25">
        <v>15460</v>
      </c>
      <c r="L69" s="25">
        <f>'[3]1.RSP Districts '!L69</f>
        <v>16308</v>
      </c>
      <c r="M69" s="105">
        <f t="shared" si="7"/>
        <v>5.4851228978007764</v>
      </c>
      <c r="N69" s="105">
        <f t="shared" si="8"/>
        <v>12.347997274172787</v>
      </c>
      <c r="O69" s="25">
        <v>746</v>
      </c>
      <c r="P69" s="25">
        <f>'[3]1.RSP Districts '!P69</f>
        <v>767</v>
      </c>
      <c r="Q69" s="105">
        <f t="shared" si="9"/>
        <v>2.8150134048257374</v>
      </c>
      <c r="R69" s="27" t="s">
        <v>9</v>
      </c>
      <c r="S69" s="1">
        <v>1</v>
      </c>
    </row>
    <row r="70" spans="1:19" ht="14.25" x14ac:dyDescent="0.2">
      <c r="A70" s="23">
        <v>21</v>
      </c>
      <c r="B70" s="24" t="s">
        <v>79</v>
      </c>
      <c r="C70" s="25">
        <v>28</v>
      </c>
      <c r="D70" s="25">
        <v>20</v>
      </c>
      <c r="E70" s="25">
        <f>'[3]1.RSP Districts '!E70</f>
        <v>20</v>
      </c>
      <c r="F70" s="105">
        <f t="shared" si="5"/>
        <v>0</v>
      </c>
      <c r="G70" s="105">
        <f t="shared" si="6"/>
        <v>71.428571428571416</v>
      </c>
      <c r="H70" s="25">
        <v>62</v>
      </c>
      <c r="I70" s="25">
        <f>'[10]1.RSP Districts '!I70</f>
        <v>62</v>
      </c>
      <c r="J70" s="25">
        <v>53994</v>
      </c>
      <c r="K70" s="25">
        <v>27671</v>
      </c>
      <c r="L70" s="25">
        <f>'[3]1.RSP Districts '!L70</f>
        <v>27671</v>
      </c>
      <c r="M70" s="105">
        <f t="shared" si="7"/>
        <v>0</v>
      </c>
      <c r="N70" s="105">
        <f t="shared" si="8"/>
        <v>51.248286846686661</v>
      </c>
      <c r="O70" s="25">
        <v>1546</v>
      </c>
      <c r="P70" s="25">
        <f>'[3]1.RSP Districts '!P70</f>
        <v>1610</v>
      </c>
      <c r="Q70" s="105">
        <f t="shared" si="9"/>
        <v>4.1397153945666236</v>
      </c>
      <c r="R70" s="27" t="s">
        <v>9</v>
      </c>
      <c r="S70" s="1">
        <v>1</v>
      </c>
    </row>
    <row r="71" spans="1:19" ht="14.25" x14ac:dyDescent="0.2">
      <c r="A71" s="23">
        <v>22</v>
      </c>
      <c r="B71" s="24" t="s">
        <v>80</v>
      </c>
      <c r="C71" s="25">
        <v>55</v>
      </c>
      <c r="D71" s="25">
        <v>6</v>
      </c>
      <c r="E71" s="25">
        <v>6</v>
      </c>
      <c r="F71" s="105">
        <f t="shared" si="5"/>
        <v>0</v>
      </c>
      <c r="G71" s="105">
        <f t="shared" si="6"/>
        <v>10.909090909090908</v>
      </c>
      <c r="H71" s="25">
        <v>21</v>
      </c>
      <c r="I71" s="25">
        <f>'[5]1.RSP Districts '!I71</f>
        <v>23</v>
      </c>
      <c r="J71" s="25">
        <v>112083</v>
      </c>
      <c r="K71" s="25">
        <v>7828</v>
      </c>
      <c r="L71" s="25">
        <f>'[5]1.RSP Districts '!L71</f>
        <v>8196</v>
      </c>
      <c r="M71" s="105">
        <f t="shared" si="7"/>
        <v>4.7010730710270821</v>
      </c>
      <c r="N71" s="105">
        <f t="shared" si="8"/>
        <v>7.3124381039051425</v>
      </c>
      <c r="O71" s="25">
        <v>615</v>
      </c>
      <c r="P71" s="25">
        <f>'[5]1.RSP Districts '!P71</f>
        <v>643</v>
      </c>
      <c r="Q71" s="105">
        <f t="shared" si="9"/>
        <v>4.5528455284552845</v>
      </c>
      <c r="R71" s="27" t="s">
        <v>4</v>
      </c>
      <c r="S71" s="1">
        <v>1</v>
      </c>
    </row>
    <row r="72" spans="1:19" ht="14.25" x14ac:dyDescent="0.2">
      <c r="A72" s="23">
        <v>22</v>
      </c>
      <c r="B72" s="24" t="s">
        <v>81</v>
      </c>
      <c r="C72" s="25">
        <v>55</v>
      </c>
      <c r="D72" s="25">
        <v>38</v>
      </c>
      <c r="E72" s="39">
        <v>38</v>
      </c>
      <c r="F72" s="105">
        <f t="shared" si="5"/>
        <v>0</v>
      </c>
      <c r="G72" s="105">
        <f t="shared" si="6"/>
        <v>69.090909090909079</v>
      </c>
      <c r="H72" s="39">
        <v>179</v>
      </c>
      <c r="I72" s="39">
        <v>179</v>
      </c>
      <c r="J72" s="25">
        <v>112083</v>
      </c>
      <c r="K72" s="39">
        <v>26117</v>
      </c>
      <c r="L72" s="39">
        <v>26728</v>
      </c>
      <c r="M72" s="105">
        <f t="shared" si="7"/>
        <v>2.3394723743155796</v>
      </c>
      <c r="N72" s="105">
        <f t="shared" si="8"/>
        <v>23.846613670226532</v>
      </c>
      <c r="O72" s="25">
        <v>1660</v>
      </c>
      <c r="P72" s="39">
        <v>1698</v>
      </c>
      <c r="Q72" s="105">
        <f t="shared" si="9"/>
        <v>2.2891566265060237</v>
      </c>
      <c r="R72" s="27" t="s">
        <v>5</v>
      </c>
      <c r="S72" s="1">
        <v>1</v>
      </c>
    </row>
    <row r="73" spans="1:19" ht="14.25" x14ac:dyDescent="0.2">
      <c r="A73" s="23">
        <v>23</v>
      </c>
      <c r="B73" s="24" t="s">
        <v>82</v>
      </c>
      <c r="C73" s="25">
        <v>65</v>
      </c>
      <c r="D73" s="25">
        <v>19</v>
      </c>
      <c r="E73" s="39">
        <v>19</v>
      </c>
      <c r="F73" s="105">
        <f t="shared" si="5"/>
        <v>0</v>
      </c>
      <c r="G73" s="105">
        <f t="shared" si="6"/>
        <v>29.23076923076923</v>
      </c>
      <c r="H73" s="39">
        <v>224</v>
      </c>
      <c r="I73" s="39">
        <v>224</v>
      </c>
      <c r="J73" s="25">
        <v>125377</v>
      </c>
      <c r="K73" s="39">
        <v>6488</v>
      </c>
      <c r="L73" s="39">
        <v>6488</v>
      </c>
      <c r="M73" s="105">
        <f t="shared" si="7"/>
        <v>0</v>
      </c>
      <c r="N73" s="105">
        <f t="shared" si="8"/>
        <v>5.1747928248402815</v>
      </c>
      <c r="O73" s="25">
        <v>298</v>
      </c>
      <c r="P73" s="39">
        <v>298</v>
      </c>
      <c r="Q73" s="105">
        <f t="shared" si="9"/>
        <v>0</v>
      </c>
      <c r="R73" s="27" t="s">
        <v>5</v>
      </c>
      <c r="S73" s="1">
        <v>1</v>
      </c>
    </row>
    <row r="74" spans="1:19" ht="14.25" x14ac:dyDescent="0.2">
      <c r="A74" s="23">
        <v>23</v>
      </c>
      <c r="B74" s="24" t="s">
        <v>83</v>
      </c>
      <c r="C74" s="25">
        <v>65</v>
      </c>
      <c r="D74" s="25">
        <v>60</v>
      </c>
      <c r="E74" s="25">
        <f>'[3]1.RSP Districts '!E74</f>
        <v>60</v>
      </c>
      <c r="F74" s="105">
        <f t="shared" si="5"/>
        <v>0</v>
      </c>
      <c r="G74" s="105">
        <f t="shared" si="6"/>
        <v>92.307692307692307</v>
      </c>
      <c r="H74" s="25">
        <v>100</v>
      </c>
      <c r="I74" s="25">
        <f>'[10]1.RSP Districts '!I74</f>
        <v>100</v>
      </c>
      <c r="J74" s="25">
        <v>125377</v>
      </c>
      <c r="K74" s="25">
        <v>19748</v>
      </c>
      <c r="L74" s="25">
        <f>'[3]1.RSP Districts '!L74</f>
        <v>22378</v>
      </c>
      <c r="M74" s="105">
        <f t="shared" si="7"/>
        <v>13.317804334616165</v>
      </c>
      <c r="N74" s="105">
        <f t="shared" si="8"/>
        <v>17.848568716750282</v>
      </c>
      <c r="O74" s="25">
        <v>812</v>
      </c>
      <c r="P74" s="25">
        <f>'[3]1.RSP Districts '!P74</f>
        <v>928</v>
      </c>
      <c r="Q74" s="105">
        <f t="shared" si="9"/>
        <v>14.285714285714286</v>
      </c>
      <c r="R74" s="27" t="s">
        <v>9</v>
      </c>
      <c r="S74" s="1">
        <v>1</v>
      </c>
    </row>
    <row r="75" spans="1:19" thickBot="1" x14ac:dyDescent="0.25">
      <c r="A75" s="37">
        <v>24</v>
      </c>
      <c r="B75" s="38" t="s">
        <v>209</v>
      </c>
      <c r="C75" s="39">
        <v>16</v>
      </c>
      <c r="D75" s="25">
        <v>0</v>
      </c>
      <c r="E75" s="39">
        <v>0</v>
      </c>
      <c r="F75" s="140">
        <v>0</v>
      </c>
      <c r="G75" s="140">
        <f t="shared" si="6"/>
        <v>0</v>
      </c>
      <c r="H75" s="140"/>
      <c r="I75" s="140"/>
      <c r="J75" s="174">
        <v>22411</v>
      </c>
      <c r="K75" s="25">
        <v>0</v>
      </c>
      <c r="L75" s="39"/>
      <c r="M75" s="140">
        <v>0</v>
      </c>
      <c r="N75" s="140">
        <v>0</v>
      </c>
      <c r="O75" s="25"/>
      <c r="P75" s="41"/>
      <c r="Q75" s="140">
        <v>0</v>
      </c>
      <c r="R75" s="90">
        <v>0</v>
      </c>
      <c r="S75" s="1">
        <v>1</v>
      </c>
    </row>
    <row r="76" spans="1:19" s="5" customFormat="1" ht="15.75" thickBot="1" x14ac:dyDescent="0.3">
      <c r="A76" s="156">
        <f>COUNTIF(R43:R75,"*")-9</f>
        <v>19</v>
      </c>
      <c r="B76" s="155" t="s">
        <v>84</v>
      </c>
      <c r="C76" s="57">
        <f>SUM(C43:C75)-(C47+C48+C51+C56+C66+C71+C74+C67+C63)</f>
        <v>961</v>
      </c>
      <c r="D76" s="57">
        <f>SUM(D43:D75)-(D46+D48+D51+D56+D66+D71+D73+D67+D63)</f>
        <v>618</v>
      </c>
      <c r="E76" s="57">
        <f>SUM(E43:E75)-(E46+E48+E51+E56+E66+E71+E73+E67+E63)</f>
        <v>619</v>
      </c>
      <c r="F76" s="157">
        <f t="shared" si="5"/>
        <v>0.16181229773462785</v>
      </c>
      <c r="G76" s="157">
        <f t="shared" si="6"/>
        <v>64.412070759625394</v>
      </c>
      <c r="H76" s="157">
        <f>SUM(H43:H75)</f>
        <v>4689</v>
      </c>
      <c r="I76" s="157">
        <f>SUM(I43:I75)</f>
        <v>4691</v>
      </c>
      <c r="J76" s="57">
        <f>SUM(J43:J75)-(J47+J48+J51+J56+J66+J71+J74+J67+J63)</f>
        <v>1889904</v>
      </c>
      <c r="K76" s="57">
        <f>SUM(K43:K75)</f>
        <v>808216</v>
      </c>
      <c r="L76" s="57">
        <f>SUM(L43:L75)</f>
        <v>817704</v>
      </c>
      <c r="M76" s="157">
        <f t="shared" si="7"/>
        <v>1.1739435992358478</v>
      </c>
      <c r="N76" s="157">
        <f t="shared" si="8"/>
        <v>43.266959591598301</v>
      </c>
      <c r="O76" s="57">
        <f>SUM(O43:O75)</f>
        <v>37189</v>
      </c>
      <c r="P76" s="57">
        <f>SUM(P43:P75)</f>
        <v>37902</v>
      </c>
      <c r="Q76" s="157">
        <f t="shared" si="9"/>
        <v>1.917233590577859</v>
      </c>
      <c r="R76" s="159"/>
      <c r="S76" s="1">
        <v>1</v>
      </c>
    </row>
    <row r="77" spans="1:19" ht="8.25" customHeight="1" thickBot="1" x14ac:dyDescent="0.25">
      <c r="A77" s="13"/>
      <c r="B77" s="14"/>
      <c r="C77" s="59"/>
      <c r="D77" s="28"/>
      <c r="E77" s="28"/>
      <c r="F77" s="106"/>
      <c r="G77" s="106"/>
      <c r="H77" s="106"/>
      <c r="I77" s="106"/>
      <c r="J77" s="59"/>
      <c r="K77" s="28"/>
      <c r="L77" s="28"/>
      <c r="M77" s="28"/>
      <c r="N77" s="28"/>
      <c r="O77" s="28"/>
      <c r="P77" s="28"/>
      <c r="Q77" s="28"/>
      <c r="R77" s="15"/>
      <c r="S77" s="1">
        <v>1</v>
      </c>
    </row>
    <row r="78" spans="1:19" s="6" customFormat="1" ht="14.25" x14ac:dyDescent="0.2">
      <c r="A78" s="18" t="s">
        <v>85</v>
      </c>
      <c r="B78" s="19"/>
      <c r="C78" s="20"/>
      <c r="D78" s="29"/>
      <c r="E78" s="29"/>
      <c r="F78" s="107"/>
      <c r="G78" s="107"/>
      <c r="H78" s="107"/>
      <c r="I78" s="107"/>
      <c r="J78" s="20"/>
      <c r="K78" s="29"/>
      <c r="L78" s="29"/>
      <c r="M78" s="29"/>
      <c r="N78" s="29"/>
      <c r="O78" s="29"/>
      <c r="P78" s="29"/>
      <c r="Q78" s="29"/>
      <c r="R78" s="22"/>
      <c r="S78" s="1">
        <v>1</v>
      </c>
    </row>
    <row r="79" spans="1:19" ht="14.25" x14ac:dyDescent="0.2">
      <c r="A79" s="23">
        <v>1</v>
      </c>
      <c r="B79" s="24" t="s">
        <v>86</v>
      </c>
      <c r="C79" s="25">
        <v>46</v>
      </c>
      <c r="D79" s="25">
        <v>46</v>
      </c>
      <c r="E79" s="39">
        <v>46</v>
      </c>
      <c r="F79" s="105">
        <f t="shared" ref="F79:F102" si="10">(E79-D79)/D79%</f>
        <v>0</v>
      </c>
      <c r="G79" s="105">
        <f t="shared" ref="G79:G102" si="11">E79/C79%</f>
        <v>100</v>
      </c>
      <c r="H79" s="39">
        <v>349</v>
      </c>
      <c r="I79" s="40">
        <v>349</v>
      </c>
      <c r="J79" s="30">
        <v>185266</v>
      </c>
      <c r="K79" s="25">
        <v>99633</v>
      </c>
      <c r="L79" s="39">
        <v>102913</v>
      </c>
      <c r="M79" s="105">
        <f t="shared" ref="M79:M102" si="12">(L79-K79)/K79%</f>
        <v>3.2920819407224511</v>
      </c>
      <c r="N79" s="105">
        <f t="shared" ref="N79:N102" si="13">L79/J79%</f>
        <v>55.548778513056902</v>
      </c>
      <c r="O79" s="25">
        <v>5469</v>
      </c>
      <c r="P79" s="39">
        <v>5651</v>
      </c>
      <c r="Q79" s="105">
        <f t="shared" ref="Q79:Q102" si="14">(P79-O79)/O79%</f>
        <v>3.327847869811666</v>
      </c>
      <c r="R79" s="31" t="s">
        <v>5</v>
      </c>
      <c r="S79" s="1">
        <v>1</v>
      </c>
    </row>
    <row r="80" spans="1:19" ht="14.25" x14ac:dyDescent="0.2">
      <c r="A80" s="23">
        <v>2</v>
      </c>
      <c r="B80" s="24" t="s">
        <v>87</v>
      </c>
      <c r="C80" s="25">
        <v>52</v>
      </c>
      <c r="D80" s="25">
        <v>30</v>
      </c>
      <c r="E80" s="25">
        <f>'[6]1.RSP Districts '!E80</f>
        <v>30</v>
      </c>
      <c r="F80" s="105">
        <f t="shared" si="10"/>
        <v>0</v>
      </c>
      <c r="G80" s="105">
        <f t="shared" si="11"/>
        <v>57.692307692307693</v>
      </c>
      <c r="H80" s="25">
        <v>131</v>
      </c>
      <c r="I80" s="25">
        <f>'[6]1.RSP Districts '!I80</f>
        <v>131</v>
      </c>
      <c r="J80" s="25">
        <v>164849</v>
      </c>
      <c r="K80" s="25">
        <v>37116</v>
      </c>
      <c r="L80" s="25">
        <f>'[6]1.RSP Districts '!L80</f>
        <v>37116</v>
      </c>
      <c r="M80" s="105">
        <f t="shared" si="12"/>
        <v>0</v>
      </c>
      <c r="N80" s="105">
        <f t="shared" si="13"/>
        <v>22.51515022839083</v>
      </c>
      <c r="O80" s="25">
        <v>1545</v>
      </c>
      <c r="P80" s="25">
        <f>'[6]1.RSP Districts '!P80</f>
        <v>0</v>
      </c>
      <c r="Q80" s="105">
        <f t="shared" si="14"/>
        <v>-100</v>
      </c>
      <c r="R80" s="32" t="s">
        <v>10</v>
      </c>
      <c r="S80" s="1">
        <v>1</v>
      </c>
    </row>
    <row r="81" spans="1:19" ht="14.25" x14ac:dyDescent="0.2">
      <c r="A81" s="23">
        <v>3</v>
      </c>
      <c r="B81" s="24" t="s">
        <v>88</v>
      </c>
      <c r="C81" s="34">
        <v>46</v>
      </c>
      <c r="D81" s="25">
        <v>37</v>
      </c>
      <c r="E81" s="25">
        <f>'[7]1.RSP Districts '!E81</f>
        <v>37</v>
      </c>
      <c r="F81" s="105">
        <f t="shared" si="10"/>
        <v>0</v>
      </c>
      <c r="G81" s="105">
        <f t="shared" si="11"/>
        <v>80.434782608695642</v>
      </c>
      <c r="H81" s="25">
        <v>281</v>
      </c>
      <c r="I81" s="25">
        <f>'[7]1.RSP Districts '!I81</f>
        <v>283</v>
      </c>
      <c r="J81" s="25">
        <v>158489</v>
      </c>
      <c r="K81" s="25">
        <v>122985</v>
      </c>
      <c r="L81" s="25">
        <f>'[7]1.RSP Districts '!L81</f>
        <v>123054</v>
      </c>
      <c r="M81" s="105">
        <f t="shared" si="12"/>
        <v>5.6104402975972682E-2</v>
      </c>
      <c r="N81" s="105">
        <f t="shared" si="13"/>
        <v>77.641981462435879</v>
      </c>
      <c r="O81" s="25">
        <v>6957</v>
      </c>
      <c r="P81" s="25">
        <f>'[7]1.RSP Districts '!P81</f>
        <v>6961</v>
      </c>
      <c r="Q81" s="105">
        <f t="shared" si="14"/>
        <v>5.7496047146758669E-2</v>
      </c>
      <c r="R81" s="31" t="s">
        <v>8</v>
      </c>
      <c r="S81" s="1">
        <v>1</v>
      </c>
    </row>
    <row r="82" spans="1:19" ht="14.25" x14ac:dyDescent="0.2">
      <c r="A82" s="23">
        <v>4</v>
      </c>
      <c r="B82" s="24" t="s">
        <v>89</v>
      </c>
      <c r="C82" s="25">
        <v>37</v>
      </c>
      <c r="D82" s="25">
        <v>20</v>
      </c>
      <c r="E82" s="39">
        <v>20</v>
      </c>
      <c r="F82" s="105">
        <f t="shared" si="10"/>
        <v>0</v>
      </c>
      <c r="G82" s="105">
        <f t="shared" si="11"/>
        <v>54.054054054054056</v>
      </c>
      <c r="H82" s="39">
        <v>121</v>
      </c>
      <c r="I82" s="40">
        <v>121</v>
      </c>
      <c r="J82" s="30">
        <v>128856</v>
      </c>
      <c r="K82" s="25">
        <v>11959</v>
      </c>
      <c r="L82" s="39">
        <v>11959</v>
      </c>
      <c r="M82" s="105">
        <f t="shared" si="12"/>
        <v>0</v>
      </c>
      <c r="N82" s="105">
        <f t="shared" si="13"/>
        <v>9.2809027131061033</v>
      </c>
      <c r="O82" s="25">
        <v>723</v>
      </c>
      <c r="P82" s="39">
        <v>723</v>
      </c>
      <c r="Q82" s="105">
        <f t="shared" si="14"/>
        <v>0</v>
      </c>
      <c r="R82" s="31" t="s">
        <v>5</v>
      </c>
      <c r="S82" s="1">
        <v>1</v>
      </c>
    </row>
    <row r="83" spans="1:19" ht="14.25" x14ac:dyDescent="0.2">
      <c r="A83" s="23">
        <v>5</v>
      </c>
      <c r="B83" s="24" t="s">
        <v>90</v>
      </c>
      <c r="C83" s="25">
        <v>40</v>
      </c>
      <c r="D83" s="25">
        <v>29</v>
      </c>
      <c r="E83" s="25">
        <f>'[7]1.RSP Districts '!E83</f>
        <v>29</v>
      </c>
      <c r="F83" s="105">
        <f t="shared" si="10"/>
        <v>0</v>
      </c>
      <c r="G83" s="105">
        <f t="shared" si="11"/>
        <v>72.5</v>
      </c>
      <c r="H83" s="25">
        <v>204</v>
      </c>
      <c r="I83" s="25">
        <f>'[7]1.RSP Districts '!I83</f>
        <v>204</v>
      </c>
      <c r="J83" s="25">
        <v>90682.077922077922</v>
      </c>
      <c r="K83" s="25">
        <v>84893</v>
      </c>
      <c r="L83" s="25">
        <f>'[7]1.RSP Districts '!L83</f>
        <v>84893</v>
      </c>
      <c r="M83" s="105">
        <f t="shared" si="12"/>
        <v>0</v>
      </c>
      <c r="N83" s="105">
        <f t="shared" si="13"/>
        <v>93.616072707274739</v>
      </c>
      <c r="O83" s="25">
        <v>5074</v>
      </c>
      <c r="P83" s="25">
        <f>'[7]1.RSP Districts '!P83</f>
        <v>5074</v>
      </c>
      <c r="Q83" s="105">
        <f t="shared" si="14"/>
        <v>0</v>
      </c>
      <c r="R83" s="31" t="s">
        <v>8</v>
      </c>
      <c r="S83" s="1">
        <v>1</v>
      </c>
    </row>
    <row r="84" spans="1:19" ht="14.25" x14ac:dyDescent="0.2">
      <c r="A84" s="23">
        <v>6</v>
      </c>
      <c r="B84" s="24" t="s">
        <v>91</v>
      </c>
      <c r="C84" s="25">
        <v>28</v>
      </c>
      <c r="D84" s="25">
        <v>12</v>
      </c>
      <c r="E84" s="25">
        <f>'[6]1.RSP Districts '!E84</f>
        <v>12</v>
      </c>
      <c r="F84" s="105">
        <f t="shared" si="10"/>
        <v>0</v>
      </c>
      <c r="G84" s="105">
        <f t="shared" si="11"/>
        <v>42.857142857142854</v>
      </c>
      <c r="H84" s="25">
        <v>78</v>
      </c>
      <c r="I84" s="25">
        <f>'[6]1.RSP Districts '!I84</f>
        <v>78</v>
      </c>
      <c r="J84" s="25">
        <v>88816</v>
      </c>
      <c r="K84" s="25">
        <v>26725</v>
      </c>
      <c r="L84" s="25">
        <f>'[6]1.RSP Districts '!L84</f>
        <v>26725</v>
      </c>
      <c r="M84" s="105">
        <f t="shared" si="12"/>
        <v>0</v>
      </c>
      <c r="N84" s="105">
        <f t="shared" si="13"/>
        <v>30.09029904521708</v>
      </c>
      <c r="O84" s="25">
        <v>554</v>
      </c>
      <c r="P84" s="25">
        <f>'[6]1.RSP Districts '!P84</f>
        <v>0</v>
      </c>
      <c r="Q84" s="105">
        <f t="shared" si="14"/>
        <v>-100</v>
      </c>
      <c r="R84" s="32" t="s">
        <v>10</v>
      </c>
      <c r="S84" s="1">
        <v>1</v>
      </c>
    </row>
    <row r="85" spans="1:19" ht="14.25" x14ac:dyDescent="0.2">
      <c r="A85" s="23">
        <v>7</v>
      </c>
      <c r="B85" s="24" t="s">
        <v>211</v>
      </c>
      <c r="C85" s="25">
        <v>0</v>
      </c>
      <c r="D85" s="25">
        <v>0</v>
      </c>
      <c r="E85" s="25">
        <v>0</v>
      </c>
      <c r="F85" s="105">
        <v>0</v>
      </c>
      <c r="G85" s="105">
        <v>0</v>
      </c>
      <c r="H85" s="105">
        <v>0</v>
      </c>
      <c r="I85" s="105">
        <v>0</v>
      </c>
      <c r="J85" s="25">
        <v>0</v>
      </c>
      <c r="K85" s="25">
        <v>0</v>
      </c>
      <c r="L85" s="25">
        <v>0</v>
      </c>
      <c r="M85" s="105">
        <v>0</v>
      </c>
      <c r="N85" s="105">
        <v>0</v>
      </c>
      <c r="O85" s="25">
        <v>0</v>
      </c>
      <c r="P85" s="26">
        <v>0</v>
      </c>
      <c r="Q85" s="105">
        <v>0</v>
      </c>
      <c r="R85" s="81">
        <v>0</v>
      </c>
      <c r="S85" s="1">
        <v>1</v>
      </c>
    </row>
    <row r="86" spans="1:19" ht="14.25" x14ac:dyDescent="0.2">
      <c r="A86" s="23">
        <v>8</v>
      </c>
      <c r="B86" s="24" t="s">
        <v>92</v>
      </c>
      <c r="C86" s="25">
        <v>37</v>
      </c>
      <c r="D86" s="25">
        <v>37</v>
      </c>
      <c r="E86" s="25">
        <f>'[7]1.RSP Districts '!E86</f>
        <v>37</v>
      </c>
      <c r="F86" s="105">
        <f t="shared" si="10"/>
        <v>0</v>
      </c>
      <c r="G86" s="105">
        <f t="shared" si="11"/>
        <v>100</v>
      </c>
      <c r="H86" s="25">
        <v>170</v>
      </c>
      <c r="I86" s="25">
        <f>'[7]1.RSP Districts '!I86</f>
        <v>170</v>
      </c>
      <c r="J86" s="25">
        <v>110969</v>
      </c>
      <c r="K86" s="25">
        <v>80708</v>
      </c>
      <c r="L86" s="25">
        <f>'[7]1.RSP Districts '!L86</f>
        <v>80708</v>
      </c>
      <c r="M86" s="105">
        <f t="shared" si="12"/>
        <v>0</v>
      </c>
      <c r="N86" s="105">
        <f t="shared" si="13"/>
        <v>72.73022195387901</v>
      </c>
      <c r="O86" s="25">
        <v>4787</v>
      </c>
      <c r="P86" s="25">
        <f>'[7]1.RSP Districts '!P86</f>
        <v>4787</v>
      </c>
      <c r="Q86" s="105">
        <f t="shared" si="14"/>
        <v>0</v>
      </c>
      <c r="R86" s="31" t="s">
        <v>8</v>
      </c>
      <c r="S86" s="1">
        <v>1</v>
      </c>
    </row>
    <row r="87" spans="1:19" ht="14.25" x14ac:dyDescent="0.2">
      <c r="A87" s="23">
        <v>9</v>
      </c>
      <c r="B87" s="33" t="s">
        <v>93</v>
      </c>
      <c r="C87" s="25">
        <v>76</v>
      </c>
      <c r="D87" s="25">
        <v>49</v>
      </c>
      <c r="E87" s="25">
        <f>'[7]1.RSP Districts '!E87</f>
        <v>49</v>
      </c>
      <c r="F87" s="105">
        <f t="shared" si="10"/>
        <v>0</v>
      </c>
      <c r="G87" s="105">
        <f t="shared" si="11"/>
        <v>64.473684210526315</v>
      </c>
      <c r="H87" s="25">
        <v>244</v>
      </c>
      <c r="I87" s="25">
        <f>'[7]1.RSP Districts '!I87</f>
        <v>244</v>
      </c>
      <c r="J87" s="25">
        <v>208270</v>
      </c>
      <c r="K87" s="25">
        <v>70400</v>
      </c>
      <c r="L87" s="25">
        <f>'[7]1.RSP Districts '!L87</f>
        <v>70400</v>
      </c>
      <c r="M87" s="105">
        <f t="shared" si="12"/>
        <v>0</v>
      </c>
      <c r="N87" s="105">
        <f t="shared" si="13"/>
        <v>33.802275891871133</v>
      </c>
      <c r="O87" s="25">
        <v>4078</v>
      </c>
      <c r="P87" s="25">
        <f>'[7]1.RSP Districts '!P87</f>
        <v>4078</v>
      </c>
      <c r="Q87" s="105">
        <f t="shared" si="14"/>
        <v>0</v>
      </c>
      <c r="R87" s="31" t="s">
        <v>8</v>
      </c>
      <c r="S87" s="1">
        <v>1</v>
      </c>
    </row>
    <row r="88" spans="1:19" ht="14.25" x14ac:dyDescent="0.2">
      <c r="A88" s="23">
        <v>10</v>
      </c>
      <c r="B88" s="24" t="s">
        <v>94</v>
      </c>
      <c r="C88" s="25">
        <v>44</v>
      </c>
      <c r="D88" s="25">
        <v>38</v>
      </c>
      <c r="E88" s="25">
        <f>'[7]1.RSP Districts '!E88</f>
        <v>38</v>
      </c>
      <c r="F88" s="105">
        <f t="shared" si="10"/>
        <v>0</v>
      </c>
      <c r="G88" s="105">
        <f t="shared" si="11"/>
        <v>86.36363636363636</v>
      </c>
      <c r="H88" s="25">
        <v>176</v>
      </c>
      <c r="I88" s="25">
        <f>'[7]1.RSP Districts '!I88</f>
        <v>178</v>
      </c>
      <c r="J88" s="25">
        <v>121639.04761904762</v>
      </c>
      <c r="K88" s="25">
        <v>37589</v>
      </c>
      <c r="L88" s="25">
        <f>'[7]1.RSP Districts '!L88</f>
        <v>37589</v>
      </c>
      <c r="M88" s="105">
        <f t="shared" si="12"/>
        <v>0</v>
      </c>
      <c r="N88" s="105">
        <f t="shared" si="13"/>
        <v>30.902083447514503</v>
      </c>
      <c r="O88" s="25">
        <v>3605</v>
      </c>
      <c r="P88" s="25">
        <f>'[7]1.RSP Districts '!P88</f>
        <v>3605</v>
      </c>
      <c r="Q88" s="105">
        <f t="shared" si="14"/>
        <v>0</v>
      </c>
      <c r="R88" s="31" t="s">
        <v>8</v>
      </c>
      <c r="S88" s="1">
        <v>1</v>
      </c>
    </row>
    <row r="89" spans="1:19" ht="14.25" x14ac:dyDescent="0.2">
      <c r="A89" s="23">
        <v>11</v>
      </c>
      <c r="B89" s="24" t="s">
        <v>95</v>
      </c>
      <c r="C89" s="25">
        <v>19</v>
      </c>
      <c r="D89" s="25">
        <v>15</v>
      </c>
      <c r="E89" s="39">
        <v>15</v>
      </c>
      <c r="F89" s="105">
        <f t="shared" si="10"/>
        <v>0</v>
      </c>
      <c r="G89" s="105">
        <f t="shared" si="11"/>
        <v>78.94736842105263</v>
      </c>
      <c r="H89" s="39">
        <v>21</v>
      </c>
      <c r="I89" s="40">
        <v>21</v>
      </c>
      <c r="J89" s="30">
        <v>47026</v>
      </c>
      <c r="K89" s="25">
        <v>23129</v>
      </c>
      <c r="L89" s="39">
        <v>23129</v>
      </c>
      <c r="M89" s="105">
        <f t="shared" si="12"/>
        <v>0</v>
      </c>
      <c r="N89" s="105">
        <f t="shared" si="13"/>
        <v>49.183430442733808</v>
      </c>
      <c r="O89" s="25">
        <v>1770</v>
      </c>
      <c r="P89" s="39">
        <v>1770</v>
      </c>
      <c r="Q89" s="105">
        <f t="shared" si="14"/>
        <v>0</v>
      </c>
      <c r="R89" s="31" t="s">
        <v>5</v>
      </c>
      <c r="S89" s="1">
        <v>1</v>
      </c>
    </row>
    <row r="90" spans="1:19" ht="14.25" x14ac:dyDescent="0.2">
      <c r="A90" s="23">
        <v>12</v>
      </c>
      <c r="B90" s="24" t="s">
        <v>96</v>
      </c>
      <c r="C90" s="25">
        <v>41</v>
      </c>
      <c r="D90" s="25">
        <v>41</v>
      </c>
      <c r="E90" s="39">
        <v>41</v>
      </c>
      <c r="F90" s="105">
        <f t="shared" si="10"/>
        <v>0</v>
      </c>
      <c r="G90" s="105">
        <f t="shared" si="11"/>
        <v>100</v>
      </c>
      <c r="H90" s="39">
        <v>329</v>
      </c>
      <c r="I90" s="40">
        <v>329</v>
      </c>
      <c r="J90" s="30">
        <v>111973</v>
      </c>
      <c r="K90" s="25">
        <v>69505</v>
      </c>
      <c r="L90" s="39">
        <v>69505</v>
      </c>
      <c r="M90" s="105">
        <f t="shared" si="12"/>
        <v>0</v>
      </c>
      <c r="N90" s="105">
        <f t="shared" si="13"/>
        <v>62.072999741008992</v>
      </c>
      <c r="O90" s="25">
        <v>4143</v>
      </c>
      <c r="P90" s="39">
        <v>4143</v>
      </c>
      <c r="Q90" s="105">
        <f t="shared" si="14"/>
        <v>0</v>
      </c>
      <c r="R90" s="31" t="s">
        <v>5</v>
      </c>
      <c r="S90" s="1">
        <v>1</v>
      </c>
    </row>
    <row r="91" spans="1:19" ht="14.25" x14ac:dyDescent="0.2">
      <c r="A91" s="23">
        <v>13</v>
      </c>
      <c r="B91" s="24" t="s">
        <v>97</v>
      </c>
      <c r="C91" s="25">
        <v>51</v>
      </c>
      <c r="D91" s="25">
        <v>39</v>
      </c>
      <c r="E91" s="25">
        <f>'[7]1.RSP Districts '!E91</f>
        <v>39</v>
      </c>
      <c r="F91" s="105">
        <f t="shared" si="10"/>
        <v>0</v>
      </c>
      <c r="G91" s="105">
        <f t="shared" si="11"/>
        <v>76.470588235294116</v>
      </c>
      <c r="H91" s="25">
        <v>141</v>
      </c>
      <c r="I91" s="25">
        <f>'[7]1.RSP Districts '!I91</f>
        <v>142</v>
      </c>
      <c r="J91" s="25">
        <v>164715</v>
      </c>
      <c r="K91" s="25">
        <v>24710</v>
      </c>
      <c r="L91" s="25">
        <f>'[7]1.RSP Districts '!L91</f>
        <v>24710</v>
      </c>
      <c r="M91" s="105">
        <f t="shared" si="12"/>
        <v>0</v>
      </c>
      <c r="N91" s="105">
        <f t="shared" si="13"/>
        <v>15.001669550435601</v>
      </c>
      <c r="O91" s="25">
        <v>1729</v>
      </c>
      <c r="P91" s="25">
        <f>'[7]1.RSP Districts '!P91</f>
        <v>1729</v>
      </c>
      <c r="Q91" s="105">
        <f t="shared" si="14"/>
        <v>0</v>
      </c>
      <c r="R91" s="31" t="s">
        <v>8</v>
      </c>
      <c r="S91" s="1">
        <v>1</v>
      </c>
    </row>
    <row r="92" spans="1:19" ht="14.25" x14ac:dyDescent="0.2">
      <c r="A92" s="23">
        <v>14</v>
      </c>
      <c r="B92" s="24" t="s">
        <v>98</v>
      </c>
      <c r="C92" s="25">
        <v>51</v>
      </c>
      <c r="D92" s="25">
        <v>27</v>
      </c>
      <c r="E92" s="39">
        <v>27</v>
      </c>
      <c r="F92" s="105">
        <f t="shared" si="10"/>
        <v>0</v>
      </c>
      <c r="G92" s="105">
        <f t="shared" si="11"/>
        <v>52.941176470588232</v>
      </c>
      <c r="H92" s="39">
        <v>54</v>
      </c>
      <c r="I92" s="40">
        <v>54</v>
      </c>
      <c r="J92" s="30">
        <v>141671</v>
      </c>
      <c r="K92" s="25">
        <v>3092</v>
      </c>
      <c r="L92" s="39">
        <v>3092</v>
      </c>
      <c r="M92" s="105">
        <f t="shared" si="12"/>
        <v>0</v>
      </c>
      <c r="N92" s="105">
        <f t="shared" si="13"/>
        <v>2.1825214758136808</v>
      </c>
      <c r="O92" s="25">
        <v>564</v>
      </c>
      <c r="P92" s="39">
        <v>564</v>
      </c>
      <c r="Q92" s="105">
        <f t="shared" si="14"/>
        <v>0</v>
      </c>
      <c r="R92" s="31" t="s">
        <v>5</v>
      </c>
      <c r="S92" s="1">
        <v>1</v>
      </c>
    </row>
    <row r="93" spans="1:19" ht="14.25" x14ac:dyDescent="0.2">
      <c r="A93" s="23">
        <v>15</v>
      </c>
      <c r="B93" s="24" t="s">
        <v>99</v>
      </c>
      <c r="C93" s="25">
        <v>40</v>
      </c>
      <c r="D93" s="25">
        <v>34</v>
      </c>
      <c r="E93" s="25">
        <f>'[7]1.RSP Districts '!E93</f>
        <v>34</v>
      </c>
      <c r="F93" s="105">
        <f t="shared" si="10"/>
        <v>0</v>
      </c>
      <c r="G93" s="105">
        <f t="shared" si="11"/>
        <v>85</v>
      </c>
      <c r="H93" s="25">
        <v>236</v>
      </c>
      <c r="I93" s="25">
        <f>'[7]1.RSP Districts '!I93</f>
        <v>236</v>
      </c>
      <c r="J93" s="25">
        <v>128408</v>
      </c>
      <c r="K93" s="25">
        <v>29475</v>
      </c>
      <c r="L93" s="25">
        <f>'[7]1.RSP Districts '!L93</f>
        <v>29475</v>
      </c>
      <c r="M93" s="105">
        <f t="shared" si="12"/>
        <v>0</v>
      </c>
      <c r="N93" s="105">
        <f t="shared" si="13"/>
        <v>22.954177309824935</v>
      </c>
      <c r="O93" s="25">
        <v>2221</v>
      </c>
      <c r="P93" s="25">
        <f>'[7]1.RSP Districts '!P93</f>
        <v>2221</v>
      </c>
      <c r="Q93" s="105">
        <f t="shared" si="14"/>
        <v>0</v>
      </c>
      <c r="R93" s="31" t="s">
        <v>8</v>
      </c>
      <c r="S93" s="1">
        <v>1</v>
      </c>
    </row>
    <row r="94" spans="1:19" ht="14.25" x14ac:dyDescent="0.2">
      <c r="A94" s="23">
        <v>16</v>
      </c>
      <c r="B94" s="24" t="s">
        <v>100</v>
      </c>
      <c r="C94" s="25">
        <v>55</v>
      </c>
      <c r="D94" s="25">
        <v>13</v>
      </c>
      <c r="E94" s="25">
        <f>D94</f>
        <v>13</v>
      </c>
      <c r="F94" s="105">
        <f t="shared" si="10"/>
        <v>0</v>
      </c>
      <c r="G94" s="105">
        <f t="shared" si="11"/>
        <v>23.636363636363633</v>
      </c>
      <c r="H94" s="25">
        <v>260</v>
      </c>
      <c r="I94" s="25">
        <f>H94</f>
        <v>260</v>
      </c>
      <c r="J94" s="25">
        <v>209191</v>
      </c>
      <c r="K94" s="25">
        <v>16500</v>
      </c>
      <c r="L94" s="25">
        <f>K94</f>
        <v>16500</v>
      </c>
      <c r="M94" s="105">
        <f t="shared" si="12"/>
        <v>0</v>
      </c>
      <c r="N94" s="105">
        <f t="shared" si="13"/>
        <v>7.8875286221682579</v>
      </c>
      <c r="O94" s="25">
        <v>860</v>
      </c>
      <c r="P94" s="25">
        <f>O94</f>
        <v>860</v>
      </c>
      <c r="Q94" s="105">
        <f t="shared" si="14"/>
        <v>0</v>
      </c>
      <c r="R94" s="31" t="s">
        <v>7</v>
      </c>
      <c r="S94" s="1">
        <v>1</v>
      </c>
    </row>
    <row r="95" spans="1:19" ht="14.25" x14ac:dyDescent="0.2">
      <c r="A95" s="23">
        <v>17</v>
      </c>
      <c r="B95" s="24" t="s">
        <v>101</v>
      </c>
      <c r="C95" s="25">
        <v>51</v>
      </c>
      <c r="D95" s="25">
        <v>50</v>
      </c>
      <c r="E95" s="25">
        <f>'[7]1.RSP Districts '!E95</f>
        <v>50</v>
      </c>
      <c r="F95" s="105">
        <f t="shared" si="10"/>
        <v>0</v>
      </c>
      <c r="G95" s="105">
        <f t="shared" si="11"/>
        <v>98.039215686274503</v>
      </c>
      <c r="H95" s="25">
        <v>222</v>
      </c>
      <c r="I95" s="25">
        <f>'[7]1.RSP Districts '!I95</f>
        <v>222</v>
      </c>
      <c r="J95" s="25">
        <v>122340</v>
      </c>
      <c r="K95" s="25">
        <v>104557</v>
      </c>
      <c r="L95" s="25">
        <f>'[7]1.RSP Districts '!L95</f>
        <v>104557</v>
      </c>
      <c r="M95" s="105">
        <f t="shared" si="12"/>
        <v>0</v>
      </c>
      <c r="N95" s="105">
        <f t="shared" si="13"/>
        <v>85.464279875756077</v>
      </c>
      <c r="O95" s="25">
        <v>5997</v>
      </c>
      <c r="P95" s="25">
        <f>'[7]1.RSP Districts '!P95</f>
        <v>5997</v>
      </c>
      <c r="Q95" s="105">
        <f t="shared" si="14"/>
        <v>0</v>
      </c>
      <c r="R95" s="31" t="s">
        <v>8</v>
      </c>
      <c r="S95" s="1">
        <v>1</v>
      </c>
    </row>
    <row r="96" spans="1:19" ht="14.25" x14ac:dyDescent="0.2">
      <c r="A96" s="23">
        <v>18</v>
      </c>
      <c r="B96" s="24" t="s">
        <v>102</v>
      </c>
      <c r="C96" s="25">
        <v>46</v>
      </c>
      <c r="D96" s="25">
        <v>25</v>
      </c>
      <c r="E96" s="25">
        <f>'[7]1.RSP Districts '!E96</f>
        <v>25</v>
      </c>
      <c r="F96" s="105">
        <f t="shared" si="10"/>
        <v>0</v>
      </c>
      <c r="G96" s="105">
        <f t="shared" si="11"/>
        <v>54.347826086956516</v>
      </c>
      <c r="H96" s="25">
        <v>190</v>
      </c>
      <c r="I96" s="25">
        <f>'[7]1.RSP Districts '!I96</f>
        <v>196</v>
      </c>
      <c r="J96" s="25">
        <v>78458</v>
      </c>
      <c r="K96" s="25">
        <v>36343</v>
      </c>
      <c r="L96" s="25">
        <f>'[7]1.RSP Districts '!L96</f>
        <v>36343</v>
      </c>
      <c r="M96" s="105">
        <f t="shared" si="12"/>
        <v>0</v>
      </c>
      <c r="N96" s="105">
        <f t="shared" si="13"/>
        <v>46.321598817201554</v>
      </c>
      <c r="O96" s="25">
        <v>2613</v>
      </c>
      <c r="P96" s="25">
        <f>'[7]1.RSP Districts '!P96</f>
        <v>2613</v>
      </c>
      <c r="Q96" s="105">
        <f t="shared" si="14"/>
        <v>0</v>
      </c>
      <c r="R96" s="31" t="s">
        <v>8</v>
      </c>
      <c r="S96" s="1">
        <v>1</v>
      </c>
    </row>
    <row r="97" spans="1:20" s="7" customFormat="1" ht="14.25" x14ac:dyDescent="0.2">
      <c r="A97" s="23">
        <v>19</v>
      </c>
      <c r="B97" s="24" t="s">
        <v>103</v>
      </c>
      <c r="C97" s="25">
        <v>19</v>
      </c>
      <c r="D97" s="25">
        <v>12</v>
      </c>
      <c r="E97" s="39">
        <v>12</v>
      </c>
      <c r="F97" s="105">
        <f t="shared" si="10"/>
        <v>0</v>
      </c>
      <c r="G97" s="105">
        <f t="shared" si="11"/>
        <v>63.157894736842103</v>
      </c>
      <c r="H97" s="39">
        <v>19</v>
      </c>
      <c r="I97" s="40">
        <v>19</v>
      </c>
      <c r="J97" s="30">
        <v>47082</v>
      </c>
      <c r="K97" s="25">
        <v>12702</v>
      </c>
      <c r="L97" s="39">
        <v>12702</v>
      </c>
      <c r="M97" s="105">
        <f t="shared" si="12"/>
        <v>0</v>
      </c>
      <c r="N97" s="105">
        <f t="shared" si="13"/>
        <v>26.978463106919843</v>
      </c>
      <c r="O97" s="25">
        <v>1025</v>
      </c>
      <c r="P97" s="39">
        <v>1025</v>
      </c>
      <c r="Q97" s="105">
        <f t="shared" si="14"/>
        <v>0</v>
      </c>
      <c r="R97" s="31" t="s">
        <v>5</v>
      </c>
      <c r="S97" s="1">
        <v>1</v>
      </c>
    </row>
    <row r="98" spans="1:20" s="7" customFormat="1" ht="14.25" x14ac:dyDescent="0.2">
      <c r="A98" s="23">
        <v>20</v>
      </c>
      <c r="B98" s="24" t="s">
        <v>104</v>
      </c>
      <c r="C98" s="25">
        <v>16</v>
      </c>
      <c r="D98" s="25">
        <v>13</v>
      </c>
      <c r="E98" s="39">
        <v>13</v>
      </c>
      <c r="F98" s="105">
        <f t="shared" si="10"/>
        <v>0</v>
      </c>
      <c r="G98" s="105">
        <f t="shared" si="11"/>
        <v>81.25</v>
      </c>
      <c r="H98" s="39">
        <v>66</v>
      </c>
      <c r="I98" s="40">
        <v>66</v>
      </c>
      <c r="J98" s="30">
        <v>39648</v>
      </c>
      <c r="K98" s="25">
        <v>17546</v>
      </c>
      <c r="L98" s="39">
        <v>17546</v>
      </c>
      <c r="M98" s="105">
        <f t="shared" si="12"/>
        <v>0</v>
      </c>
      <c r="N98" s="105">
        <f t="shared" si="13"/>
        <v>44.254439063761097</v>
      </c>
      <c r="O98" s="25">
        <v>1065</v>
      </c>
      <c r="P98" s="39">
        <v>1065</v>
      </c>
      <c r="Q98" s="105">
        <f t="shared" si="14"/>
        <v>0</v>
      </c>
      <c r="R98" s="31" t="s">
        <v>5</v>
      </c>
      <c r="S98" s="1">
        <v>1</v>
      </c>
    </row>
    <row r="99" spans="1:20" s="7" customFormat="1" ht="14.25" x14ac:dyDescent="0.2">
      <c r="A99" s="23">
        <v>21</v>
      </c>
      <c r="B99" s="24" t="s">
        <v>105</v>
      </c>
      <c r="C99" s="25">
        <v>44</v>
      </c>
      <c r="D99" s="25">
        <v>44</v>
      </c>
      <c r="E99" s="25">
        <f>'[6]1.RSP Districts '!E99</f>
        <v>44</v>
      </c>
      <c r="F99" s="105">
        <f t="shared" si="10"/>
        <v>0</v>
      </c>
      <c r="G99" s="105">
        <f t="shared" si="11"/>
        <v>100</v>
      </c>
      <c r="H99" s="25">
        <v>166</v>
      </c>
      <c r="I99" s="25">
        <f>'[6]1.RSP Districts '!I99</f>
        <v>166</v>
      </c>
      <c r="J99" s="25">
        <v>159486</v>
      </c>
      <c r="K99" s="25">
        <v>159495</v>
      </c>
      <c r="L99" s="25">
        <f>'[6]1.RSP Districts '!L99</f>
        <v>159605</v>
      </c>
      <c r="M99" s="105">
        <f t="shared" si="12"/>
        <v>6.8967679237593657E-2</v>
      </c>
      <c r="N99" s="105">
        <f t="shared" si="13"/>
        <v>100.07461469972287</v>
      </c>
      <c r="O99" s="25">
        <v>11455</v>
      </c>
      <c r="P99" s="25">
        <v>30</v>
      </c>
      <c r="Q99" s="105">
        <f t="shared" si="14"/>
        <v>-99.738105630728938</v>
      </c>
      <c r="R99" s="32" t="s">
        <v>10</v>
      </c>
      <c r="S99" s="1">
        <v>1</v>
      </c>
      <c r="T99" s="7">
        <f>8</f>
        <v>8</v>
      </c>
    </row>
    <row r="100" spans="1:20" s="7" customFormat="1" ht="14.25" x14ac:dyDescent="0.2">
      <c r="A100" s="23">
        <v>22</v>
      </c>
      <c r="B100" s="24" t="s">
        <v>106</v>
      </c>
      <c r="C100" s="25">
        <v>55</v>
      </c>
      <c r="D100" s="25">
        <v>52</v>
      </c>
      <c r="E100" s="39">
        <v>52</v>
      </c>
      <c r="F100" s="105">
        <f t="shared" si="10"/>
        <v>0</v>
      </c>
      <c r="G100" s="105">
        <f t="shared" si="11"/>
        <v>94.545454545454533</v>
      </c>
      <c r="H100" s="39">
        <v>298</v>
      </c>
      <c r="I100" s="40">
        <v>298</v>
      </c>
      <c r="J100" s="30">
        <v>202554</v>
      </c>
      <c r="K100" s="25">
        <v>37210</v>
      </c>
      <c r="L100" s="39">
        <v>37613</v>
      </c>
      <c r="M100" s="105">
        <f t="shared" si="12"/>
        <v>1.083042192958882</v>
      </c>
      <c r="N100" s="105">
        <f t="shared" si="13"/>
        <v>18.569369155879421</v>
      </c>
      <c r="O100" s="25">
        <v>2124</v>
      </c>
      <c r="P100" s="39">
        <v>2145</v>
      </c>
      <c r="Q100" s="105">
        <f t="shared" si="14"/>
        <v>0.98870056497175152</v>
      </c>
      <c r="R100" s="31" t="s">
        <v>5</v>
      </c>
      <c r="S100" s="1">
        <v>1</v>
      </c>
    </row>
    <row r="101" spans="1:20" s="7" customFormat="1" thickBot="1" x14ac:dyDescent="0.25">
      <c r="A101" s="37">
        <v>23</v>
      </c>
      <c r="B101" s="38" t="s">
        <v>107</v>
      </c>
      <c r="C101" s="39">
        <v>27</v>
      </c>
      <c r="D101" s="25">
        <v>27</v>
      </c>
      <c r="E101" s="25">
        <f>'[6]1.RSP Districts '!E101</f>
        <v>27</v>
      </c>
      <c r="F101" s="140">
        <f t="shared" si="10"/>
        <v>0</v>
      </c>
      <c r="G101" s="140">
        <f t="shared" si="11"/>
        <v>100</v>
      </c>
      <c r="H101" s="39">
        <v>186</v>
      </c>
      <c r="I101" s="25">
        <f>'[6]1.RSP Districts '!I101</f>
        <v>186</v>
      </c>
      <c r="J101" s="39">
        <v>106515</v>
      </c>
      <c r="K101" s="25">
        <v>42962</v>
      </c>
      <c r="L101" s="25">
        <f>'[6]1.RSP Districts '!L101</f>
        <v>43037</v>
      </c>
      <c r="M101" s="140">
        <f t="shared" si="12"/>
        <v>0.17457287835761837</v>
      </c>
      <c r="N101" s="140">
        <f t="shared" si="13"/>
        <v>40.404637844435051</v>
      </c>
      <c r="O101" s="25">
        <v>2651</v>
      </c>
      <c r="P101" s="25">
        <f>'[6]1.RSP Districts '!P101</f>
        <v>5</v>
      </c>
      <c r="Q101" s="140">
        <f t="shared" si="14"/>
        <v>-99.811391927574491</v>
      </c>
      <c r="R101" s="42" t="s">
        <v>10</v>
      </c>
      <c r="S101" s="1">
        <v>1</v>
      </c>
    </row>
    <row r="102" spans="1:20" s="5" customFormat="1" ht="15.75" thickBot="1" x14ac:dyDescent="0.3">
      <c r="A102" s="156">
        <f>COUNTIF(R79:R101,"*")</f>
        <v>22</v>
      </c>
      <c r="B102" s="155" t="s">
        <v>84</v>
      </c>
      <c r="C102" s="57">
        <f>SUM(C79:C101)</f>
        <v>921</v>
      </c>
      <c r="D102" s="57">
        <f>SUM(D79:D101)</f>
        <v>690</v>
      </c>
      <c r="E102" s="57">
        <f>SUM(E79:E101)</f>
        <v>690</v>
      </c>
      <c r="F102" s="157">
        <f t="shared" si="10"/>
        <v>0</v>
      </c>
      <c r="G102" s="157">
        <f t="shared" si="11"/>
        <v>74.918566775244287</v>
      </c>
      <c r="H102" s="157">
        <f>SUM(H79:H101)</f>
        <v>3942</v>
      </c>
      <c r="I102" s="157">
        <f>SUM(I79:I101)</f>
        <v>3953</v>
      </c>
      <c r="J102" s="57">
        <f>SUM(J79:J101)</f>
        <v>2816903.1255411254</v>
      </c>
      <c r="K102" s="57">
        <f>SUM(K79:K101)</f>
        <v>1149234</v>
      </c>
      <c r="L102" s="57">
        <f>SUM(L79:L101)</f>
        <v>1153171</v>
      </c>
      <c r="M102" s="157">
        <f t="shared" si="12"/>
        <v>0.3425760114998338</v>
      </c>
      <c r="N102" s="157">
        <f t="shared" si="13"/>
        <v>40.937545545819098</v>
      </c>
      <c r="O102" s="57">
        <f>SUM(O79:O101)</f>
        <v>71009</v>
      </c>
      <c r="P102" s="57">
        <f>SUM(P79:P101)</f>
        <v>55046</v>
      </c>
      <c r="Q102" s="157">
        <f t="shared" si="14"/>
        <v>-22.480248982523342</v>
      </c>
      <c r="R102" s="159"/>
      <c r="S102" s="1">
        <v>1</v>
      </c>
    </row>
    <row r="103" spans="1:20" ht="5.25" customHeight="1" thickBot="1" x14ac:dyDescent="0.25">
      <c r="A103" s="35"/>
      <c r="B103" s="36"/>
      <c r="C103" s="28"/>
      <c r="D103" s="28"/>
      <c r="E103" s="28"/>
      <c r="F103" s="106"/>
      <c r="G103" s="106"/>
      <c r="H103" s="106"/>
      <c r="I103" s="106"/>
      <c r="J103" s="28"/>
      <c r="K103" s="28"/>
      <c r="L103" s="28"/>
      <c r="M103" s="28"/>
      <c r="N103" s="28"/>
      <c r="O103" s="28"/>
      <c r="P103" s="28"/>
      <c r="Q103" s="28"/>
      <c r="R103" s="15"/>
      <c r="S103" s="1">
        <v>1</v>
      </c>
    </row>
    <row r="104" spans="1:20" s="6" customFormat="1" ht="14.25" x14ac:dyDescent="0.2">
      <c r="A104" s="18" t="s">
        <v>108</v>
      </c>
      <c r="B104" s="19"/>
      <c r="C104" s="20"/>
      <c r="D104" s="29"/>
      <c r="E104" s="29"/>
      <c r="F104" s="107"/>
      <c r="G104" s="107"/>
      <c r="H104" s="107"/>
      <c r="I104" s="107"/>
      <c r="J104" s="20"/>
      <c r="K104" s="29"/>
      <c r="L104" s="29"/>
      <c r="M104" s="29"/>
      <c r="N104" s="29"/>
      <c r="O104" s="29"/>
      <c r="P104" s="29"/>
      <c r="Q104" s="29"/>
      <c r="R104" s="22"/>
      <c r="S104" s="1">
        <v>1</v>
      </c>
    </row>
    <row r="105" spans="1:20" s="7" customFormat="1" ht="14.25" x14ac:dyDescent="0.2">
      <c r="A105" s="23">
        <v>1</v>
      </c>
      <c r="B105" s="24" t="s">
        <v>109</v>
      </c>
      <c r="C105" s="30">
        <v>65</v>
      </c>
      <c r="D105" s="25">
        <v>12</v>
      </c>
      <c r="E105" s="25">
        <v>12</v>
      </c>
      <c r="F105" s="105">
        <f t="shared" ref="F105:F153" si="15">(E105-D105)/D105%</f>
        <v>0</v>
      </c>
      <c r="G105" s="105">
        <f t="shared" ref="G105:G153" si="16">E105/C105%</f>
        <v>18.46153846153846</v>
      </c>
      <c r="H105" s="25">
        <v>69</v>
      </c>
      <c r="I105" s="25">
        <f>'[5]1.RSP Districts '!I105</f>
        <v>69</v>
      </c>
      <c r="J105" s="25">
        <v>164849</v>
      </c>
      <c r="K105" s="25">
        <v>18782</v>
      </c>
      <c r="L105" s="25">
        <f>'[5]1.RSP Districts '!L105</f>
        <v>19147</v>
      </c>
      <c r="M105" s="105">
        <f t="shared" ref="M105:M153" si="17">(L105-K105)/K105%</f>
        <v>1.9433500159727399</v>
      </c>
      <c r="N105" s="105">
        <f t="shared" ref="N105:N153" si="18">L105/J105%</f>
        <v>11.614871791760946</v>
      </c>
      <c r="O105" s="25">
        <v>1579</v>
      </c>
      <c r="P105" s="25">
        <f>'[5]1.RSP Districts '!P105</f>
        <v>1610</v>
      </c>
      <c r="Q105" s="105">
        <f t="shared" ref="Q105:Q153" si="19">(P105-O105)/O105%</f>
        <v>1.9632678910702979</v>
      </c>
      <c r="R105" s="32" t="s">
        <v>4</v>
      </c>
      <c r="S105" s="1">
        <v>1</v>
      </c>
      <c r="T105" s="165"/>
    </row>
    <row r="106" spans="1:20" ht="14.25" x14ac:dyDescent="0.2">
      <c r="A106" s="23">
        <v>1</v>
      </c>
      <c r="B106" s="24" t="s">
        <v>110</v>
      </c>
      <c r="C106" s="25">
        <v>65</v>
      </c>
      <c r="D106" s="25">
        <v>64</v>
      </c>
      <c r="E106" s="39">
        <v>64</v>
      </c>
      <c r="F106" s="105">
        <f t="shared" si="15"/>
        <v>0</v>
      </c>
      <c r="G106" s="105">
        <f t="shared" si="16"/>
        <v>98.461538461538453</v>
      </c>
      <c r="H106" s="39">
        <v>454</v>
      </c>
      <c r="I106" s="39">
        <v>454</v>
      </c>
      <c r="J106" s="25">
        <v>164849</v>
      </c>
      <c r="K106" s="25">
        <v>66651</v>
      </c>
      <c r="L106" s="39">
        <v>66651</v>
      </c>
      <c r="M106" s="105">
        <f t="shared" si="17"/>
        <v>0</v>
      </c>
      <c r="N106" s="105">
        <f t="shared" si="18"/>
        <v>40.431546445535005</v>
      </c>
      <c r="O106" s="25">
        <v>4318</v>
      </c>
      <c r="P106" s="39">
        <v>4318</v>
      </c>
      <c r="Q106" s="105">
        <f t="shared" si="19"/>
        <v>0</v>
      </c>
      <c r="R106" s="27" t="s">
        <v>5</v>
      </c>
      <c r="S106" s="1">
        <v>1</v>
      </c>
      <c r="T106" s="165"/>
    </row>
    <row r="107" spans="1:20" s="7" customFormat="1" ht="14.25" x14ac:dyDescent="0.2">
      <c r="A107" s="23">
        <v>2</v>
      </c>
      <c r="B107" s="24" t="s">
        <v>111</v>
      </c>
      <c r="C107" s="25">
        <v>101</v>
      </c>
      <c r="D107" s="25">
        <v>101</v>
      </c>
      <c r="E107" s="39">
        <v>101</v>
      </c>
      <c r="F107" s="105">
        <f t="shared" si="15"/>
        <v>0</v>
      </c>
      <c r="G107" s="105">
        <f t="shared" si="16"/>
        <v>100</v>
      </c>
      <c r="H107" s="39">
        <v>869</v>
      </c>
      <c r="I107" s="40">
        <v>869</v>
      </c>
      <c r="J107" s="30">
        <v>158489</v>
      </c>
      <c r="K107" s="25">
        <v>212125</v>
      </c>
      <c r="L107" s="39">
        <v>214892</v>
      </c>
      <c r="M107" s="105">
        <f t="shared" si="17"/>
        <v>1.3044195639363583</v>
      </c>
      <c r="N107" s="105">
        <f t="shared" si="18"/>
        <v>135.58795878578323</v>
      </c>
      <c r="O107" s="25">
        <v>15377</v>
      </c>
      <c r="P107" s="39">
        <v>15520</v>
      </c>
      <c r="Q107" s="105">
        <f t="shared" si="19"/>
        <v>0.92996033036352987</v>
      </c>
      <c r="R107" s="32" t="s">
        <v>5</v>
      </c>
      <c r="S107" s="1">
        <v>1</v>
      </c>
      <c r="T107" s="165"/>
    </row>
    <row r="108" spans="1:20" s="7" customFormat="1" ht="14.25" x14ac:dyDescent="0.2">
      <c r="A108" s="23">
        <v>3</v>
      </c>
      <c r="B108" s="24" t="s">
        <v>112</v>
      </c>
      <c r="C108" s="25">
        <v>97</v>
      </c>
      <c r="D108" s="25">
        <v>97</v>
      </c>
      <c r="E108" s="39">
        <v>97</v>
      </c>
      <c r="F108" s="105">
        <f t="shared" si="15"/>
        <v>0</v>
      </c>
      <c r="G108" s="105">
        <f t="shared" si="16"/>
        <v>100</v>
      </c>
      <c r="H108" s="39">
        <v>609</v>
      </c>
      <c r="I108" s="40">
        <v>609</v>
      </c>
      <c r="J108" s="30">
        <v>128856</v>
      </c>
      <c r="K108" s="25">
        <v>264491</v>
      </c>
      <c r="L108" s="39">
        <v>264491</v>
      </c>
      <c r="M108" s="105">
        <f t="shared" si="17"/>
        <v>0</v>
      </c>
      <c r="N108" s="105">
        <f t="shared" si="18"/>
        <v>205.2609114049792</v>
      </c>
      <c r="O108" s="25">
        <v>17855</v>
      </c>
      <c r="P108" s="39">
        <v>17855</v>
      </c>
      <c r="Q108" s="105">
        <f t="shared" si="19"/>
        <v>0</v>
      </c>
      <c r="R108" s="32" t="s">
        <v>5</v>
      </c>
      <c r="S108" s="1">
        <v>1</v>
      </c>
      <c r="T108" s="165"/>
    </row>
    <row r="109" spans="1:20" s="7" customFormat="1" ht="14.25" x14ac:dyDescent="0.2">
      <c r="A109" s="23">
        <v>4</v>
      </c>
      <c r="B109" s="24" t="s">
        <v>113</v>
      </c>
      <c r="C109" s="25">
        <v>42</v>
      </c>
      <c r="D109" s="25">
        <v>40</v>
      </c>
      <c r="E109" s="39">
        <v>40</v>
      </c>
      <c r="F109" s="105">
        <f t="shared" si="15"/>
        <v>0</v>
      </c>
      <c r="G109" s="105">
        <f t="shared" si="16"/>
        <v>95.238095238095241</v>
      </c>
      <c r="H109" s="39">
        <v>530</v>
      </c>
      <c r="I109" s="40">
        <v>530</v>
      </c>
      <c r="J109" s="30">
        <v>90682.077922077922</v>
      </c>
      <c r="K109" s="25">
        <v>143276</v>
      </c>
      <c r="L109" s="39">
        <v>151389</v>
      </c>
      <c r="M109" s="105">
        <f t="shared" si="17"/>
        <v>5.6624975571623999</v>
      </c>
      <c r="N109" s="105">
        <f t="shared" si="18"/>
        <v>166.94478497734343</v>
      </c>
      <c r="O109" s="25">
        <v>8957</v>
      </c>
      <c r="P109" s="39">
        <v>9495</v>
      </c>
      <c r="Q109" s="105">
        <f t="shared" si="19"/>
        <v>6.0064753823824946</v>
      </c>
      <c r="R109" s="32" t="s">
        <v>5</v>
      </c>
      <c r="S109" s="1">
        <v>1</v>
      </c>
      <c r="T109" s="165"/>
    </row>
    <row r="110" spans="1:20" s="7" customFormat="1" ht="14.25" x14ac:dyDescent="0.2">
      <c r="A110" s="23">
        <v>5</v>
      </c>
      <c r="B110" s="24" t="s">
        <v>114</v>
      </c>
      <c r="C110" s="25">
        <v>65</v>
      </c>
      <c r="D110" s="25">
        <v>60</v>
      </c>
      <c r="E110" s="39">
        <v>60</v>
      </c>
      <c r="F110" s="105">
        <f t="shared" si="15"/>
        <v>0</v>
      </c>
      <c r="G110" s="105">
        <f t="shared" si="16"/>
        <v>92.307692307692307</v>
      </c>
      <c r="H110" s="39">
        <v>418</v>
      </c>
      <c r="I110" s="40">
        <v>418</v>
      </c>
      <c r="J110" s="30">
        <v>88816</v>
      </c>
      <c r="K110" s="25">
        <v>69180</v>
      </c>
      <c r="L110" s="39">
        <v>69533</v>
      </c>
      <c r="M110" s="105">
        <f t="shared" si="17"/>
        <v>0.51026308181555369</v>
      </c>
      <c r="N110" s="105">
        <f t="shared" si="18"/>
        <v>78.28882183390381</v>
      </c>
      <c r="O110" s="25">
        <v>3764</v>
      </c>
      <c r="P110" s="39">
        <v>3787</v>
      </c>
      <c r="Q110" s="105">
        <f t="shared" si="19"/>
        <v>0.61105207226354941</v>
      </c>
      <c r="R110" s="32" t="s">
        <v>5</v>
      </c>
      <c r="S110" s="1">
        <v>1</v>
      </c>
      <c r="T110" s="165"/>
    </row>
    <row r="111" spans="1:20" s="7" customFormat="1" ht="14.25" x14ac:dyDescent="0.2">
      <c r="A111" s="23">
        <v>6</v>
      </c>
      <c r="B111" s="24" t="s">
        <v>247</v>
      </c>
      <c r="C111" s="25">
        <v>42</v>
      </c>
      <c r="D111" s="25">
        <v>0</v>
      </c>
      <c r="E111" s="25">
        <f>'[8]1.RSP Districts '!E111</f>
        <v>0</v>
      </c>
      <c r="F111" s="105">
        <v>0</v>
      </c>
      <c r="G111" s="105">
        <f t="shared" si="16"/>
        <v>0</v>
      </c>
      <c r="H111" s="25">
        <v>0</v>
      </c>
      <c r="I111" s="25">
        <f>'[8]1.RSP Districts '!H111</f>
        <v>0</v>
      </c>
      <c r="J111" s="176">
        <v>81625.384615384493</v>
      </c>
      <c r="K111" s="25">
        <v>1069</v>
      </c>
      <c r="L111" s="25">
        <f>'[8]1.RSP Districts '!K111</f>
        <v>1069</v>
      </c>
      <c r="M111" s="105">
        <f t="shared" si="17"/>
        <v>0</v>
      </c>
      <c r="N111" s="105">
        <v>0</v>
      </c>
      <c r="O111" s="25">
        <v>60</v>
      </c>
      <c r="P111" s="25">
        <f>'[8]1.RSP Districts '!O111</f>
        <v>60</v>
      </c>
      <c r="Q111" s="105">
        <f t="shared" si="19"/>
        <v>0</v>
      </c>
      <c r="R111" s="81" t="s">
        <v>6</v>
      </c>
      <c r="S111" s="1">
        <v>1</v>
      </c>
      <c r="T111" s="165"/>
    </row>
    <row r="112" spans="1:20" s="7" customFormat="1" ht="14.25" x14ac:dyDescent="0.2">
      <c r="A112" s="23">
        <v>7</v>
      </c>
      <c r="B112" s="24" t="s">
        <v>115</v>
      </c>
      <c r="C112" s="25">
        <v>55</v>
      </c>
      <c r="D112" s="25">
        <v>50</v>
      </c>
      <c r="E112" s="39">
        <v>50</v>
      </c>
      <c r="F112" s="105">
        <f t="shared" si="15"/>
        <v>0</v>
      </c>
      <c r="G112" s="105">
        <f t="shared" si="16"/>
        <v>90.909090909090907</v>
      </c>
      <c r="H112" s="39">
        <v>492</v>
      </c>
      <c r="I112" s="39">
        <v>492</v>
      </c>
      <c r="J112" s="25">
        <v>208270</v>
      </c>
      <c r="K112" s="25">
        <v>131480</v>
      </c>
      <c r="L112" s="39">
        <v>131700</v>
      </c>
      <c r="M112" s="105">
        <f t="shared" si="17"/>
        <v>0.16732582902342563</v>
      </c>
      <c r="N112" s="105">
        <f t="shared" si="18"/>
        <v>63.235223507946422</v>
      </c>
      <c r="O112" s="25">
        <v>9526</v>
      </c>
      <c r="P112" s="39">
        <v>9548</v>
      </c>
      <c r="Q112" s="105">
        <f t="shared" si="19"/>
        <v>0.23094688221709006</v>
      </c>
      <c r="R112" s="32" t="s">
        <v>5</v>
      </c>
      <c r="S112" s="1">
        <v>1</v>
      </c>
      <c r="T112" s="165"/>
    </row>
    <row r="113" spans="1:20" s="7" customFormat="1" ht="14.25" x14ac:dyDescent="0.2">
      <c r="A113" s="23">
        <v>7</v>
      </c>
      <c r="B113" s="24" t="s">
        <v>248</v>
      </c>
      <c r="C113" s="25">
        <v>55</v>
      </c>
      <c r="D113" s="25">
        <v>0</v>
      </c>
      <c r="E113" s="25">
        <f>'[8]1.RSP Districts '!E113</f>
        <v>0</v>
      </c>
      <c r="F113" s="105">
        <v>0</v>
      </c>
      <c r="G113" s="105">
        <f t="shared" si="16"/>
        <v>0</v>
      </c>
      <c r="H113" s="25">
        <v>0</v>
      </c>
      <c r="I113" s="25">
        <f>'[8]1.RSP Districts '!H113</f>
        <v>0</v>
      </c>
      <c r="J113" s="25">
        <v>208270</v>
      </c>
      <c r="K113" s="25">
        <v>20260</v>
      </c>
      <c r="L113" s="25">
        <f>'[8]1.RSP Districts '!K113</f>
        <v>20260</v>
      </c>
      <c r="M113" s="105">
        <f t="shared" si="17"/>
        <v>0</v>
      </c>
      <c r="N113" s="105">
        <f t="shared" si="18"/>
        <v>9.7277572382004145</v>
      </c>
      <c r="O113" s="25">
        <v>1302</v>
      </c>
      <c r="P113" s="25">
        <f>'[8]1.RSP Districts '!O113</f>
        <v>1302</v>
      </c>
      <c r="Q113" s="105">
        <f t="shared" si="19"/>
        <v>0</v>
      </c>
      <c r="R113" s="32" t="s">
        <v>6</v>
      </c>
      <c r="S113" s="1">
        <v>1</v>
      </c>
      <c r="T113" s="165"/>
    </row>
    <row r="114" spans="1:20" s="7" customFormat="1" ht="14.25" x14ac:dyDescent="0.2">
      <c r="A114" s="23">
        <v>8</v>
      </c>
      <c r="B114" s="24" t="s">
        <v>116</v>
      </c>
      <c r="C114" s="25">
        <v>71</v>
      </c>
      <c r="D114" s="25">
        <v>71</v>
      </c>
      <c r="E114" s="25">
        <f>'[8]1.RSP Districts '!E114</f>
        <v>71</v>
      </c>
      <c r="F114" s="105">
        <f t="shared" si="15"/>
        <v>0</v>
      </c>
      <c r="G114" s="105">
        <f t="shared" si="16"/>
        <v>100</v>
      </c>
      <c r="H114" s="25">
        <v>336</v>
      </c>
      <c r="I114" s="25">
        <f>'[8]1.RSP Districts '!H114</f>
        <v>336</v>
      </c>
      <c r="J114" s="25">
        <v>121639.04761904762</v>
      </c>
      <c r="K114" s="25">
        <v>57935</v>
      </c>
      <c r="L114" s="25">
        <f>'[8]1.RSP Districts '!K114</f>
        <v>59508</v>
      </c>
      <c r="M114" s="105">
        <f t="shared" si="17"/>
        <v>2.7151117631828772</v>
      </c>
      <c r="N114" s="105">
        <f t="shared" si="18"/>
        <v>48.921790465154515</v>
      </c>
      <c r="O114" s="25">
        <v>3802</v>
      </c>
      <c r="P114" s="25">
        <f>'[8]1.RSP Districts '!O114</f>
        <v>3896</v>
      </c>
      <c r="Q114" s="105">
        <f t="shared" si="19"/>
        <v>2.4723829563387687</v>
      </c>
      <c r="R114" s="32" t="s">
        <v>6</v>
      </c>
      <c r="S114" s="1">
        <v>1</v>
      </c>
      <c r="T114" s="165"/>
    </row>
    <row r="115" spans="1:20" s="7" customFormat="1" ht="14.25" x14ac:dyDescent="0.2">
      <c r="A115" s="23">
        <v>9</v>
      </c>
      <c r="B115" s="24" t="s">
        <v>117</v>
      </c>
      <c r="C115" s="25">
        <v>97</v>
      </c>
      <c r="D115" s="25">
        <v>62</v>
      </c>
      <c r="E115" s="25">
        <f>'[8]1.RSP Districts '!E115</f>
        <v>62</v>
      </c>
      <c r="F115" s="105">
        <f t="shared" si="15"/>
        <v>0</v>
      </c>
      <c r="G115" s="105">
        <f t="shared" si="16"/>
        <v>63.917525773195877</v>
      </c>
      <c r="H115" s="25">
        <v>372</v>
      </c>
      <c r="I115" s="25">
        <f>'[8]1.RSP Districts '!H115</f>
        <v>372</v>
      </c>
      <c r="J115" s="25">
        <v>47026</v>
      </c>
      <c r="K115" s="25">
        <v>50598</v>
      </c>
      <c r="L115" s="25">
        <f>'[8]1.RSP Districts '!K115</f>
        <v>52485</v>
      </c>
      <c r="M115" s="105">
        <f t="shared" si="17"/>
        <v>3.7293964188307838</v>
      </c>
      <c r="N115" s="105">
        <f t="shared" si="18"/>
        <v>111.60847190915663</v>
      </c>
      <c r="O115" s="25">
        <v>2919</v>
      </c>
      <c r="P115" s="25">
        <f>'[8]1.RSP Districts '!O115</f>
        <v>2993</v>
      </c>
      <c r="Q115" s="105">
        <f t="shared" si="19"/>
        <v>2.5351147653305928</v>
      </c>
      <c r="R115" s="32" t="s">
        <v>6</v>
      </c>
      <c r="S115" s="1">
        <v>1</v>
      </c>
      <c r="T115" s="165"/>
    </row>
    <row r="116" spans="1:20" s="7" customFormat="1" ht="14.25" x14ac:dyDescent="0.2">
      <c r="A116" s="23">
        <v>10</v>
      </c>
      <c r="B116" s="24" t="s">
        <v>118</v>
      </c>
      <c r="C116" s="25">
        <v>87</v>
      </c>
      <c r="D116" s="25">
        <v>35</v>
      </c>
      <c r="E116" s="25">
        <f>'[8]1.RSP Districts '!E116</f>
        <v>35</v>
      </c>
      <c r="F116" s="105">
        <f t="shared" si="15"/>
        <v>0</v>
      </c>
      <c r="G116" s="105">
        <f t="shared" si="16"/>
        <v>40.229885057471265</v>
      </c>
      <c r="H116" s="25">
        <v>368</v>
      </c>
      <c r="I116" s="25">
        <f>'[8]1.RSP Districts '!H116</f>
        <v>368</v>
      </c>
      <c r="J116" s="25">
        <v>111973</v>
      </c>
      <c r="K116" s="25">
        <v>46713</v>
      </c>
      <c r="L116" s="25">
        <f>'[8]1.RSP Districts '!K116</f>
        <v>47721</v>
      </c>
      <c r="M116" s="105">
        <f t="shared" si="17"/>
        <v>2.1578575557125426</v>
      </c>
      <c r="N116" s="105">
        <f t="shared" si="18"/>
        <v>42.618309771105537</v>
      </c>
      <c r="O116" s="25">
        <v>2995</v>
      </c>
      <c r="P116" s="25">
        <f>'[8]1.RSP Districts '!O116</f>
        <v>3046</v>
      </c>
      <c r="Q116" s="105">
        <f t="shared" si="19"/>
        <v>1.7028380634390652</v>
      </c>
      <c r="R116" s="32" t="s">
        <v>6</v>
      </c>
      <c r="S116" s="1">
        <v>1</v>
      </c>
      <c r="T116" s="165"/>
    </row>
    <row r="117" spans="1:20" s="7" customFormat="1" ht="14.25" x14ac:dyDescent="0.2">
      <c r="A117" s="23">
        <v>11</v>
      </c>
      <c r="B117" s="24" t="s">
        <v>119</v>
      </c>
      <c r="C117" s="25">
        <v>40</v>
      </c>
      <c r="D117" s="25">
        <v>16</v>
      </c>
      <c r="E117" s="25">
        <f>'[8]1.RSP Districts '!E117</f>
        <v>16</v>
      </c>
      <c r="F117" s="105">
        <f t="shared" si="15"/>
        <v>0</v>
      </c>
      <c r="G117" s="105">
        <f t="shared" si="16"/>
        <v>40</v>
      </c>
      <c r="H117" s="25">
        <v>108</v>
      </c>
      <c r="I117" s="25">
        <f>'[8]1.RSP Districts '!H117</f>
        <v>108</v>
      </c>
      <c r="J117" s="25">
        <v>164715</v>
      </c>
      <c r="K117" s="25">
        <v>27409</v>
      </c>
      <c r="L117" s="25">
        <f>'[8]1.RSP Districts '!K117</f>
        <v>28220</v>
      </c>
      <c r="M117" s="105">
        <f t="shared" si="17"/>
        <v>2.9588821190120038</v>
      </c>
      <c r="N117" s="105">
        <f t="shared" si="18"/>
        <v>17.132623015511641</v>
      </c>
      <c r="O117" s="25">
        <v>1695</v>
      </c>
      <c r="P117" s="25">
        <f>'[8]1.RSP Districts '!O117</f>
        <v>1739</v>
      </c>
      <c r="Q117" s="105">
        <f t="shared" si="19"/>
        <v>2.5958702064896757</v>
      </c>
      <c r="R117" s="32" t="s">
        <v>6</v>
      </c>
      <c r="S117" s="1">
        <v>1</v>
      </c>
      <c r="T117" s="165"/>
    </row>
    <row r="118" spans="1:20" s="7" customFormat="1" ht="14.25" x14ac:dyDescent="0.2">
      <c r="A118" s="23">
        <v>12</v>
      </c>
      <c r="B118" s="24" t="s">
        <v>120</v>
      </c>
      <c r="C118" s="25">
        <v>79</v>
      </c>
      <c r="D118" s="25">
        <v>21</v>
      </c>
      <c r="E118" s="25">
        <f>'[8]1.RSP Districts '!E118</f>
        <v>21</v>
      </c>
      <c r="F118" s="105">
        <f t="shared" si="15"/>
        <v>0</v>
      </c>
      <c r="G118" s="105">
        <f t="shared" si="16"/>
        <v>26.582278481012658</v>
      </c>
      <c r="H118" s="25">
        <v>181</v>
      </c>
      <c r="I118" s="25">
        <f>'[8]1.RSP Districts '!H118</f>
        <v>181</v>
      </c>
      <c r="J118" s="25">
        <v>141671</v>
      </c>
      <c r="K118" s="25">
        <v>26809</v>
      </c>
      <c r="L118" s="25">
        <f>'[8]1.RSP Districts '!K118</f>
        <v>27461</v>
      </c>
      <c r="M118" s="105">
        <f t="shared" si="17"/>
        <v>2.432019098064083</v>
      </c>
      <c r="N118" s="105">
        <f t="shared" si="18"/>
        <v>19.383642382703588</v>
      </c>
      <c r="O118" s="25">
        <v>1840</v>
      </c>
      <c r="P118" s="25">
        <f>'[8]1.RSP Districts '!O118</f>
        <v>1882</v>
      </c>
      <c r="Q118" s="105">
        <f t="shared" si="19"/>
        <v>2.2826086956521743</v>
      </c>
      <c r="R118" s="32" t="s">
        <v>6</v>
      </c>
      <c r="S118" s="1">
        <v>1</v>
      </c>
      <c r="T118" s="165"/>
    </row>
    <row r="119" spans="1:20" s="7" customFormat="1" ht="14.25" x14ac:dyDescent="0.2">
      <c r="A119" s="23">
        <v>13</v>
      </c>
      <c r="B119" s="24" t="s">
        <v>121</v>
      </c>
      <c r="C119" s="25">
        <v>50</v>
      </c>
      <c r="D119" s="25">
        <v>35</v>
      </c>
      <c r="E119" s="39">
        <v>35</v>
      </c>
      <c r="F119" s="105">
        <f t="shared" si="15"/>
        <v>0</v>
      </c>
      <c r="G119" s="105">
        <f t="shared" si="16"/>
        <v>70</v>
      </c>
      <c r="H119" s="39">
        <v>637</v>
      </c>
      <c r="I119" s="40">
        <v>637</v>
      </c>
      <c r="J119" s="30">
        <v>128408</v>
      </c>
      <c r="K119" s="25">
        <v>41808</v>
      </c>
      <c r="L119" s="39">
        <v>41870</v>
      </c>
      <c r="M119" s="105">
        <f t="shared" si="17"/>
        <v>0.14829697665518562</v>
      </c>
      <c r="N119" s="105">
        <f t="shared" si="18"/>
        <v>32.607002678960811</v>
      </c>
      <c r="O119" s="25">
        <v>2380</v>
      </c>
      <c r="P119" s="39">
        <v>2383</v>
      </c>
      <c r="Q119" s="105">
        <f t="shared" si="19"/>
        <v>0.12605042016806722</v>
      </c>
      <c r="R119" s="32" t="s">
        <v>5</v>
      </c>
      <c r="S119" s="1">
        <v>1</v>
      </c>
      <c r="T119" s="165"/>
    </row>
    <row r="120" spans="1:20" s="7" customFormat="1" ht="14.25" x14ac:dyDescent="0.2">
      <c r="A120" s="23">
        <v>14</v>
      </c>
      <c r="B120" s="24" t="s">
        <v>122</v>
      </c>
      <c r="C120" s="25">
        <v>89</v>
      </c>
      <c r="D120" s="25">
        <v>7</v>
      </c>
      <c r="E120" s="25">
        <f>'[8]1.RSP Districts '!E120</f>
        <v>7</v>
      </c>
      <c r="F120" s="105">
        <f t="shared" si="15"/>
        <v>0</v>
      </c>
      <c r="G120" s="105">
        <f t="shared" si="16"/>
        <v>7.8651685393258424</v>
      </c>
      <c r="H120" s="25">
        <v>20</v>
      </c>
      <c r="I120" s="25">
        <f>'[8]1.RSP Districts '!H120</f>
        <v>20</v>
      </c>
      <c r="J120" s="25">
        <v>122340</v>
      </c>
      <c r="K120" s="25">
        <v>11035</v>
      </c>
      <c r="L120" s="25">
        <f>'[8]1.RSP Districts '!K120</f>
        <v>11035</v>
      </c>
      <c r="M120" s="105">
        <f t="shared" si="17"/>
        <v>0</v>
      </c>
      <c r="N120" s="105">
        <f t="shared" si="18"/>
        <v>9.0199444171979728</v>
      </c>
      <c r="O120" s="25">
        <v>847</v>
      </c>
      <c r="P120" s="25">
        <f>'[8]1.RSP Districts '!O120</f>
        <v>847</v>
      </c>
      <c r="Q120" s="105">
        <f t="shared" si="19"/>
        <v>0</v>
      </c>
      <c r="R120" s="32" t="s">
        <v>6</v>
      </c>
      <c r="S120" s="1">
        <v>1</v>
      </c>
      <c r="T120" s="165"/>
    </row>
    <row r="121" spans="1:20" s="7" customFormat="1" ht="14.25" x14ac:dyDescent="0.2">
      <c r="A121" s="23">
        <v>15</v>
      </c>
      <c r="B121" s="24" t="s">
        <v>123</v>
      </c>
      <c r="C121" s="25">
        <v>98</v>
      </c>
      <c r="D121" s="25">
        <v>19</v>
      </c>
      <c r="E121" s="25">
        <f>'[8]1.RSP Districts '!E121</f>
        <v>19</v>
      </c>
      <c r="F121" s="105">
        <f t="shared" si="15"/>
        <v>0</v>
      </c>
      <c r="G121" s="105">
        <f t="shared" si="16"/>
        <v>19.387755102040817</v>
      </c>
      <c r="H121" s="25">
        <v>129</v>
      </c>
      <c r="I121" s="25">
        <f>'[8]1.RSP Districts '!H121</f>
        <v>129</v>
      </c>
      <c r="J121" s="25">
        <v>122340</v>
      </c>
      <c r="K121" s="25">
        <v>25886</v>
      </c>
      <c r="L121" s="25">
        <f>'[8]1.RSP Districts '!K121</f>
        <v>26551</v>
      </c>
      <c r="M121" s="105">
        <f t="shared" si="17"/>
        <v>2.5689561925365059</v>
      </c>
      <c r="N121" s="105">
        <f t="shared" si="18"/>
        <v>21.702632009154811</v>
      </c>
      <c r="O121" s="25">
        <v>1587</v>
      </c>
      <c r="P121" s="25">
        <f>'[8]1.RSP Districts '!O121</f>
        <v>1631</v>
      </c>
      <c r="Q121" s="105">
        <f t="shared" si="19"/>
        <v>2.7725267800882167</v>
      </c>
      <c r="R121" s="32" t="s">
        <v>6</v>
      </c>
      <c r="S121" s="1">
        <v>1</v>
      </c>
      <c r="T121" s="165"/>
    </row>
    <row r="122" spans="1:20" ht="14.25" x14ac:dyDescent="0.2">
      <c r="A122" s="23">
        <v>15</v>
      </c>
      <c r="B122" s="24" t="s">
        <v>124</v>
      </c>
      <c r="C122" s="25">
        <v>98</v>
      </c>
      <c r="D122" s="25">
        <v>70</v>
      </c>
      <c r="E122" s="39">
        <v>70</v>
      </c>
      <c r="F122" s="105">
        <f t="shared" si="15"/>
        <v>0</v>
      </c>
      <c r="G122" s="105">
        <f t="shared" si="16"/>
        <v>71.428571428571431</v>
      </c>
      <c r="H122" s="39">
        <v>305</v>
      </c>
      <c r="I122" s="39">
        <v>305</v>
      </c>
      <c r="J122" s="25">
        <v>78458</v>
      </c>
      <c r="K122" s="25">
        <v>17775</v>
      </c>
      <c r="L122" s="39">
        <v>17775</v>
      </c>
      <c r="M122" s="105">
        <f t="shared" si="17"/>
        <v>0</v>
      </c>
      <c r="N122" s="105">
        <f t="shared" si="18"/>
        <v>22.655433480333425</v>
      </c>
      <c r="O122" s="25">
        <v>1662</v>
      </c>
      <c r="P122" s="39">
        <v>1662</v>
      </c>
      <c r="Q122" s="105">
        <f t="shared" si="19"/>
        <v>0</v>
      </c>
      <c r="R122" s="27" t="s">
        <v>5</v>
      </c>
      <c r="S122" s="1">
        <v>1</v>
      </c>
      <c r="T122" s="165"/>
    </row>
    <row r="123" spans="1:20" s="7" customFormat="1" ht="14.25" x14ac:dyDescent="0.2">
      <c r="A123" s="23">
        <v>16</v>
      </c>
      <c r="B123" s="24" t="s">
        <v>125</v>
      </c>
      <c r="C123" s="25">
        <v>49</v>
      </c>
      <c r="D123" s="25">
        <v>45</v>
      </c>
      <c r="E123" s="39">
        <v>45</v>
      </c>
      <c r="F123" s="105">
        <f t="shared" si="15"/>
        <v>0</v>
      </c>
      <c r="G123" s="105">
        <f t="shared" si="16"/>
        <v>91.83673469387756</v>
      </c>
      <c r="H123" s="39">
        <v>329</v>
      </c>
      <c r="I123" s="40">
        <v>329</v>
      </c>
      <c r="J123" s="30">
        <v>47082</v>
      </c>
      <c r="K123" s="25">
        <v>130559</v>
      </c>
      <c r="L123" s="39">
        <v>135856</v>
      </c>
      <c r="M123" s="105">
        <f t="shared" si="17"/>
        <v>4.0571695555266203</v>
      </c>
      <c r="N123" s="105">
        <f t="shared" si="18"/>
        <v>288.55188819506395</v>
      </c>
      <c r="O123" s="25">
        <v>7503</v>
      </c>
      <c r="P123" s="39">
        <v>7790</v>
      </c>
      <c r="Q123" s="105">
        <f t="shared" si="19"/>
        <v>3.8251366120218577</v>
      </c>
      <c r="R123" s="32" t="s">
        <v>5</v>
      </c>
      <c r="S123" s="1">
        <v>1</v>
      </c>
      <c r="T123" s="165"/>
    </row>
    <row r="124" spans="1:20" s="7" customFormat="1" ht="14.25" x14ac:dyDescent="0.2">
      <c r="A124" s="23">
        <v>17</v>
      </c>
      <c r="B124" s="24" t="s">
        <v>126</v>
      </c>
      <c r="C124" s="25">
        <v>30</v>
      </c>
      <c r="D124" s="25">
        <v>27</v>
      </c>
      <c r="E124" s="25">
        <f>'[8]1.RSP Districts '!E124</f>
        <v>27</v>
      </c>
      <c r="F124" s="105">
        <f t="shared" si="15"/>
        <v>0</v>
      </c>
      <c r="G124" s="105">
        <f t="shared" si="16"/>
        <v>90</v>
      </c>
      <c r="H124" s="25">
        <v>156</v>
      </c>
      <c r="I124" s="25">
        <f>'[8]1.RSP Districts '!H124</f>
        <v>156</v>
      </c>
      <c r="J124" s="25">
        <v>39648</v>
      </c>
      <c r="K124" s="25">
        <v>39475</v>
      </c>
      <c r="L124" s="25">
        <f>'[8]1.RSP Districts '!K124</f>
        <v>40588</v>
      </c>
      <c r="M124" s="105">
        <f t="shared" si="17"/>
        <v>2.8195060164661179</v>
      </c>
      <c r="N124" s="105">
        <f t="shared" si="18"/>
        <v>102.37086359967715</v>
      </c>
      <c r="O124" s="25">
        <v>2628</v>
      </c>
      <c r="P124" s="25">
        <f>'[8]1.RSP Districts '!O124</f>
        <v>2719</v>
      </c>
      <c r="Q124" s="105">
        <f t="shared" si="19"/>
        <v>3.4627092846270928</v>
      </c>
      <c r="R124" s="32" t="s">
        <v>6</v>
      </c>
      <c r="S124" s="1">
        <v>1</v>
      </c>
      <c r="T124" s="165"/>
    </row>
    <row r="125" spans="1:20" s="7" customFormat="1" ht="14.25" x14ac:dyDescent="0.2">
      <c r="A125" s="23">
        <v>18</v>
      </c>
      <c r="B125" s="24" t="s">
        <v>127</v>
      </c>
      <c r="C125" s="25">
        <v>44</v>
      </c>
      <c r="D125" s="25">
        <v>24</v>
      </c>
      <c r="E125" s="25">
        <f>'[8]1.RSP Districts '!E125</f>
        <v>24</v>
      </c>
      <c r="F125" s="105">
        <f t="shared" si="15"/>
        <v>0</v>
      </c>
      <c r="G125" s="105">
        <f t="shared" si="16"/>
        <v>54.545454545454547</v>
      </c>
      <c r="H125" s="25">
        <v>346</v>
      </c>
      <c r="I125" s="25">
        <f>'[8]1.RSP Districts '!H125</f>
        <v>346</v>
      </c>
      <c r="J125" s="25">
        <v>159486</v>
      </c>
      <c r="K125" s="25">
        <v>119394</v>
      </c>
      <c r="L125" s="25">
        <f>'[8]1.RSP Districts '!K125</f>
        <v>121192</v>
      </c>
      <c r="M125" s="105">
        <f t="shared" si="17"/>
        <v>1.5059383218587199</v>
      </c>
      <c r="N125" s="105">
        <f t="shared" si="18"/>
        <v>75.989115032040431</v>
      </c>
      <c r="O125" s="25">
        <v>7914</v>
      </c>
      <c r="P125" s="25">
        <f>'[8]1.RSP Districts '!O125</f>
        <v>8028</v>
      </c>
      <c r="Q125" s="105">
        <f t="shared" si="19"/>
        <v>1.4404852160727823</v>
      </c>
      <c r="R125" s="32" t="s">
        <v>6</v>
      </c>
      <c r="S125" s="1">
        <v>1</v>
      </c>
      <c r="T125" s="165"/>
    </row>
    <row r="126" spans="1:20" s="7" customFormat="1" ht="14.25" x14ac:dyDescent="0.2">
      <c r="A126" s="23">
        <v>19</v>
      </c>
      <c r="B126" s="24" t="s">
        <v>128</v>
      </c>
      <c r="C126" s="25">
        <v>70</v>
      </c>
      <c r="D126" s="25">
        <v>70</v>
      </c>
      <c r="E126" s="39">
        <v>70</v>
      </c>
      <c r="F126" s="105">
        <f t="shared" si="15"/>
        <v>0</v>
      </c>
      <c r="G126" s="105">
        <f t="shared" si="16"/>
        <v>100</v>
      </c>
      <c r="H126" s="39">
        <v>386</v>
      </c>
      <c r="I126" s="40">
        <v>386</v>
      </c>
      <c r="J126" s="30">
        <v>202554</v>
      </c>
      <c r="K126" s="25">
        <v>46705</v>
      </c>
      <c r="L126" s="39">
        <v>46705</v>
      </c>
      <c r="M126" s="105">
        <f t="shared" si="17"/>
        <v>0</v>
      </c>
      <c r="N126" s="105">
        <f t="shared" si="18"/>
        <v>23.058048717872765</v>
      </c>
      <c r="O126" s="25">
        <v>3886</v>
      </c>
      <c r="P126" s="39">
        <v>3886</v>
      </c>
      <c r="Q126" s="105">
        <f t="shared" si="19"/>
        <v>0</v>
      </c>
      <c r="R126" s="32" t="s">
        <v>5</v>
      </c>
      <c r="S126" s="1">
        <v>1</v>
      </c>
      <c r="T126" s="165"/>
    </row>
    <row r="127" spans="1:20" s="7" customFormat="1" ht="14.25" x14ac:dyDescent="0.2">
      <c r="A127" s="23">
        <v>19</v>
      </c>
      <c r="B127" s="24" t="s">
        <v>241</v>
      </c>
      <c r="C127" s="25">
        <v>70</v>
      </c>
      <c r="D127" s="25">
        <v>5</v>
      </c>
      <c r="E127" s="25">
        <f>'[8]1.RSP Districts '!E127</f>
        <v>5</v>
      </c>
      <c r="F127" s="105">
        <f t="shared" si="15"/>
        <v>0</v>
      </c>
      <c r="G127" s="105">
        <f t="shared" si="16"/>
        <v>7.1428571428571432</v>
      </c>
      <c r="H127" s="25">
        <v>14</v>
      </c>
      <c r="I127" s="25">
        <f>'[8]1.RSP Districts '!H127</f>
        <v>14</v>
      </c>
      <c r="J127" s="30">
        <v>202554</v>
      </c>
      <c r="K127" s="25">
        <v>3501</v>
      </c>
      <c r="L127" s="25">
        <f>'[8]1.RSP Districts '!K127</f>
        <v>4039</v>
      </c>
      <c r="M127" s="105">
        <f t="shared" si="17"/>
        <v>15.36703798914596</v>
      </c>
      <c r="N127" s="105">
        <f t="shared" si="18"/>
        <v>1.9940361582590322</v>
      </c>
      <c r="O127" s="25">
        <v>234</v>
      </c>
      <c r="P127" s="25">
        <f>'[8]1.RSP Districts '!O127</f>
        <v>269</v>
      </c>
      <c r="Q127" s="105">
        <f t="shared" si="19"/>
        <v>14.957264957264957</v>
      </c>
      <c r="R127" s="32" t="s">
        <v>6</v>
      </c>
      <c r="S127" s="1">
        <v>1</v>
      </c>
      <c r="T127" s="165"/>
    </row>
    <row r="128" spans="1:20" s="7" customFormat="1" ht="14.25" x14ac:dyDescent="0.2">
      <c r="A128" s="23">
        <v>20</v>
      </c>
      <c r="B128" s="24" t="s">
        <v>129</v>
      </c>
      <c r="C128" s="25">
        <v>65</v>
      </c>
      <c r="D128" s="25">
        <v>53</v>
      </c>
      <c r="E128" s="25">
        <f>'[8]1.RSP Districts '!E128</f>
        <v>53</v>
      </c>
      <c r="F128" s="105">
        <f t="shared" si="15"/>
        <v>0</v>
      </c>
      <c r="G128" s="105">
        <f t="shared" si="16"/>
        <v>81.538461538461533</v>
      </c>
      <c r="H128" s="25">
        <v>244</v>
      </c>
      <c r="I128" s="25">
        <f>'[8]1.RSP Districts '!H128</f>
        <v>244</v>
      </c>
      <c r="J128" s="25">
        <v>106515</v>
      </c>
      <c r="K128" s="25">
        <v>33427</v>
      </c>
      <c r="L128" s="25">
        <f>'[8]1.RSP Districts '!K128</f>
        <v>34720</v>
      </c>
      <c r="M128" s="105">
        <f t="shared" si="17"/>
        <v>3.8681305531456611</v>
      </c>
      <c r="N128" s="105">
        <f t="shared" si="18"/>
        <v>32.596347932216119</v>
      </c>
      <c r="O128" s="25">
        <v>2188</v>
      </c>
      <c r="P128" s="25">
        <f>'[8]1.RSP Districts '!O128</f>
        <v>2263</v>
      </c>
      <c r="Q128" s="105">
        <f t="shared" si="19"/>
        <v>3.4277879341864717</v>
      </c>
      <c r="R128" s="32" t="s">
        <v>6</v>
      </c>
      <c r="S128" s="1">
        <v>1</v>
      </c>
      <c r="T128" s="165"/>
    </row>
    <row r="129" spans="1:20" s="7" customFormat="1" ht="14.25" x14ac:dyDescent="0.2">
      <c r="A129" s="23">
        <v>20</v>
      </c>
      <c r="B129" s="24" t="s">
        <v>279</v>
      </c>
      <c r="C129" s="25">
        <v>65</v>
      </c>
      <c r="D129" s="25">
        <v>0</v>
      </c>
      <c r="E129" s="25">
        <v>9</v>
      </c>
      <c r="F129" s="105" t="e">
        <f t="shared" ref="F129" si="20">(E129-D129)/D129%</f>
        <v>#DIV/0!</v>
      </c>
      <c r="G129" s="105">
        <f t="shared" ref="G129" si="21">E129/C129%</f>
        <v>13.846153846153845</v>
      </c>
      <c r="H129" s="25">
        <v>0</v>
      </c>
      <c r="I129" s="25">
        <v>21</v>
      </c>
      <c r="J129" s="25">
        <v>106515</v>
      </c>
      <c r="K129" s="25">
        <v>0</v>
      </c>
      <c r="L129" s="25">
        <v>317</v>
      </c>
      <c r="M129" s="105" t="e">
        <f t="shared" ref="M129" si="22">(L129-K129)/K129%</f>
        <v>#DIV/0!</v>
      </c>
      <c r="N129" s="105">
        <f t="shared" ref="N129" si="23">L129/J129%</f>
        <v>0.29761066516453077</v>
      </c>
      <c r="O129" s="25">
        <v>0</v>
      </c>
      <c r="P129" s="25">
        <v>18</v>
      </c>
      <c r="Q129" s="105" t="e">
        <f t="shared" ref="Q129" si="24">(P129-O129)/O129%</f>
        <v>#DIV/0!</v>
      </c>
      <c r="R129" s="32" t="s">
        <v>5</v>
      </c>
      <c r="S129" s="1">
        <v>1</v>
      </c>
      <c r="T129" s="165" t="s">
        <v>280</v>
      </c>
    </row>
    <row r="130" spans="1:20" s="7" customFormat="1" ht="14.25" x14ac:dyDescent="0.2">
      <c r="A130" s="23">
        <v>21</v>
      </c>
      <c r="B130" s="24" t="s">
        <v>130</v>
      </c>
      <c r="C130" s="25">
        <v>53</v>
      </c>
      <c r="D130" s="25">
        <v>56</v>
      </c>
      <c r="E130" s="39">
        <v>56</v>
      </c>
      <c r="F130" s="105">
        <f t="shared" si="15"/>
        <v>0</v>
      </c>
      <c r="G130" s="105">
        <f t="shared" si="16"/>
        <v>105.66037735849056</v>
      </c>
      <c r="H130" s="39">
        <v>228</v>
      </c>
      <c r="I130" s="40">
        <v>228</v>
      </c>
      <c r="J130" s="30">
        <v>120486</v>
      </c>
      <c r="K130" s="25">
        <v>73767</v>
      </c>
      <c r="L130" s="39">
        <v>73800</v>
      </c>
      <c r="M130" s="105">
        <f t="shared" si="17"/>
        <v>4.4735450811338409E-2</v>
      </c>
      <c r="N130" s="105">
        <f t="shared" si="18"/>
        <v>61.251929684776663</v>
      </c>
      <c r="O130" s="25">
        <v>4201</v>
      </c>
      <c r="P130" s="39">
        <v>4203</v>
      </c>
      <c r="Q130" s="105">
        <f t="shared" si="19"/>
        <v>4.7607712449416806E-2</v>
      </c>
      <c r="R130" s="32" t="s">
        <v>5</v>
      </c>
      <c r="S130" s="1">
        <v>1</v>
      </c>
      <c r="T130" s="165"/>
    </row>
    <row r="131" spans="1:20" s="7" customFormat="1" ht="14.25" x14ac:dyDescent="0.2">
      <c r="A131" s="23">
        <v>22</v>
      </c>
      <c r="B131" s="24" t="s">
        <v>131</v>
      </c>
      <c r="C131" s="25">
        <v>69</v>
      </c>
      <c r="D131" s="25">
        <v>22</v>
      </c>
      <c r="E131" s="25">
        <f>'[8]1.RSP Districts '!E131</f>
        <v>22</v>
      </c>
      <c r="F131" s="105">
        <f t="shared" si="15"/>
        <v>0</v>
      </c>
      <c r="G131" s="105">
        <f t="shared" si="16"/>
        <v>31.884057971014496</v>
      </c>
      <c r="H131" s="25">
        <v>148</v>
      </c>
      <c r="I131" s="25">
        <f>'[8]1.RSP Districts '!H131</f>
        <v>148</v>
      </c>
      <c r="J131" s="25">
        <v>261678</v>
      </c>
      <c r="K131" s="25">
        <v>35212</v>
      </c>
      <c r="L131" s="25">
        <f>'[8]1.RSP Districts '!K131</f>
        <v>35212</v>
      </c>
      <c r="M131" s="105">
        <f t="shared" si="17"/>
        <v>0</v>
      </c>
      <c r="N131" s="105">
        <f t="shared" si="18"/>
        <v>13.456232468912173</v>
      </c>
      <c r="O131" s="25">
        <v>2382</v>
      </c>
      <c r="P131" s="25">
        <f>'[8]1.RSP Districts '!O131</f>
        <v>2382</v>
      </c>
      <c r="Q131" s="105">
        <f t="shared" si="19"/>
        <v>0</v>
      </c>
      <c r="R131" s="32" t="s">
        <v>6</v>
      </c>
      <c r="S131" s="1">
        <v>1</v>
      </c>
      <c r="T131" s="165"/>
    </row>
    <row r="132" spans="1:20" ht="14.25" x14ac:dyDescent="0.2">
      <c r="A132" s="23">
        <v>22</v>
      </c>
      <c r="B132" s="24" t="s">
        <v>132</v>
      </c>
      <c r="C132" s="25">
        <v>69</v>
      </c>
      <c r="D132" s="25">
        <v>58</v>
      </c>
      <c r="E132" s="39">
        <v>58</v>
      </c>
      <c r="F132" s="105">
        <f t="shared" si="15"/>
        <v>0</v>
      </c>
      <c r="G132" s="105">
        <f t="shared" si="16"/>
        <v>84.057971014492765</v>
      </c>
      <c r="H132" s="39">
        <v>169</v>
      </c>
      <c r="I132" s="39">
        <v>169</v>
      </c>
      <c r="J132" s="25">
        <v>261678</v>
      </c>
      <c r="K132" s="25">
        <v>17654</v>
      </c>
      <c r="L132" s="39">
        <v>17654</v>
      </c>
      <c r="M132" s="105">
        <f t="shared" si="17"/>
        <v>0</v>
      </c>
      <c r="N132" s="105">
        <f t="shared" si="18"/>
        <v>6.7464593890200932</v>
      </c>
      <c r="O132" s="25">
        <v>1958</v>
      </c>
      <c r="P132" s="39">
        <v>1958</v>
      </c>
      <c r="Q132" s="105">
        <f t="shared" si="19"/>
        <v>0</v>
      </c>
      <c r="R132" s="27" t="s">
        <v>5</v>
      </c>
      <c r="S132" s="1">
        <v>1</v>
      </c>
      <c r="T132" s="165"/>
    </row>
    <row r="133" spans="1:20" s="7" customFormat="1" ht="14.25" x14ac:dyDescent="0.2">
      <c r="A133" s="23">
        <v>23</v>
      </c>
      <c r="B133" s="24" t="s">
        <v>133</v>
      </c>
      <c r="C133" s="25">
        <v>93</v>
      </c>
      <c r="D133" s="25">
        <v>16</v>
      </c>
      <c r="E133" s="25">
        <f>'[8]1.RSP Districts '!E133</f>
        <v>16</v>
      </c>
      <c r="F133" s="105">
        <f t="shared" si="15"/>
        <v>0</v>
      </c>
      <c r="G133" s="105">
        <f t="shared" si="16"/>
        <v>17.204301075268816</v>
      </c>
      <c r="H133" s="25">
        <v>256</v>
      </c>
      <c r="I133" s="25">
        <f>'[8]1.RSP Districts '!H133</f>
        <v>256</v>
      </c>
      <c r="J133" s="25">
        <v>317647</v>
      </c>
      <c r="K133" s="25">
        <v>146359</v>
      </c>
      <c r="L133" s="25">
        <f>'[8]1.RSP Districts '!K133</f>
        <v>147022</v>
      </c>
      <c r="M133" s="105">
        <f t="shared" si="17"/>
        <v>0.45299571601336441</v>
      </c>
      <c r="N133" s="105">
        <f t="shared" si="18"/>
        <v>46.28471227494672</v>
      </c>
      <c r="O133" s="25">
        <v>8884</v>
      </c>
      <c r="P133" s="25">
        <f>'[8]1.RSP Districts '!O133</f>
        <v>8926</v>
      </c>
      <c r="Q133" s="105">
        <f t="shared" si="19"/>
        <v>0.47276001800990541</v>
      </c>
      <c r="R133" s="32" t="s">
        <v>6</v>
      </c>
      <c r="S133" s="1">
        <v>1</v>
      </c>
      <c r="T133" s="165"/>
    </row>
    <row r="134" spans="1:20" ht="14.25" x14ac:dyDescent="0.2">
      <c r="A134" s="23">
        <v>23</v>
      </c>
      <c r="B134" s="24" t="s">
        <v>134</v>
      </c>
      <c r="C134" s="25">
        <v>93</v>
      </c>
      <c r="D134" s="25">
        <v>24</v>
      </c>
      <c r="E134" s="39">
        <v>24</v>
      </c>
      <c r="F134" s="105">
        <f t="shared" si="15"/>
        <v>0</v>
      </c>
      <c r="G134" s="105">
        <f t="shared" si="16"/>
        <v>25.806451612903224</v>
      </c>
      <c r="H134" s="39">
        <v>0</v>
      </c>
      <c r="I134" s="39">
        <v>0</v>
      </c>
      <c r="J134" s="25">
        <v>317647</v>
      </c>
      <c r="K134" s="25">
        <v>0</v>
      </c>
      <c r="L134" s="39">
        <v>0</v>
      </c>
      <c r="M134" s="105">
        <v>0</v>
      </c>
      <c r="N134" s="105">
        <f t="shared" si="18"/>
        <v>0</v>
      </c>
      <c r="O134" s="25">
        <v>0</v>
      </c>
      <c r="P134" s="39">
        <v>0</v>
      </c>
      <c r="Q134" s="105">
        <v>0</v>
      </c>
      <c r="R134" s="27" t="s">
        <v>5</v>
      </c>
      <c r="S134" s="1">
        <v>1</v>
      </c>
      <c r="T134" s="165"/>
    </row>
    <row r="135" spans="1:20" ht="14.25" x14ac:dyDescent="0.2">
      <c r="A135" s="23">
        <v>24</v>
      </c>
      <c r="B135" s="24" t="s">
        <v>249</v>
      </c>
      <c r="C135" s="25">
        <v>65</v>
      </c>
      <c r="D135" s="25">
        <v>0</v>
      </c>
      <c r="E135" s="25">
        <f>'[8]1.RSP Districts '!E135</f>
        <v>0</v>
      </c>
      <c r="F135" s="105">
        <v>0</v>
      </c>
      <c r="G135" s="105">
        <f t="shared" si="16"/>
        <v>0</v>
      </c>
      <c r="H135" s="25">
        <v>0</v>
      </c>
      <c r="I135" s="25">
        <f>'[8]1.RSP Districts '!H135</f>
        <v>0</v>
      </c>
      <c r="J135" s="25">
        <v>187137</v>
      </c>
      <c r="K135" s="25">
        <v>695</v>
      </c>
      <c r="L135" s="25">
        <f>'[8]1.RSP Districts '!K135</f>
        <v>695</v>
      </c>
      <c r="M135" s="105">
        <f t="shared" si="17"/>
        <v>0</v>
      </c>
      <c r="N135" s="105">
        <f t="shared" si="18"/>
        <v>0.37138566932247502</v>
      </c>
      <c r="O135" s="25">
        <v>45</v>
      </c>
      <c r="P135" s="25">
        <f>'[8]1.RSP Districts '!O135</f>
        <v>45</v>
      </c>
      <c r="Q135" s="105">
        <f t="shared" si="19"/>
        <v>0</v>
      </c>
      <c r="R135" s="81" t="s">
        <v>6</v>
      </c>
      <c r="S135" s="1">
        <v>1</v>
      </c>
      <c r="T135" s="165"/>
    </row>
    <row r="136" spans="1:20" s="7" customFormat="1" ht="14.25" x14ac:dyDescent="0.2">
      <c r="A136" s="23">
        <v>25</v>
      </c>
      <c r="B136" s="24" t="s">
        <v>135</v>
      </c>
      <c r="C136" s="25">
        <v>74</v>
      </c>
      <c r="D136" s="25">
        <v>61</v>
      </c>
      <c r="E136" s="25">
        <f>'[8]1.RSP Districts '!E136</f>
        <v>61</v>
      </c>
      <c r="F136" s="105">
        <f t="shared" si="15"/>
        <v>0</v>
      </c>
      <c r="G136" s="105">
        <f t="shared" si="16"/>
        <v>82.432432432432435</v>
      </c>
      <c r="H136" s="25">
        <v>554</v>
      </c>
      <c r="I136" s="25">
        <f>'[8]1.RSP Districts '!H136</f>
        <v>554</v>
      </c>
      <c r="J136" s="25">
        <v>150406</v>
      </c>
      <c r="K136" s="25">
        <v>106856</v>
      </c>
      <c r="L136" s="25">
        <f>'[8]1.RSP Districts '!K136</f>
        <v>109194</v>
      </c>
      <c r="M136" s="105">
        <f t="shared" si="17"/>
        <v>2.1879913154151382</v>
      </c>
      <c r="N136" s="105">
        <f t="shared" si="18"/>
        <v>72.599497360477642</v>
      </c>
      <c r="O136" s="25">
        <v>5200</v>
      </c>
      <c r="P136" s="25">
        <f>'[8]1.RSP Districts '!O136</f>
        <v>5296</v>
      </c>
      <c r="Q136" s="105">
        <f t="shared" si="19"/>
        <v>1.8461538461538463</v>
      </c>
      <c r="R136" s="32" t="s">
        <v>6</v>
      </c>
      <c r="S136" s="1">
        <v>1</v>
      </c>
      <c r="T136" s="165"/>
    </row>
    <row r="137" spans="1:20" s="7" customFormat="1" ht="14.25" x14ac:dyDescent="0.2">
      <c r="A137" s="23">
        <v>26</v>
      </c>
      <c r="B137" s="24" t="s">
        <v>136</v>
      </c>
      <c r="C137" s="25">
        <v>111</v>
      </c>
      <c r="D137" s="25">
        <v>27</v>
      </c>
      <c r="E137" s="25">
        <f>'[8]1.RSP Districts '!E137</f>
        <v>27</v>
      </c>
      <c r="F137" s="105">
        <f t="shared" si="15"/>
        <v>0</v>
      </c>
      <c r="G137" s="105">
        <f t="shared" si="16"/>
        <v>24.324324324324323</v>
      </c>
      <c r="H137" s="25">
        <v>229</v>
      </c>
      <c r="I137" s="25">
        <f>'[8]1.RSP Districts '!H137</f>
        <v>229</v>
      </c>
      <c r="J137" s="25">
        <v>270191</v>
      </c>
      <c r="K137" s="25">
        <v>32179</v>
      </c>
      <c r="L137" s="25">
        <f>'[8]1.RSP Districts '!K137</f>
        <v>33086</v>
      </c>
      <c r="M137" s="105">
        <f t="shared" si="17"/>
        <v>2.818608409210976</v>
      </c>
      <c r="N137" s="105">
        <f t="shared" si="18"/>
        <v>12.245411579216185</v>
      </c>
      <c r="O137" s="25">
        <v>2125</v>
      </c>
      <c r="P137" s="25">
        <f>'[8]1.RSP Districts '!O137</f>
        <v>2185</v>
      </c>
      <c r="Q137" s="105">
        <f t="shared" si="19"/>
        <v>2.8235294117647061</v>
      </c>
      <c r="R137" s="32" t="s">
        <v>6</v>
      </c>
      <c r="S137" s="1">
        <v>1</v>
      </c>
      <c r="T137" s="165"/>
    </row>
    <row r="138" spans="1:20" s="7" customFormat="1" ht="14.25" x14ac:dyDescent="0.2">
      <c r="A138" s="23">
        <v>27</v>
      </c>
      <c r="B138" s="24" t="s">
        <v>137</v>
      </c>
      <c r="C138" s="25">
        <v>63</v>
      </c>
      <c r="D138" s="25">
        <v>20</v>
      </c>
      <c r="E138" s="25">
        <f>'[8]1.RSP Districts '!E138</f>
        <v>20</v>
      </c>
      <c r="F138" s="105">
        <f t="shared" si="15"/>
        <v>0</v>
      </c>
      <c r="G138" s="105">
        <f t="shared" si="16"/>
        <v>31.746031746031747</v>
      </c>
      <c r="H138" s="25">
        <v>174</v>
      </c>
      <c r="I138" s="25">
        <f>'[8]1.RSP Districts '!H138</f>
        <v>174</v>
      </c>
      <c r="J138" s="25">
        <v>174888</v>
      </c>
      <c r="K138" s="25">
        <v>22352</v>
      </c>
      <c r="L138" s="25">
        <f>'[8]1.RSP Districts '!K138</f>
        <v>22982</v>
      </c>
      <c r="M138" s="105">
        <f t="shared" si="17"/>
        <v>2.8185397279885467</v>
      </c>
      <c r="N138" s="105">
        <f t="shared" si="18"/>
        <v>13.1409816568318</v>
      </c>
      <c r="O138" s="25">
        <v>1446</v>
      </c>
      <c r="P138" s="25">
        <f>'[8]1.RSP Districts '!O138</f>
        <v>1488</v>
      </c>
      <c r="Q138" s="105">
        <f t="shared" si="19"/>
        <v>2.904564315352697</v>
      </c>
      <c r="R138" s="32" t="s">
        <v>6</v>
      </c>
      <c r="S138" s="1">
        <v>1</v>
      </c>
      <c r="T138" s="165"/>
    </row>
    <row r="139" spans="1:20" ht="14.25" x14ac:dyDescent="0.2">
      <c r="A139" s="23">
        <v>27</v>
      </c>
      <c r="B139" s="24" t="s">
        <v>138</v>
      </c>
      <c r="C139" s="25">
        <v>63</v>
      </c>
      <c r="D139" s="25">
        <v>54</v>
      </c>
      <c r="E139" s="39">
        <v>54</v>
      </c>
      <c r="F139" s="105">
        <f t="shared" si="15"/>
        <v>0</v>
      </c>
      <c r="G139" s="105">
        <f t="shared" si="16"/>
        <v>85.714285714285708</v>
      </c>
      <c r="H139" s="39">
        <v>291</v>
      </c>
      <c r="I139" s="39">
        <v>291</v>
      </c>
      <c r="J139" s="25">
        <v>174888</v>
      </c>
      <c r="K139" s="25">
        <v>12295</v>
      </c>
      <c r="L139" s="39">
        <v>12295</v>
      </c>
      <c r="M139" s="105">
        <f t="shared" si="17"/>
        <v>0</v>
      </c>
      <c r="N139" s="105">
        <f t="shared" si="18"/>
        <v>7.0302136224326421</v>
      </c>
      <c r="O139" s="25">
        <v>1486</v>
      </c>
      <c r="P139" s="39">
        <v>1486</v>
      </c>
      <c r="Q139" s="105">
        <f t="shared" si="19"/>
        <v>0</v>
      </c>
      <c r="R139" s="27" t="s">
        <v>5</v>
      </c>
      <c r="S139" s="1">
        <v>1</v>
      </c>
      <c r="T139" s="165"/>
    </row>
    <row r="140" spans="1:20" s="7" customFormat="1" ht="14.25" x14ac:dyDescent="0.2">
      <c r="A140" s="23">
        <v>28</v>
      </c>
      <c r="B140" s="24" t="s">
        <v>139</v>
      </c>
      <c r="C140" s="25">
        <v>103</v>
      </c>
      <c r="D140" s="25">
        <v>103</v>
      </c>
      <c r="E140" s="39">
        <v>103</v>
      </c>
      <c r="F140" s="105">
        <f t="shared" si="15"/>
        <v>0</v>
      </c>
      <c r="G140" s="105">
        <f t="shared" si="16"/>
        <v>100</v>
      </c>
      <c r="H140" s="39">
        <v>474</v>
      </c>
      <c r="I140" s="40">
        <v>474</v>
      </c>
      <c r="J140" s="30">
        <v>338677</v>
      </c>
      <c r="K140" s="25">
        <v>74588</v>
      </c>
      <c r="L140" s="39">
        <v>76621</v>
      </c>
      <c r="M140" s="105">
        <f t="shared" si="17"/>
        <v>2.7256395130584008</v>
      </c>
      <c r="N140" s="105">
        <f t="shared" si="18"/>
        <v>22.623620735981483</v>
      </c>
      <c r="O140" s="25">
        <v>6828</v>
      </c>
      <c r="P140" s="39">
        <v>6999</v>
      </c>
      <c r="Q140" s="105">
        <f t="shared" si="19"/>
        <v>2.5043936731107204</v>
      </c>
      <c r="R140" s="32" t="s">
        <v>5</v>
      </c>
      <c r="S140" s="1">
        <v>1</v>
      </c>
      <c r="T140" s="165"/>
    </row>
    <row r="141" spans="1:20" s="7" customFormat="1" ht="14.25" x14ac:dyDescent="0.2">
      <c r="A141" s="23">
        <v>29</v>
      </c>
      <c r="B141" s="24" t="s">
        <v>140</v>
      </c>
      <c r="C141" s="25">
        <v>44</v>
      </c>
      <c r="D141" s="25">
        <v>43</v>
      </c>
      <c r="E141" s="39">
        <v>43</v>
      </c>
      <c r="F141" s="105">
        <f t="shared" si="15"/>
        <v>0</v>
      </c>
      <c r="G141" s="105">
        <f t="shared" si="16"/>
        <v>97.727272727272734</v>
      </c>
      <c r="H141" s="39">
        <v>373</v>
      </c>
      <c r="I141" s="40">
        <v>373</v>
      </c>
      <c r="J141" s="30">
        <v>133182</v>
      </c>
      <c r="K141" s="25">
        <v>99426</v>
      </c>
      <c r="L141" s="39">
        <v>100373</v>
      </c>
      <c r="M141" s="105">
        <f t="shared" si="17"/>
        <v>0.95246716150705046</v>
      </c>
      <c r="N141" s="105">
        <f t="shared" si="18"/>
        <v>75.365289603700205</v>
      </c>
      <c r="O141" s="25">
        <v>6676</v>
      </c>
      <c r="P141" s="39">
        <v>6702</v>
      </c>
      <c r="Q141" s="105">
        <f t="shared" si="19"/>
        <v>0.38945476333133611</v>
      </c>
      <c r="R141" s="32" t="s">
        <v>5</v>
      </c>
      <c r="S141" s="1">
        <v>1</v>
      </c>
      <c r="T141" s="165"/>
    </row>
    <row r="142" spans="1:20" s="7" customFormat="1" ht="14.25" x14ac:dyDescent="0.2">
      <c r="A142" s="23">
        <v>29</v>
      </c>
      <c r="B142" s="24" t="s">
        <v>250</v>
      </c>
      <c r="C142" s="25">
        <v>44</v>
      </c>
      <c r="D142" s="25">
        <v>0</v>
      </c>
      <c r="E142" s="25">
        <f>'[8]1.RSP Districts '!E142</f>
        <v>0</v>
      </c>
      <c r="F142" s="105">
        <v>0</v>
      </c>
      <c r="G142" s="105">
        <f t="shared" si="16"/>
        <v>0</v>
      </c>
      <c r="H142" s="25">
        <v>0</v>
      </c>
      <c r="I142" s="25">
        <f>'[8]1.RSP Districts '!H142</f>
        <v>0</v>
      </c>
      <c r="J142" s="25">
        <v>133182</v>
      </c>
      <c r="K142" s="25">
        <v>18650</v>
      </c>
      <c r="L142" s="25">
        <f>'[8]1.RSP Districts '!K142</f>
        <v>18650</v>
      </c>
      <c r="M142" s="105">
        <f t="shared" si="17"/>
        <v>0</v>
      </c>
      <c r="N142" s="105">
        <f t="shared" si="18"/>
        <v>14.003393852022045</v>
      </c>
      <c r="O142" s="25">
        <v>1218</v>
      </c>
      <c r="P142" s="25">
        <f>'[8]1.RSP Districts '!O142</f>
        <v>1218</v>
      </c>
      <c r="Q142" s="105">
        <f t="shared" si="19"/>
        <v>0</v>
      </c>
      <c r="R142" s="32" t="s">
        <v>6</v>
      </c>
      <c r="S142" s="1">
        <v>1</v>
      </c>
      <c r="T142" s="165"/>
    </row>
    <row r="143" spans="1:20" s="7" customFormat="1" ht="14.25" x14ac:dyDescent="0.2">
      <c r="A143" s="23">
        <v>30</v>
      </c>
      <c r="B143" s="24" t="s">
        <v>141</v>
      </c>
      <c r="C143" s="25">
        <v>58</v>
      </c>
      <c r="D143" s="25">
        <v>58</v>
      </c>
      <c r="E143" s="39">
        <v>58</v>
      </c>
      <c r="F143" s="105">
        <f t="shared" si="15"/>
        <v>0</v>
      </c>
      <c r="G143" s="105">
        <f t="shared" si="16"/>
        <v>100</v>
      </c>
      <c r="H143" s="39">
        <v>319</v>
      </c>
      <c r="I143" s="40">
        <v>319</v>
      </c>
      <c r="J143" s="30">
        <v>256911</v>
      </c>
      <c r="K143" s="25">
        <v>88881</v>
      </c>
      <c r="L143" s="39">
        <v>88956</v>
      </c>
      <c r="M143" s="105">
        <f t="shared" si="17"/>
        <v>8.4382488945893952E-2</v>
      </c>
      <c r="N143" s="105">
        <f t="shared" si="18"/>
        <v>34.62522040706704</v>
      </c>
      <c r="O143" s="25">
        <v>6018</v>
      </c>
      <c r="P143" s="39">
        <v>6023</v>
      </c>
      <c r="Q143" s="105">
        <f t="shared" si="19"/>
        <v>8.3084081090063142E-2</v>
      </c>
      <c r="R143" s="32" t="s">
        <v>5</v>
      </c>
      <c r="S143" s="1">
        <v>1</v>
      </c>
      <c r="T143" s="165"/>
    </row>
    <row r="144" spans="1:20" s="7" customFormat="1" ht="14.25" x14ac:dyDescent="0.2">
      <c r="A144" s="23">
        <v>31</v>
      </c>
      <c r="B144" s="24" t="s">
        <v>142</v>
      </c>
      <c r="C144" s="25">
        <v>83</v>
      </c>
      <c r="D144" s="25">
        <v>39</v>
      </c>
      <c r="E144" s="25">
        <f>'[8]1.RSP Districts '!E144</f>
        <v>39</v>
      </c>
      <c r="F144" s="105">
        <f t="shared" si="15"/>
        <v>0</v>
      </c>
      <c r="G144" s="105">
        <f t="shared" si="16"/>
        <v>46.987951807228917</v>
      </c>
      <c r="H144" s="25">
        <v>272</v>
      </c>
      <c r="I144" s="25">
        <f>'[8]1.RSP Districts '!H144</f>
        <v>272</v>
      </c>
      <c r="J144" s="25">
        <v>227413</v>
      </c>
      <c r="K144" s="25">
        <v>42288</v>
      </c>
      <c r="L144" s="25">
        <f>'[8]1.RSP Districts '!K144</f>
        <v>43068</v>
      </c>
      <c r="M144" s="105">
        <f t="shared" si="17"/>
        <v>1.8444948921679909</v>
      </c>
      <c r="N144" s="105">
        <f t="shared" si="18"/>
        <v>18.938231323627058</v>
      </c>
      <c r="O144" s="25">
        <v>2655</v>
      </c>
      <c r="P144" s="25">
        <f>'[8]1.RSP Districts '!O144</f>
        <v>2707</v>
      </c>
      <c r="Q144" s="105">
        <f t="shared" si="19"/>
        <v>1.9585687382297552</v>
      </c>
      <c r="R144" s="32" t="s">
        <v>6</v>
      </c>
      <c r="S144" s="1">
        <v>1</v>
      </c>
      <c r="T144" s="165"/>
    </row>
    <row r="145" spans="1:20" ht="14.25" x14ac:dyDescent="0.2">
      <c r="A145" s="23">
        <v>31</v>
      </c>
      <c r="B145" s="24" t="s">
        <v>143</v>
      </c>
      <c r="C145" s="25">
        <v>83</v>
      </c>
      <c r="D145" s="25">
        <v>52</v>
      </c>
      <c r="E145" s="39">
        <v>52</v>
      </c>
      <c r="F145" s="105">
        <f t="shared" si="15"/>
        <v>0</v>
      </c>
      <c r="G145" s="105">
        <f t="shared" si="16"/>
        <v>62.650602409638559</v>
      </c>
      <c r="H145" s="39">
        <v>218</v>
      </c>
      <c r="I145" s="39">
        <v>218</v>
      </c>
      <c r="J145" s="25">
        <v>227413</v>
      </c>
      <c r="K145" s="25">
        <v>12414</v>
      </c>
      <c r="L145" s="39">
        <v>12414</v>
      </c>
      <c r="M145" s="105">
        <f t="shared" si="17"/>
        <v>0</v>
      </c>
      <c r="N145" s="105">
        <f t="shared" si="18"/>
        <v>5.4587908342970719</v>
      </c>
      <c r="O145" s="25">
        <v>1201</v>
      </c>
      <c r="P145" s="39">
        <v>1201</v>
      </c>
      <c r="Q145" s="105">
        <f t="shared" si="19"/>
        <v>0</v>
      </c>
      <c r="R145" s="27" t="s">
        <v>5</v>
      </c>
      <c r="S145" s="1">
        <v>1</v>
      </c>
      <c r="T145" s="165"/>
    </row>
    <row r="146" spans="1:20" s="7" customFormat="1" ht="14.25" x14ac:dyDescent="0.2">
      <c r="A146" s="23">
        <v>32</v>
      </c>
      <c r="B146" s="24" t="s">
        <v>144</v>
      </c>
      <c r="C146" s="25">
        <v>132</v>
      </c>
      <c r="D146" s="25">
        <v>57</v>
      </c>
      <c r="E146" s="25">
        <f>'[8]1.RSP Districts '!E146</f>
        <v>57</v>
      </c>
      <c r="F146" s="105">
        <f t="shared" si="15"/>
        <v>0</v>
      </c>
      <c r="G146" s="105">
        <f t="shared" si="16"/>
        <v>43.18181818181818</v>
      </c>
      <c r="H146" s="25">
        <v>224</v>
      </c>
      <c r="I146" s="25">
        <f>'[8]1.RSP Districts '!H146</f>
        <v>224</v>
      </c>
      <c r="J146" s="25">
        <v>303958</v>
      </c>
      <c r="K146" s="25">
        <v>46436</v>
      </c>
      <c r="L146" s="25">
        <f>'[8]1.RSP Districts '!K146</f>
        <v>47660</v>
      </c>
      <c r="M146" s="105">
        <f t="shared" si="17"/>
        <v>2.6358859505556032</v>
      </c>
      <c r="N146" s="105">
        <f t="shared" si="18"/>
        <v>15.679797866810546</v>
      </c>
      <c r="O146" s="25">
        <v>2906</v>
      </c>
      <c r="P146" s="25">
        <f>'[8]1.RSP Districts '!O146</f>
        <v>2978</v>
      </c>
      <c r="Q146" s="105">
        <f t="shared" si="19"/>
        <v>2.477632484514797</v>
      </c>
      <c r="R146" s="32" t="s">
        <v>6</v>
      </c>
      <c r="S146" s="1">
        <v>1</v>
      </c>
      <c r="T146" s="165"/>
    </row>
    <row r="147" spans="1:20" s="7" customFormat="1" ht="14.25" x14ac:dyDescent="0.2">
      <c r="A147" s="23">
        <v>32</v>
      </c>
      <c r="B147" s="24" t="s">
        <v>264</v>
      </c>
      <c r="C147" s="25">
        <v>132</v>
      </c>
      <c r="D147" s="25">
        <v>116</v>
      </c>
      <c r="E147" s="39">
        <v>116</v>
      </c>
      <c r="F147" s="105">
        <v>0</v>
      </c>
      <c r="G147" s="105">
        <f t="shared" si="16"/>
        <v>87.878787878787875</v>
      </c>
      <c r="H147" s="39">
        <v>510</v>
      </c>
      <c r="I147" s="39">
        <v>510</v>
      </c>
      <c r="J147" s="25">
        <v>303958</v>
      </c>
      <c r="K147" s="25">
        <v>10679</v>
      </c>
      <c r="L147" s="39">
        <v>11321</v>
      </c>
      <c r="M147" s="105">
        <f t="shared" si="17"/>
        <v>6.0117988575709331</v>
      </c>
      <c r="N147" s="105">
        <f t="shared" si="18"/>
        <v>3.7245277308049141</v>
      </c>
      <c r="O147" s="25">
        <v>940</v>
      </c>
      <c r="P147" s="39">
        <v>998</v>
      </c>
      <c r="Q147" s="105">
        <f t="shared" si="19"/>
        <v>6.1702127659574462</v>
      </c>
      <c r="R147" s="32" t="s">
        <v>5</v>
      </c>
      <c r="S147" s="1">
        <v>1</v>
      </c>
      <c r="T147" s="165"/>
    </row>
    <row r="148" spans="1:20" s="7" customFormat="1" ht="14.25" x14ac:dyDescent="0.2">
      <c r="A148" s="23">
        <v>33</v>
      </c>
      <c r="B148" s="24" t="s">
        <v>145</v>
      </c>
      <c r="C148" s="25">
        <v>91</v>
      </c>
      <c r="D148" s="25">
        <v>10</v>
      </c>
      <c r="E148" s="25">
        <f>'[8]1.RSP Districts '!E148</f>
        <v>10</v>
      </c>
      <c r="F148" s="105">
        <f t="shared" si="15"/>
        <v>0</v>
      </c>
      <c r="G148" s="105">
        <f t="shared" si="16"/>
        <v>10.989010989010989</v>
      </c>
      <c r="H148" s="25">
        <v>143</v>
      </c>
      <c r="I148" s="25">
        <f>'[8]1.RSP Districts '!H148</f>
        <v>143</v>
      </c>
      <c r="J148" s="25">
        <v>207804.73300000001</v>
      </c>
      <c r="K148" s="25">
        <v>23885</v>
      </c>
      <c r="L148" s="25">
        <f>'[8]1.RSP Districts '!K148</f>
        <v>24686</v>
      </c>
      <c r="M148" s="105">
        <f t="shared" si="17"/>
        <v>3.3535691856813901</v>
      </c>
      <c r="N148" s="105">
        <f t="shared" si="18"/>
        <v>11.879421437431843</v>
      </c>
      <c r="O148" s="25">
        <v>1547</v>
      </c>
      <c r="P148" s="25">
        <f>'[8]1.RSP Districts '!O148</f>
        <v>1594</v>
      </c>
      <c r="Q148" s="105">
        <f t="shared" si="19"/>
        <v>3.0381383322559792</v>
      </c>
      <c r="R148" s="32" t="s">
        <v>6</v>
      </c>
      <c r="S148" s="1">
        <v>1</v>
      </c>
      <c r="T148" s="165"/>
    </row>
    <row r="149" spans="1:20" s="7" customFormat="1" ht="14.25" x14ac:dyDescent="0.2">
      <c r="A149" s="23">
        <v>34</v>
      </c>
      <c r="B149" s="24" t="s">
        <v>146</v>
      </c>
      <c r="C149" s="25">
        <v>94</v>
      </c>
      <c r="D149" s="25">
        <v>87</v>
      </c>
      <c r="E149" s="25">
        <f>'[8]1.RSP Districts '!E149</f>
        <v>87</v>
      </c>
      <c r="F149" s="105">
        <f t="shared" si="15"/>
        <v>0</v>
      </c>
      <c r="G149" s="105">
        <f t="shared" si="16"/>
        <v>92.553191489361708</v>
      </c>
      <c r="H149" s="25">
        <v>788</v>
      </c>
      <c r="I149" s="25">
        <f>'[8]1.RSP Districts '!H149</f>
        <v>788</v>
      </c>
      <c r="J149" s="25">
        <v>275204</v>
      </c>
      <c r="K149" s="25">
        <v>151757</v>
      </c>
      <c r="L149" s="25">
        <f>'[8]1.RSP Districts '!K149</f>
        <v>155729</v>
      </c>
      <c r="M149" s="105">
        <f t="shared" si="17"/>
        <v>2.6173421983829415</v>
      </c>
      <c r="N149" s="105">
        <f t="shared" si="18"/>
        <v>56.586750192584411</v>
      </c>
      <c r="O149" s="25">
        <v>6839</v>
      </c>
      <c r="P149" s="25">
        <f>'[8]1.RSP Districts '!O149</f>
        <v>6989</v>
      </c>
      <c r="Q149" s="105">
        <f t="shared" si="19"/>
        <v>2.1933031144904227</v>
      </c>
      <c r="R149" s="32" t="s">
        <v>6</v>
      </c>
      <c r="S149" s="1">
        <v>1</v>
      </c>
      <c r="T149" s="165"/>
    </row>
    <row r="150" spans="1:20" s="7" customFormat="1" ht="14.25" x14ac:dyDescent="0.2">
      <c r="A150" s="23">
        <v>35</v>
      </c>
      <c r="B150" s="24" t="s">
        <v>147</v>
      </c>
      <c r="C150" s="25">
        <v>79</v>
      </c>
      <c r="D150" s="25">
        <v>22</v>
      </c>
      <c r="E150" s="25">
        <f>'[8]1.RSP Districts '!E150</f>
        <v>22</v>
      </c>
      <c r="F150" s="105">
        <f t="shared" si="15"/>
        <v>0</v>
      </c>
      <c r="G150" s="105">
        <f t="shared" si="16"/>
        <v>27.848101265822784</v>
      </c>
      <c r="H150" s="25">
        <v>152</v>
      </c>
      <c r="I150" s="25">
        <f>'[8]1.RSP Districts '!H150</f>
        <v>152</v>
      </c>
      <c r="J150" s="25">
        <v>187555</v>
      </c>
      <c r="K150" s="25">
        <v>36954</v>
      </c>
      <c r="L150" s="25">
        <f>'[8]1.RSP Districts '!K150</f>
        <v>38010</v>
      </c>
      <c r="M150" s="105">
        <f t="shared" si="17"/>
        <v>2.8576067543432373</v>
      </c>
      <c r="N150" s="105">
        <f t="shared" si="18"/>
        <v>20.266055290448136</v>
      </c>
      <c r="O150" s="25">
        <v>2438</v>
      </c>
      <c r="P150" s="25">
        <f>'[8]1.RSP Districts '!O150</f>
        <v>2499</v>
      </c>
      <c r="Q150" s="105">
        <f t="shared" si="19"/>
        <v>2.5020508613617722</v>
      </c>
      <c r="R150" s="32" t="s">
        <v>6</v>
      </c>
      <c r="S150" s="1">
        <v>1</v>
      </c>
      <c r="T150" s="165"/>
    </row>
    <row r="151" spans="1:20" ht="14.25" x14ac:dyDescent="0.2">
      <c r="A151" s="23">
        <v>35</v>
      </c>
      <c r="B151" s="24" t="s">
        <v>148</v>
      </c>
      <c r="C151" s="25">
        <v>79</v>
      </c>
      <c r="D151" s="25">
        <v>61</v>
      </c>
      <c r="E151" s="39">
        <v>61</v>
      </c>
      <c r="F151" s="105">
        <f t="shared" si="15"/>
        <v>0</v>
      </c>
      <c r="G151" s="105">
        <f t="shared" si="16"/>
        <v>77.215189873417714</v>
      </c>
      <c r="H151" s="39">
        <v>214</v>
      </c>
      <c r="I151" s="39">
        <v>214</v>
      </c>
      <c r="J151" s="25">
        <v>187555</v>
      </c>
      <c r="K151" s="25">
        <v>13594</v>
      </c>
      <c r="L151" s="39">
        <v>13594</v>
      </c>
      <c r="M151" s="105">
        <f t="shared" si="17"/>
        <v>0</v>
      </c>
      <c r="N151" s="105">
        <f t="shared" si="18"/>
        <v>7.248007251206313</v>
      </c>
      <c r="O151" s="25">
        <v>1545</v>
      </c>
      <c r="P151" s="39">
        <v>1545</v>
      </c>
      <c r="Q151" s="105">
        <f t="shared" si="19"/>
        <v>0</v>
      </c>
      <c r="R151" s="27" t="s">
        <v>5</v>
      </c>
      <c r="S151" s="1">
        <v>1</v>
      </c>
      <c r="T151" s="165"/>
    </row>
    <row r="152" spans="1:20" s="7" customFormat="1" thickBot="1" x14ac:dyDescent="0.25">
      <c r="A152" s="37">
        <v>36</v>
      </c>
      <c r="B152" s="38" t="s">
        <v>149</v>
      </c>
      <c r="C152" s="39">
        <v>87</v>
      </c>
      <c r="D152" s="25">
        <v>80</v>
      </c>
      <c r="E152" s="39">
        <v>80</v>
      </c>
      <c r="F152" s="140">
        <f t="shared" si="15"/>
        <v>0</v>
      </c>
      <c r="G152" s="140">
        <f t="shared" si="16"/>
        <v>91.954022988505741</v>
      </c>
      <c r="H152" s="39">
        <v>528</v>
      </c>
      <c r="I152" s="40">
        <v>528</v>
      </c>
      <c r="J152" s="40">
        <v>257583</v>
      </c>
      <c r="K152" s="25">
        <v>39089</v>
      </c>
      <c r="L152" s="39">
        <v>39089</v>
      </c>
      <c r="M152" s="140">
        <f t="shared" si="17"/>
        <v>0</v>
      </c>
      <c r="N152" s="140">
        <f t="shared" si="18"/>
        <v>15.175302717958871</v>
      </c>
      <c r="O152" s="25">
        <v>3149</v>
      </c>
      <c r="P152" s="39">
        <v>3149</v>
      </c>
      <c r="Q152" s="140">
        <f t="shared" si="19"/>
        <v>0</v>
      </c>
      <c r="R152" s="42" t="s">
        <v>5</v>
      </c>
      <c r="S152" s="1">
        <v>1</v>
      </c>
      <c r="T152" s="165"/>
    </row>
    <row r="153" spans="1:20" s="5" customFormat="1" ht="15.75" thickBot="1" x14ac:dyDescent="0.3">
      <c r="A153" s="156">
        <f>COUNTIF(R105:R152,"*")-(12+2)</f>
        <v>34</v>
      </c>
      <c r="B153" s="155" t="s">
        <v>84</v>
      </c>
      <c r="C153" s="57">
        <f>SUM(C105:C152)-(C105+C113+C127+C121+C131+C134+C138+C142+C144+C150+C147)</f>
        <v>2700</v>
      </c>
      <c r="D153" s="57">
        <f>SUM(D105:D152)-(D105+D113+D127+D121+D131+D134+D138+D142+D144+D150+D147)</f>
        <v>1771</v>
      </c>
      <c r="E153" s="57">
        <f>SUM(E105:E152)-(E105+E113+E127+E121+E131+E134+E138+E142+E144+E150+E147)</f>
        <v>1780</v>
      </c>
      <c r="F153" s="157">
        <f t="shared" si="15"/>
        <v>0.50818746470920384</v>
      </c>
      <c r="G153" s="157">
        <f t="shared" si="16"/>
        <v>65.925925925925924</v>
      </c>
      <c r="H153" s="57">
        <f>SUM(H105:H152)</f>
        <v>13636</v>
      </c>
      <c r="I153" s="57">
        <f>SUM(I105:I152)</f>
        <v>13657</v>
      </c>
      <c r="J153" s="57">
        <f>SUM(J105:J152)-(J105+J113+J127+J121+J131+J134+J138+J142+J144+J150)</f>
        <v>6474296.2431565113</v>
      </c>
      <c r="K153" s="57">
        <f>SUM(K105:K152)</f>
        <v>2712353</v>
      </c>
      <c r="L153" s="57">
        <f>SUM(L105:L152)</f>
        <v>2757286</v>
      </c>
      <c r="M153" s="157">
        <f t="shared" si="17"/>
        <v>1.6566059063846041</v>
      </c>
      <c r="N153" s="157">
        <f t="shared" si="18"/>
        <v>42.588196406899335</v>
      </c>
      <c r="O153" s="57">
        <f>SUM(O105:O152)</f>
        <v>178505</v>
      </c>
      <c r="P153" s="57">
        <f>SUM(P105:P152)</f>
        <v>181118</v>
      </c>
      <c r="Q153" s="157">
        <f t="shared" si="19"/>
        <v>1.4638245427298955</v>
      </c>
      <c r="R153" s="159"/>
      <c r="S153" s="1">
        <v>1</v>
      </c>
      <c r="T153" s="165"/>
    </row>
    <row r="154" spans="1:20" ht="26.25" customHeight="1" thickBot="1" x14ac:dyDescent="0.25">
      <c r="A154" s="35"/>
      <c r="B154" s="36"/>
      <c r="C154" s="28"/>
      <c r="D154" s="28"/>
      <c r="E154" s="28"/>
      <c r="F154" s="106"/>
      <c r="G154" s="106"/>
      <c r="H154" s="106"/>
      <c r="I154" s="106"/>
      <c r="J154" s="28"/>
      <c r="K154" s="28"/>
      <c r="L154" s="28"/>
      <c r="M154" s="28"/>
      <c r="N154" s="28"/>
      <c r="O154" s="28"/>
      <c r="P154" s="28"/>
      <c r="Q154" s="28"/>
      <c r="R154" s="15"/>
      <c r="S154" s="1">
        <v>1</v>
      </c>
    </row>
    <row r="155" spans="1:20" s="6" customFormat="1" ht="14.25" x14ac:dyDescent="0.2">
      <c r="A155" s="18" t="s">
        <v>150</v>
      </c>
      <c r="B155" s="19"/>
      <c r="C155" s="20"/>
      <c r="D155" s="29"/>
      <c r="E155" s="29"/>
      <c r="F155" s="107"/>
      <c r="G155" s="107"/>
      <c r="H155" s="107"/>
      <c r="I155" s="107"/>
      <c r="J155" s="20"/>
      <c r="K155" s="29"/>
      <c r="L155" s="29"/>
      <c r="M155" s="29"/>
      <c r="N155" s="29"/>
      <c r="O155" s="29"/>
      <c r="P155" s="29"/>
      <c r="Q155" s="29"/>
      <c r="R155" s="22"/>
      <c r="S155" s="1">
        <v>1</v>
      </c>
    </row>
    <row r="156" spans="1:20" s="7" customFormat="1" ht="14.25" x14ac:dyDescent="0.2">
      <c r="A156" s="23">
        <v>1</v>
      </c>
      <c r="B156" s="24" t="s">
        <v>151</v>
      </c>
      <c r="C156" s="25">
        <v>19</v>
      </c>
      <c r="D156" s="25">
        <v>19</v>
      </c>
      <c r="E156" s="39">
        <v>19</v>
      </c>
      <c r="F156" s="105">
        <f t="shared" ref="F156:F172" si="25">(E156-D156)/D156%</f>
        <v>0</v>
      </c>
      <c r="G156" s="105">
        <f t="shared" ref="G156:G172" si="26">E156/C156%</f>
        <v>100</v>
      </c>
      <c r="H156" s="39">
        <v>106</v>
      </c>
      <c r="I156" s="40">
        <v>106</v>
      </c>
      <c r="J156" s="30">
        <v>46469.594594594593</v>
      </c>
      <c r="K156" s="25">
        <v>22661</v>
      </c>
      <c r="L156" s="39">
        <v>23761</v>
      </c>
      <c r="M156" s="105">
        <f t="shared" ref="M156:M172" si="27">(L156-K156)/K156%</f>
        <v>4.8541547151493756</v>
      </c>
      <c r="N156" s="105">
        <f t="shared" ref="N156:N172" si="28">L156/J156%</f>
        <v>51.132359142130134</v>
      </c>
      <c r="O156" s="25">
        <v>1205</v>
      </c>
      <c r="P156" s="39">
        <v>1262</v>
      </c>
      <c r="Q156" s="105">
        <f t="shared" ref="Q156:Q172" si="29">(P156-O156)/O156%</f>
        <v>4.7302904564315353</v>
      </c>
      <c r="R156" s="32" t="s">
        <v>5</v>
      </c>
      <c r="S156" s="1">
        <v>1</v>
      </c>
    </row>
    <row r="157" spans="1:20" s="7" customFormat="1" ht="14.25" x14ac:dyDescent="0.2">
      <c r="A157" s="23">
        <v>1</v>
      </c>
      <c r="B157" s="24" t="s">
        <v>178</v>
      </c>
      <c r="C157" s="25">
        <v>19</v>
      </c>
      <c r="D157" s="25">
        <v>10</v>
      </c>
      <c r="E157" s="25">
        <f>D157</f>
        <v>10</v>
      </c>
      <c r="F157" s="105">
        <f t="shared" si="25"/>
        <v>0</v>
      </c>
      <c r="G157" s="105">
        <f t="shared" si="26"/>
        <v>52.631578947368418</v>
      </c>
      <c r="H157" s="25">
        <v>53</v>
      </c>
      <c r="I157" s="25">
        <f>H157</f>
        <v>53</v>
      </c>
      <c r="J157" s="25">
        <v>46469.594594594593</v>
      </c>
      <c r="K157" s="25">
        <v>672</v>
      </c>
      <c r="L157" s="25">
        <f>K157</f>
        <v>672</v>
      </c>
      <c r="M157" s="105">
        <f t="shared" si="27"/>
        <v>0</v>
      </c>
      <c r="N157" s="105">
        <f t="shared" si="28"/>
        <v>1.4461068702290076</v>
      </c>
      <c r="O157" s="25">
        <v>32</v>
      </c>
      <c r="P157" s="25">
        <f>O157</f>
        <v>32</v>
      </c>
      <c r="Q157" s="105">
        <f t="shared" si="29"/>
        <v>0</v>
      </c>
      <c r="R157" s="32" t="s">
        <v>1</v>
      </c>
      <c r="S157" s="1">
        <v>1</v>
      </c>
    </row>
    <row r="158" spans="1:20" s="7" customFormat="1" ht="14.25" x14ac:dyDescent="0.2">
      <c r="A158" s="23">
        <v>2</v>
      </c>
      <c r="B158" s="24" t="s">
        <v>177</v>
      </c>
      <c r="C158" s="25">
        <v>13</v>
      </c>
      <c r="D158" s="25">
        <v>5</v>
      </c>
      <c r="E158" s="39">
        <v>5</v>
      </c>
      <c r="F158" s="105">
        <f t="shared" si="25"/>
        <v>0</v>
      </c>
      <c r="G158" s="105">
        <f t="shared" si="26"/>
        <v>38.46153846153846</v>
      </c>
      <c r="H158" s="39">
        <v>161</v>
      </c>
      <c r="I158" s="40">
        <v>161</v>
      </c>
      <c r="J158" s="30">
        <v>21296</v>
      </c>
      <c r="K158" s="25">
        <v>12914</v>
      </c>
      <c r="L158" s="39">
        <v>12914</v>
      </c>
      <c r="M158" s="105">
        <f t="shared" si="27"/>
        <v>0</v>
      </c>
      <c r="N158" s="105">
        <f t="shared" si="28"/>
        <v>60.640495867768593</v>
      </c>
      <c r="O158" s="25">
        <v>593</v>
      </c>
      <c r="P158" s="39">
        <v>593</v>
      </c>
      <c r="Q158" s="105">
        <f t="shared" si="29"/>
        <v>0</v>
      </c>
      <c r="R158" s="32" t="s">
        <v>5</v>
      </c>
      <c r="S158" s="1">
        <v>1</v>
      </c>
    </row>
    <row r="159" spans="1:20" s="7" customFormat="1" ht="14.25" x14ac:dyDescent="0.2">
      <c r="A159" s="23">
        <v>2</v>
      </c>
      <c r="B159" s="24" t="s">
        <v>179</v>
      </c>
      <c r="C159" s="25">
        <v>13</v>
      </c>
      <c r="D159" s="25">
        <v>10</v>
      </c>
      <c r="E159" s="25">
        <f>D159</f>
        <v>10</v>
      </c>
      <c r="F159" s="105">
        <f t="shared" si="25"/>
        <v>0</v>
      </c>
      <c r="G159" s="105">
        <f t="shared" si="26"/>
        <v>76.92307692307692</v>
      </c>
      <c r="H159" s="25">
        <v>77</v>
      </c>
      <c r="I159" s="25">
        <f>H159</f>
        <v>77</v>
      </c>
      <c r="J159" s="25">
        <v>21296</v>
      </c>
      <c r="K159" s="25">
        <v>16770</v>
      </c>
      <c r="L159" s="25">
        <f>K159</f>
        <v>16770</v>
      </c>
      <c r="M159" s="105">
        <f t="shared" si="27"/>
        <v>0</v>
      </c>
      <c r="N159" s="105">
        <f t="shared" si="28"/>
        <v>78.747182569496616</v>
      </c>
      <c r="O159" s="25">
        <v>827</v>
      </c>
      <c r="P159" s="25">
        <f>O159</f>
        <v>827</v>
      </c>
      <c r="Q159" s="105">
        <f t="shared" si="29"/>
        <v>0</v>
      </c>
      <c r="R159" s="32" t="s">
        <v>1</v>
      </c>
      <c r="S159" s="1">
        <v>1</v>
      </c>
    </row>
    <row r="160" spans="1:20" s="7" customFormat="1" ht="14.25" x14ac:dyDescent="0.2">
      <c r="A160" s="23">
        <v>3</v>
      </c>
      <c r="B160" s="24" t="s">
        <v>152</v>
      </c>
      <c r="C160" s="25">
        <v>38</v>
      </c>
      <c r="D160" s="25">
        <v>33</v>
      </c>
      <c r="E160" s="39">
        <v>33</v>
      </c>
      <c r="F160" s="105">
        <f t="shared" si="25"/>
        <v>0</v>
      </c>
      <c r="G160" s="105">
        <f t="shared" si="26"/>
        <v>86.84210526315789</v>
      </c>
      <c r="H160" s="39">
        <v>163</v>
      </c>
      <c r="I160" s="40">
        <v>163</v>
      </c>
      <c r="J160" s="30">
        <v>67482.876712328754</v>
      </c>
      <c r="K160" s="25">
        <v>38032</v>
      </c>
      <c r="L160" s="39">
        <v>39499</v>
      </c>
      <c r="M160" s="105">
        <f t="shared" si="27"/>
        <v>3.8572780816154819</v>
      </c>
      <c r="N160" s="105">
        <f t="shared" si="28"/>
        <v>58.531885308297397</v>
      </c>
      <c r="O160" s="25">
        <v>2202</v>
      </c>
      <c r="P160" s="39">
        <v>2292</v>
      </c>
      <c r="Q160" s="105">
        <f t="shared" si="29"/>
        <v>4.0871934604904636</v>
      </c>
      <c r="R160" s="32" t="s">
        <v>5</v>
      </c>
      <c r="S160" s="1">
        <v>1</v>
      </c>
    </row>
    <row r="161" spans="1:19" s="7" customFormat="1" ht="14.25" x14ac:dyDescent="0.2">
      <c r="A161" s="23">
        <v>3</v>
      </c>
      <c r="B161" s="24" t="s">
        <v>153</v>
      </c>
      <c r="C161" s="25">
        <v>38</v>
      </c>
      <c r="D161" s="25">
        <v>36</v>
      </c>
      <c r="E161" s="25">
        <f>D161</f>
        <v>36</v>
      </c>
      <c r="F161" s="105">
        <f t="shared" si="25"/>
        <v>0</v>
      </c>
      <c r="G161" s="105">
        <f t="shared" si="26"/>
        <v>94.73684210526315</v>
      </c>
      <c r="H161" s="25">
        <v>95</v>
      </c>
      <c r="I161" s="25">
        <f>H161</f>
        <v>95</v>
      </c>
      <c r="J161" s="25">
        <v>67482.876712328754</v>
      </c>
      <c r="K161" s="25">
        <v>13807</v>
      </c>
      <c r="L161" s="25">
        <f>K161</f>
        <v>13807</v>
      </c>
      <c r="M161" s="105">
        <f t="shared" si="27"/>
        <v>0</v>
      </c>
      <c r="N161" s="105">
        <f t="shared" si="28"/>
        <v>20.460005074854102</v>
      </c>
      <c r="O161" s="25">
        <v>566</v>
      </c>
      <c r="P161" s="25">
        <f>O161</f>
        <v>566</v>
      </c>
      <c r="Q161" s="105">
        <f t="shared" si="29"/>
        <v>0</v>
      </c>
      <c r="R161" s="32" t="s">
        <v>1</v>
      </c>
      <c r="S161" s="1">
        <v>1</v>
      </c>
    </row>
    <row r="162" spans="1:19" s="7" customFormat="1" ht="14.25" x14ac:dyDescent="0.2">
      <c r="A162" s="23">
        <v>4</v>
      </c>
      <c r="B162" s="24" t="s">
        <v>154</v>
      </c>
      <c r="C162" s="25">
        <v>32</v>
      </c>
      <c r="D162" s="25">
        <v>18</v>
      </c>
      <c r="E162" s="39">
        <v>18</v>
      </c>
      <c r="F162" s="105">
        <f t="shared" si="25"/>
        <v>0</v>
      </c>
      <c r="G162" s="105">
        <f t="shared" si="26"/>
        <v>56.25</v>
      </c>
      <c r="H162" s="39">
        <v>415</v>
      </c>
      <c r="I162" s="39">
        <v>415</v>
      </c>
      <c r="J162" s="25">
        <v>60712</v>
      </c>
      <c r="K162" s="25">
        <v>21451</v>
      </c>
      <c r="L162" s="39">
        <v>21451</v>
      </c>
      <c r="M162" s="105">
        <f t="shared" si="27"/>
        <v>0</v>
      </c>
      <c r="N162" s="105">
        <f t="shared" si="28"/>
        <v>35.332388984055868</v>
      </c>
      <c r="O162" s="25">
        <v>992</v>
      </c>
      <c r="P162" s="39">
        <v>992</v>
      </c>
      <c r="Q162" s="105">
        <f t="shared" si="29"/>
        <v>0</v>
      </c>
      <c r="R162" s="32" t="s">
        <v>5</v>
      </c>
      <c r="S162" s="1">
        <v>1</v>
      </c>
    </row>
    <row r="163" spans="1:19" s="7" customFormat="1" ht="14.25" x14ac:dyDescent="0.2">
      <c r="A163" s="23">
        <v>4</v>
      </c>
      <c r="B163" s="24" t="s">
        <v>155</v>
      </c>
      <c r="C163" s="25">
        <v>32</v>
      </c>
      <c r="D163" s="25">
        <v>26</v>
      </c>
      <c r="E163" s="25">
        <f>D163</f>
        <v>26</v>
      </c>
      <c r="F163" s="105">
        <f t="shared" si="25"/>
        <v>0</v>
      </c>
      <c r="G163" s="105">
        <f t="shared" si="26"/>
        <v>81.25</v>
      </c>
      <c r="H163" s="25">
        <v>81</v>
      </c>
      <c r="I163" s="25">
        <f>H163</f>
        <v>81</v>
      </c>
      <c r="J163" s="25">
        <v>60712</v>
      </c>
      <c r="K163" s="25">
        <v>45689</v>
      </c>
      <c r="L163" s="25">
        <f>K163</f>
        <v>45689</v>
      </c>
      <c r="M163" s="105">
        <f t="shared" si="27"/>
        <v>0</v>
      </c>
      <c r="N163" s="105">
        <f t="shared" si="28"/>
        <v>75.255303729081561</v>
      </c>
      <c r="O163" s="25">
        <v>2192</v>
      </c>
      <c r="P163" s="25">
        <f>O163</f>
        <v>2192</v>
      </c>
      <c r="Q163" s="105">
        <f t="shared" si="29"/>
        <v>0</v>
      </c>
      <c r="R163" s="32" t="s">
        <v>1</v>
      </c>
      <c r="S163" s="1">
        <v>1</v>
      </c>
    </row>
    <row r="164" spans="1:19" s="7" customFormat="1" ht="14.25" x14ac:dyDescent="0.2">
      <c r="A164" s="23">
        <v>5</v>
      </c>
      <c r="B164" s="24" t="s">
        <v>156</v>
      </c>
      <c r="C164" s="25">
        <v>9</v>
      </c>
      <c r="D164" s="25">
        <v>9</v>
      </c>
      <c r="E164" s="39">
        <v>9</v>
      </c>
      <c r="F164" s="105">
        <f t="shared" si="25"/>
        <v>0</v>
      </c>
      <c r="G164" s="105">
        <f t="shared" si="26"/>
        <v>100</v>
      </c>
      <c r="H164" s="39">
        <v>85</v>
      </c>
      <c r="I164" s="39">
        <v>85</v>
      </c>
      <c r="J164" s="25">
        <v>15648.786335031467</v>
      </c>
      <c r="K164" s="25">
        <v>7213</v>
      </c>
      <c r="L164" s="39">
        <v>7213</v>
      </c>
      <c r="M164" s="105">
        <f t="shared" si="27"/>
        <v>0</v>
      </c>
      <c r="N164" s="105">
        <f t="shared" si="28"/>
        <v>46.093031405591717</v>
      </c>
      <c r="O164" s="25">
        <v>331</v>
      </c>
      <c r="P164" s="39">
        <v>331</v>
      </c>
      <c r="Q164" s="105">
        <f t="shared" si="29"/>
        <v>0</v>
      </c>
      <c r="R164" s="32" t="s">
        <v>5</v>
      </c>
      <c r="S164" s="1">
        <v>1</v>
      </c>
    </row>
    <row r="165" spans="1:19" s="7" customFormat="1" ht="14.25" x14ac:dyDescent="0.2">
      <c r="A165" s="23">
        <v>5</v>
      </c>
      <c r="B165" s="24" t="s">
        <v>157</v>
      </c>
      <c r="C165" s="25">
        <v>9</v>
      </c>
      <c r="D165" s="25">
        <v>9</v>
      </c>
      <c r="E165" s="25">
        <f>D165</f>
        <v>9</v>
      </c>
      <c r="F165" s="105">
        <f t="shared" si="25"/>
        <v>0</v>
      </c>
      <c r="G165" s="105">
        <f t="shared" si="26"/>
        <v>100</v>
      </c>
      <c r="H165" s="25">
        <v>100</v>
      </c>
      <c r="I165" s="25">
        <f>H165</f>
        <v>100</v>
      </c>
      <c r="J165" s="25">
        <v>15648.786335031467</v>
      </c>
      <c r="K165" s="25">
        <v>6722</v>
      </c>
      <c r="L165" s="25">
        <f>K165</f>
        <v>6722</v>
      </c>
      <c r="M165" s="105">
        <f t="shared" si="27"/>
        <v>0</v>
      </c>
      <c r="N165" s="105">
        <f t="shared" si="28"/>
        <v>42.955407889697426</v>
      </c>
      <c r="O165" s="25">
        <v>267</v>
      </c>
      <c r="P165" s="25">
        <f>O165</f>
        <v>267</v>
      </c>
      <c r="Q165" s="105">
        <f t="shared" si="29"/>
        <v>0</v>
      </c>
      <c r="R165" s="32" t="s">
        <v>1</v>
      </c>
      <c r="S165" s="1">
        <v>1</v>
      </c>
    </row>
    <row r="166" spans="1:19" s="7" customFormat="1" ht="14.25" x14ac:dyDescent="0.2">
      <c r="A166" s="23">
        <v>6</v>
      </c>
      <c r="B166" s="24" t="s">
        <v>158</v>
      </c>
      <c r="C166" s="25">
        <v>25</v>
      </c>
      <c r="D166" s="25">
        <v>25</v>
      </c>
      <c r="E166" s="39">
        <v>25</v>
      </c>
      <c r="F166" s="105">
        <f t="shared" si="25"/>
        <v>0</v>
      </c>
      <c r="G166" s="105">
        <f t="shared" si="26"/>
        <v>100</v>
      </c>
      <c r="H166" s="39">
        <v>108</v>
      </c>
      <c r="I166" s="40">
        <v>108</v>
      </c>
      <c r="J166" s="30">
        <v>47319.07894736842</v>
      </c>
      <c r="K166" s="25">
        <v>38589</v>
      </c>
      <c r="L166" s="39">
        <v>39564</v>
      </c>
      <c r="M166" s="105">
        <f t="shared" si="27"/>
        <v>2.5266267589209361</v>
      </c>
      <c r="N166" s="105">
        <f t="shared" si="28"/>
        <v>83.611094890510941</v>
      </c>
      <c r="O166" s="25">
        <v>1990</v>
      </c>
      <c r="P166" s="39">
        <v>2032</v>
      </c>
      <c r="Q166" s="105">
        <f t="shared" si="29"/>
        <v>2.1105527638190957</v>
      </c>
      <c r="R166" s="32" t="s">
        <v>5</v>
      </c>
      <c r="S166" s="1">
        <v>1</v>
      </c>
    </row>
    <row r="167" spans="1:19" s="136" customFormat="1" ht="14.25" x14ac:dyDescent="0.2">
      <c r="A167" s="23">
        <v>6</v>
      </c>
      <c r="B167" s="24" t="s">
        <v>263</v>
      </c>
      <c r="C167" s="25">
        <v>25</v>
      </c>
      <c r="D167" s="25">
        <v>12</v>
      </c>
      <c r="E167" s="25">
        <f>D167</f>
        <v>12</v>
      </c>
      <c r="F167" s="105">
        <f t="shared" si="25"/>
        <v>0</v>
      </c>
      <c r="G167" s="105">
        <f t="shared" si="26"/>
        <v>48</v>
      </c>
      <c r="H167" s="25">
        <v>48</v>
      </c>
      <c r="I167" s="25">
        <f t="shared" ref="I167:I168" si="30">H167</f>
        <v>48</v>
      </c>
      <c r="J167" s="30">
        <v>47319.07894736842</v>
      </c>
      <c r="K167" s="25">
        <v>4523</v>
      </c>
      <c r="L167" s="25">
        <f>K167</f>
        <v>4523</v>
      </c>
      <c r="M167" s="105">
        <f t="shared" si="27"/>
        <v>0</v>
      </c>
      <c r="N167" s="105">
        <f t="shared" si="28"/>
        <v>9.5585123392422666</v>
      </c>
      <c r="O167" s="25">
        <v>260</v>
      </c>
      <c r="P167" s="25">
        <f>O167</f>
        <v>260</v>
      </c>
      <c r="Q167" s="105">
        <f t="shared" si="29"/>
        <v>0</v>
      </c>
      <c r="R167" s="32" t="s">
        <v>1</v>
      </c>
      <c r="S167" s="1">
        <v>1</v>
      </c>
    </row>
    <row r="168" spans="1:19" s="7" customFormat="1" ht="14.25" x14ac:dyDescent="0.2">
      <c r="A168" s="23">
        <v>7</v>
      </c>
      <c r="B168" s="24" t="s">
        <v>159</v>
      </c>
      <c r="C168" s="25">
        <v>18</v>
      </c>
      <c r="D168" s="25">
        <v>18</v>
      </c>
      <c r="E168" s="25">
        <f>D168</f>
        <v>18</v>
      </c>
      <c r="F168" s="105">
        <f t="shared" si="25"/>
        <v>0</v>
      </c>
      <c r="G168" s="105">
        <f t="shared" si="26"/>
        <v>100</v>
      </c>
      <c r="H168" s="25">
        <v>100</v>
      </c>
      <c r="I168" s="25">
        <f t="shared" si="30"/>
        <v>100</v>
      </c>
      <c r="J168" s="25">
        <v>54333</v>
      </c>
      <c r="K168" s="25">
        <v>5541</v>
      </c>
      <c r="L168" s="25">
        <f>K168</f>
        <v>5541</v>
      </c>
      <c r="M168" s="105">
        <f t="shared" si="27"/>
        <v>0</v>
      </c>
      <c r="N168" s="105">
        <f t="shared" si="28"/>
        <v>10.198222074982054</v>
      </c>
      <c r="O168" s="25">
        <v>227</v>
      </c>
      <c r="P168" s="25">
        <f>O168</f>
        <v>227</v>
      </c>
      <c r="Q168" s="105">
        <f t="shared" si="29"/>
        <v>0</v>
      </c>
      <c r="R168" s="32" t="s">
        <v>1</v>
      </c>
      <c r="S168" s="1">
        <v>1</v>
      </c>
    </row>
    <row r="169" spans="1:19" s="7" customFormat="1" ht="14.25" x14ac:dyDescent="0.2">
      <c r="A169" s="23">
        <v>8</v>
      </c>
      <c r="B169" s="24" t="s">
        <v>160</v>
      </c>
      <c r="C169" s="25">
        <v>12</v>
      </c>
      <c r="D169" s="25">
        <v>13</v>
      </c>
      <c r="E169" s="39">
        <v>13</v>
      </c>
      <c r="F169" s="105">
        <f t="shared" si="25"/>
        <v>0</v>
      </c>
      <c r="G169" s="105">
        <f t="shared" si="26"/>
        <v>108.33333333333334</v>
      </c>
      <c r="H169" s="39">
        <v>25</v>
      </c>
      <c r="I169" s="40">
        <v>25</v>
      </c>
      <c r="J169" s="30">
        <v>26849.31506849315</v>
      </c>
      <c r="K169" s="25">
        <v>13171</v>
      </c>
      <c r="L169" s="39">
        <v>13576</v>
      </c>
      <c r="M169" s="105">
        <f t="shared" si="27"/>
        <v>3.0749373623870624</v>
      </c>
      <c r="N169" s="105">
        <f t="shared" si="28"/>
        <v>50.563673469387759</v>
      </c>
      <c r="O169" s="25">
        <v>702</v>
      </c>
      <c r="P169" s="39">
        <v>728</v>
      </c>
      <c r="Q169" s="105">
        <f t="shared" si="29"/>
        <v>3.7037037037037037</v>
      </c>
      <c r="R169" s="32" t="s">
        <v>5</v>
      </c>
      <c r="S169" s="1">
        <v>1</v>
      </c>
    </row>
    <row r="170" spans="1:19" s="7" customFormat="1" ht="14.25" x14ac:dyDescent="0.2">
      <c r="A170" s="23">
        <v>9</v>
      </c>
      <c r="B170" s="24" t="s">
        <v>161</v>
      </c>
      <c r="C170" s="25">
        <v>22</v>
      </c>
      <c r="D170" s="25">
        <v>15</v>
      </c>
      <c r="E170" s="25">
        <f>D170</f>
        <v>15</v>
      </c>
      <c r="F170" s="105">
        <f t="shared" si="25"/>
        <v>0</v>
      </c>
      <c r="G170" s="105">
        <f t="shared" si="26"/>
        <v>68.181818181818187</v>
      </c>
      <c r="H170" s="25">
        <v>68</v>
      </c>
      <c r="I170" s="25">
        <f>H170</f>
        <v>68</v>
      </c>
      <c r="J170" s="25">
        <v>40208</v>
      </c>
      <c r="K170" s="25">
        <v>8596</v>
      </c>
      <c r="L170" s="25">
        <f>K170</f>
        <v>8596</v>
      </c>
      <c r="M170" s="105">
        <f t="shared" si="27"/>
        <v>0</v>
      </c>
      <c r="N170" s="105">
        <f t="shared" si="28"/>
        <v>21.378830083565461</v>
      </c>
      <c r="O170" s="25">
        <v>379</v>
      </c>
      <c r="P170" s="25">
        <f>O170</f>
        <v>379</v>
      </c>
      <c r="Q170" s="105">
        <f t="shared" si="29"/>
        <v>0</v>
      </c>
      <c r="R170" s="32" t="s">
        <v>1</v>
      </c>
      <c r="S170" s="1">
        <v>1</v>
      </c>
    </row>
    <row r="171" spans="1:19" s="7" customFormat="1" thickBot="1" x14ac:dyDescent="0.25">
      <c r="A171" s="37">
        <v>10</v>
      </c>
      <c r="B171" s="38" t="s">
        <v>176</v>
      </c>
      <c r="C171" s="39">
        <v>8</v>
      </c>
      <c r="D171" s="39">
        <v>8</v>
      </c>
      <c r="E171" s="39">
        <v>8</v>
      </c>
      <c r="F171" s="140">
        <f t="shared" si="25"/>
        <v>0</v>
      </c>
      <c r="G171" s="140">
        <f t="shared" si="26"/>
        <v>100</v>
      </c>
      <c r="H171" s="39">
        <v>88</v>
      </c>
      <c r="I171" s="40">
        <v>88</v>
      </c>
      <c r="J171" s="40">
        <v>18651</v>
      </c>
      <c r="K171" s="25">
        <v>10680</v>
      </c>
      <c r="L171" s="39">
        <v>11044</v>
      </c>
      <c r="M171" s="140">
        <f t="shared" si="27"/>
        <v>3.4082397003745317</v>
      </c>
      <c r="N171" s="140">
        <f t="shared" si="28"/>
        <v>59.213983164441586</v>
      </c>
      <c r="O171" s="25">
        <v>591</v>
      </c>
      <c r="P171" s="39">
        <v>638</v>
      </c>
      <c r="Q171" s="140">
        <f t="shared" si="29"/>
        <v>7.9526226734348562</v>
      </c>
      <c r="R171" s="42" t="s">
        <v>5</v>
      </c>
      <c r="S171" s="1">
        <v>1</v>
      </c>
    </row>
    <row r="172" spans="1:19" s="5" customFormat="1" ht="15.75" thickBot="1" x14ac:dyDescent="0.3">
      <c r="A172" s="156">
        <f>COUNTIF(R156:R171,"*")-6</f>
        <v>10</v>
      </c>
      <c r="B172" s="155" t="s">
        <v>39</v>
      </c>
      <c r="C172" s="57">
        <f>(C156+C158+C160+C162+C164+C166+C168+C169+C170+C171)</f>
        <v>196</v>
      </c>
      <c r="D172" s="57">
        <f>(D156+D159+D161+D163+D165+D166+D168+D169+D170+D171)</f>
        <v>179</v>
      </c>
      <c r="E172" s="57">
        <f>(E156+E159+E161+E163+E165+E166+E168+E169+E170+E171)</f>
        <v>179</v>
      </c>
      <c r="F172" s="157">
        <f t="shared" si="25"/>
        <v>0</v>
      </c>
      <c r="G172" s="157">
        <f t="shared" si="26"/>
        <v>91.326530612244895</v>
      </c>
      <c r="H172" s="157">
        <f>SUM(H156:H171)</f>
        <v>1773</v>
      </c>
      <c r="I172" s="157">
        <f>SUM(I156:I171)</f>
        <v>1773</v>
      </c>
      <c r="J172" s="57">
        <f>(J156+J158+J160+J162+J164+J166+J168+J169+J170+J171)</f>
        <v>398969.65165781637</v>
      </c>
      <c r="K172" s="57">
        <f>SUM(K156:K171)</f>
        <v>267031</v>
      </c>
      <c r="L172" s="57">
        <f>SUM(L156:L171)</f>
        <v>271342</v>
      </c>
      <c r="M172" s="157">
        <f t="shared" si="27"/>
        <v>1.614419299631878</v>
      </c>
      <c r="N172" s="157">
        <f t="shared" si="28"/>
        <v>68.010686745848389</v>
      </c>
      <c r="O172" s="57">
        <f>SUM(O156:O171)</f>
        <v>13356</v>
      </c>
      <c r="P172" s="57"/>
      <c r="Q172" s="157">
        <f t="shared" si="29"/>
        <v>-100</v>
      </c>
      <c r="R172" s="159"/>
      <c r="S172" s="1">
        <v>1</v>
      </c>
    </row>
    <row r="173" spans="1:19" ht="13.5" customHeight="1" thickBot="1" x14ac:dyDescent="0.25">
      <c r="A173" s="35"/>
      <c r="B173" s="36"/>
      <c r="C173" s="28"/>
      <c r="D173" s="28"/>
      <c r="E173" s="28"/>
      <c r="F173" s="106"/>
      <c r="G173" s="106"/>
      <c r="H173" s="106"/>
      <c r="I173" s="106"/>
      <c r="J173" s="28"/>
      <c r="K173" s="28"/>
      <c r="L173" s="28"/>
      <c r="M173" s="28"/>
      <c r="N173" s="28"/>
      <c r="O173" s="28"/>
      <c r="P173" s="28"/>
      <c r="Q173" s="28"/>
      <c r="R173" s="15"/>
      <c r="S173" s="1">
        <v>1</v>
      </c>
    </row>
    <row r="174" spans="1:19" s="6" customFormat="1" ht="14.25" x14ac:dyDescent="0.2">
      <c r="A174" s="18" t="s">
        <v>162</v>
      </c>
      <c r="B174" s="19"/>
      <c r="C174" s="20"/>
      <c r="D174" s="29"/>
      <c r="E174" s="29"/>
      <c r="F174" s="107"/>
      <c r="G174" s="107"/>
      <c r="H174" s="107"/>
      <c r="I174" s="107"/>
      <c r="J174" s="20"/>
      <c r="K174" s="29"/>
      <c r="L174" s="29"/>
      <c r="M174" s="29"/>
      <c r="N174" s="29"/>
      <c r="O174" s="29"/>
      <c r="P174" s="29"/>
      <c r="Q174" s="29"/>
      <c r="R174" s="22"/>
      <c r="S174" s="1">
        <v>1</v>
      </c>
    </row>
    <row r="175" spans="1:19" s="7" customFormat="1" ht="14.25" x14ac:dyDescent="0.2">
      <c r="A175" s="23">
        <v>1</v>
      </c>
      <c r="B175" s="24" t="s">
        <v>163</v>
      </c>
      <c r="C175" s="25">
        <v>8</v>
      </c>
      <c r="D175" s="25">
        <v>8</v>
      </c>
      <c r="E175" s="25">
        <f>'[4]1.RSP Districts '!E174</f>
        <v>8</v>
      </c>
      <c r="F175" s="105">
        <f t="shared" ref="F175:F182" si="31">(E175-D175)/D175%</f>
        <v>0</v>
      </c>
      <c r="G175" s="105">
        <f t="shared" ref="G175:G182" si="32">E175/C175%</f>
        <v>100</v>
      </c>
      <c r="H175" s="141">
        <v>44</v>
      </c>
      <c r="I175" s="25">
        <f>'[4]1.RSP Districts '!I174</f>
        <v>44</v>
      </c>
      <c r="J175" s="30">
        <v>10999.903096902348</v>
      </c>
      <c r="K175" s="25">
        <v>6444</v>
      </c>
      <c r="L175" s="25">
        <f>'[4]1.RSP Districts '!L174</f>
        <v>6444</v>
      </c>
      <c r="M175" s="105">
        <f t="shared" ref="M175:M182" si="33">(L175-K175)/K175%</f>
        <v>0</v>
      </c>
      <c r="N175" s="105">
        <f t="shared" ref="N175:N182" si="34">L175/J175%</f>
        <v>58.582334255423369</v>
      </c>
      <c r="O175" s="25">
        <v>304</v>
      </c>
      <c r="P175" s="25">
        <f>'[4]1.RSP Districts '!P174</f>
        <v>333</v>
      </c>
      <c r="Q175" s="105">
        <f t="shared" ref="Q175:Q182" si="35">(P175-O175)/O175%</f>
        <v>9.5394736842105257</v>
      </c>
      <c r="R175" s="32" t="s">
        <v>2</v>
      </c>
      <c r="S175" s="1">
        <v>1</v>
      </c>
    </row>
    <row r="176" spans="1:19" s="7" customFormat="1" ht="14.25" x14ac:dyDescent="0.2">
      <c r="A176" s="23">
        <v>2</v>
      </c>
      <c r="B176" s="24" t="s">
        <v>205</v>
      </c>
      <c r="C176" s="25">
        <v>9</v>
      </c>
      <c r="D176" s="25"/>
      <c r="E176" s="25"/>
      <c r="F176" s="105">
        <v>0</v>
      </c>
      <c r="G176" s="105">
        <f t="shared" si="32"/>
        <v>0</v>
      </c>
      <c r="H176" s="141"/>
      <c r="I176" s="141"/>
      <c r="J176" s="30">
        <v>0</v>
      </c>
      <c r="K176" s="25">
        <v>0</v>
      </c>
      <c r="L176" s="25"/>
      <c r="M176" s="105">
        <v>0</v>
      </c>
      <c r="N176" s="105">
        <v>0</v>
      </c>
      <c r="O176" s="25"/>
      <c r="P176" s="25"/>
      <c r="Q176" s="105">
        <v>0</v>
      </c>
      <c r="R176" s="81">
        <v>0</v>
      </c>
      <c r="S176" s="1">
        <v>1</v>
      </c>
    </row>
    <row r="177" spans="1:19" s="7" customFormat="1" ht="14.25" x14ac:dyDescent="0.2">
      <c r="A177" s="23">
        <v>3</v>
      </c>
      <c r="B177" s="24" t="s">
        <v>164</v>
      </c>
      <c r="C177" s="25">
        <v>14</v>
      </c>
      <c r="D177" s="25">
        <v>14</v>
      </c>
      <c r="E177" s="25">
        <f>'[4]1.RSP Districts '!E176</f>
        <v>14</v>
      </c>
      <c r="F177" s="105">
        <f t="shared" si="31"/>
        <v>0</v>
      </c>
      <c r="G177" s="105">
        <f t="shared" si="32"/>
        <v>99.999999999999986</v>
      </c>
      <c r="H177" s="141">
        <v>56</v>
      </c>
      <c r="I177" s="25">
        <f>'[4]1.RSP Districts '!I176</f>
        <v>56</v>
      </c>
      <c r="J177" s="30">
        <v>18452.493081471035</v>
      </c>
      <c r="K177" s="25">
        <v>10401</v>
      </c>
      <c r="L177" s="25">
        <f>'[4]1.RSP Districts '!L176</f>
        <v>10401</v>
      </c>
      <c r="M177" s="105">
        <f t="shared" si="33"/>
        <v>0</v>
      </c>
      <c r="N177" s="105">
        <f t="shared" si="34"/>
        <v>56.366367157422779</v>
      </c>
      <c r="O177" s="25">
        <v>469</v>
      </c>
      <c r="P177" s="25">
        <f>'[4]1.RSP Districts '!P176</f>
        <v>469</v>
      </c>
      <c r="Q177" s="105">
        <f t="shared" si="35"/>
        <v>0</v>
      </c>
      <c r="R177" s="32" t="s">
        <v>2</v>
      </c>
      <c r="S177" s="1">
        <v>1</v>
      </c>
    </row>
    <row r="178" spans="1:19" s="7" customFormat="1" ht="14.25" x14ac:dyDescent="0.2">
      <c r="A178" s="23">
        <v>4</v>
      </c>
      <c r="B178" s="24" t="s">
        <v>165</v>
      </c>
      <c r="C178" s="25">
        <v>16</v>
      </c>
      <c r="D178" s="25">
        <v>16</v>
      </c>
      <c r="E178" s="25">
        <f>'[4]1.RSP Districts '!E177</f>
        <v>16</v>
      </c>
      <c r="F178" s="105">
        <f t="shared" si="31"/>
        <v>0</v>
      </c>
      <c r="G178" s="105">
        <f t="shared" si="32"/>
        <v>100</v>
      </c>
      <c r="H178" s="141">
        <v>44</v>
      </c>
      <c r="I178" s="25">
        <f>'[4]1.RSP Districts '!I177</f>
        <v>80</v>
      </c>
      <c r="J178" s="30">
        <v>13563.115170309828</v>
      </c>
      <c r="K178" s="25">
        <v>12420</v>
      </c>
      <c r="L178" s="25">
        <f>'[4]1.RSP Districts '!L177</f>
        <v>12420</v>
      </c>
      <c r="M178" s="105">
        <f t="shared" si="33"/>
        <v>0</v>
      </c>
      <c r="N178" s="105">
        <f t="shared" si="34"/>
        <v>91.571883332435675</v>
      </c>
      <c r="O178" s="25">
        <v>548</v>
      </c>
      <c r="P178" s="25">
        <f>'[4]1.RSP Districts '!P177</f>
        <v>548</v>
      </c>
      <c r="Q178" s="105">
        <f t="shared" si="35"/>
        <v>0</v>
      </c>
      <c r="R178" s="32" t="s">
        <v>2</v>
      </c>
      <c r="S178" s="1">
        <v>1</v>
      </c>
    </row>
    <row r="179" spans="1:19" s="7" customFormat="1" ht="14.25" x14ac:dyDescent="0.2">
      <c r="A179" s="23">
        <v>5</v>
      </c>
      <c r="B179" s="24" t="s">
        <v>166</v>
      </c>
      <c r="C179" s="25">
        <v>10</v>
      </c>
      <c r="D179" s="25">
        <v>10</v>
      </c>
      <c r="E179" s="25">
        <f>'[4]1.RSP Districts '!E178</f>
        <v>10</v>
      </c>
      <c r="F179" s="105">
        <f t="shared" si="31"/>
        <v>0</v>
      </c>
      <c r="G179" s="105">
        <f t="shared" si="32"/>
        <v>100</v>
      </c>
      <c r="H179" s="141">
        <v>55</v>
      </c>
      <c r="I179" s="25">
        <f>'[4]1.RSP Districts '!I178</f>
        <v>56</v>
      </c>
      <c r="J179" s="30">
        <v>17721</v>
      </c>
      <c r="K179" s="25">
        <v>10924</v>
      </c>
      <c r="L179" s="25">
        <f>'[4]1.RSP Districts '!L178</f>
        <v>10924</v>
      </c>
      <c r="M179" s="105">
        <f t="shared" si="33"/>
        <v>0</v>
      </c>
      <c r="N179" s="105">
        <f t="shared" si="34"/>
        <v>61.644376728175608</v>
      </c>
      <c r="O179" s="25">
        <v>434</v>
      </c>
      <c r="P179" s="25">
        <f>'[4]1.RSP Districts '!P178</f>
        <v>434</v>
      </c>
      <c r="Q179" s="105">
        <f t="shared" si="35"/>
        <v>0</v>
      </c>
      <c r="R179" s="32" t="s">
        <v>2</v>
      </c>
      <c r="S179" s="1">
        <v>1</v>
      </c>
    </row>
    <row r="180" spans="1:19" s="7" customFormat="1" ht="14.25" x14ac:dyDescent="0.2">
      <c r="A180" s="23">
        <v>6</v>
      </c>
      <c r="B180" s="24" t="s">
        <v>167</v>
      </c>
      <c r="C180" s="25">
        <v>15</v>
      </c>
      <c r="D180" s="25">
        <v>15</v>
      </c>
      <c r="E180" s="25">
        <f>'[4]1.RSP Districts '!E179</f>
        <v>15</v>
      </c>
      <c r="F180" s="105">
        <f t="shared" si="31"/>
        <v>0</v>
      </c>
      <c r="G180" s="105">
        <f t="shared" si="32"/>
        <v>100</v>
      </c>
      <c r="H180" s="141">
        <v>83</v>
      </c>
      <c r="I180" s="25">
        <f>'[4]1.RSP Districts '!I179</f>
        <v>83</v>
      </c>
      <c r="J180" s="30">
        <v>12779</v>
      </c>
      <c r="K180" s="25">
        <v>11965</v>
      </c>
      <c r="L180" s="25">
        <f>'[4]1.RSP Districts '!L179</f>
        <v>11965</v>
      </c>
      <c r="M180" s="105">
        <f t="shared" si="33"/>
        <v>0</v>
      </c>
      <c r="N180" s="105">
        <f t="shared" si="34"/>
        <v>93.630174505047336</v>
      </c>
      <c r="O180" s="25">
        <v>483</v>
      </c>
      <c r="P180" s="25">
        <f>'[4]1.RSP Districts '!P179</f>
        <v>507</v>
      </c>
      <c r="Q180" s="105">
        <f t="shared" si="35"/>
        <v>4.9689440993788816</v>
      </c>
      <c r="R180" s="32" t="s">
        <v>2</v>
      </c>
      <c r="S180" s="1">
        <v>1</v>
      </c>
    </row>
    <row r="181" spans="1:19" s="7" customFormat="1" thickBot="1" x14ac:dyDescent="0.25">
      <c r="A181" s="37">
        <v>7</v>
      </c>
      <c r="B181" s="38" t="s">
        <v>168</v>
      </c>
      <c r="C181" s="39">
        <v>31</v>
      </c>
      <c r="D181" s="39">
        <v>31</v>
      </c>
      <c r="E181" s="25">
        <f>'[4]1.RSP Districts '!E180</f>
        <v>31</v>
      </c>
      <c r="F181" s="140">
        <f t="shared" si="31"/>
        <v>0</v>
      </c>
      <c r="G181" s="140">
        <f t="shared" si="32"/>
        <v>100</v>
      </c>
      <c r="H181" s="154">
        <v>168</v>
      </c>
      <c r="I181" s="25">
        <f>'[4]1.RSP Districts '!I180</f>
        <v>167</v>
      </c>
      <c r="J181" s="40">
        <v>35134.322614801174</v>
      </c>
      <c r="K181" s="39">
        <v>23627</v>
      </c>
      <c r="L181" s="25">
        <f>'[4]1.RSP Districts '!L180</f>
        <v>23627</v>
      </c>
      <c r="M181" s="140">
        <f t="shared" si="33"/>
        <v>0</v>
      </c>
      <c r="N181" s="140">
        <f t="shared" si="34"/>
        <v>67.247632063487004</v>
      </c>
      <c r="O181" s="39">
        <v>1010</v>
      </c>
      <c r="P181" s="25">
        <f>'[4]1.RSP Districts '!P180</f>
        <v>1093</v>
      </c>
      <c r="Q181" s="140">
        <f t="shared" si="35"/>
        <v>8.217821782178218</v>
      </c>
      <c r="R181" s="42" t="s">
        <v>2</v>
      </c>
      <c r="S181" s="1">
        <v>1</v>
      </c>
    </row>
    <row r="182" spans="1:19" s="5" customFormat="1" ht="15.75" thickBot="1" x14ac:dyDescent="0.3">
      <c r="A182" s="156">
        <f>COUNTIF(R175:R181,"*")</f>
        <v>6</v>
      </c>
      <c r="B182" s="155" t="s">
        <v>39</v>
      </c>
      <c r="C182" s="57">
        <f>SUM(C175:C181)</f>
        <v>103</v>
      </c>
      <c r="D182" s="57">
        <f>SUM(D175:D181)</f>
        <v>94</v>
      </c>
      <c r="E182" s="57">
        <f>SUM(E175:E181)</f>
        <v>94</v>
      </c>
      <c r="F182" s="157">
        <f t="shared" si="31"/>
        <v>0</v>
      </c>
      <c r="G182" s="157">
        <f t="shared" si="32"/>
        <v>91.262135922330089</v>
      </c>
      <c r="H182" s="157">
        <f>SUM(H175:H181)</f>
        <v>450</v>
      </c>
      <c r="I182" s="157">
        <f>SUM(I175:I181)</f>
        <v>486</v>
      </c>
      <c r="J182" s="57">
        <f>SUM(J175:J181)</f>
        <v>108649.83396348439</v>
      </c>
      <c r="K182" s="57">
        <f>SUM(K175:K181)</f>
        <v>75781</v>
      </c>
      <c r="L182" s="57">
        <f>SUM(L175:L181)</f>
        <v>75781</v>
      </c>
      <c r="M182" s="157">
        <f t="shared" si="33"/>
        <v>0</v>
      </c>
      <c r="N182" s="157">
        <f t="shared" si="34"/>
        <v>69.747920669136846</v>
      </c>
      <c r="O182" s="57">
        <f>SUM(O175:O181)</f>
        <v>3248</v>
      </c>
      <c r="P182" s="57">
        <f>SUM(P175:P181)</f>
        <v>3384</v>
      </c>
      <c r="Q182" s="157">
        <f t="shared" si="35"/>
        <v>4.1871921182266014</v>
      </c>
      <c r="R182" s="159"/>
      <c r="S182" s="1">
        <v>1</v>
      </c>
    </row>
    <row r="183" spans="1:19" s="5" customFormat="1" ht="3.75" customHeight="1" thickBot="1" x14ac:dyDescent="0.3">
      <c r="A183" s="43"/>
      <c r="B183" s="44"/>
      <c r="C183" s="45"/>
      <c r="D183" s="28"/>
      <c r="E183" s="28"/>
      <c r="F183" s="153" t="e">
        <f>(D183-#REF!)/#REF!%</f>
        <v>#REF!</v>
      </c>
      <c r="G183" s="108"/>
      <c r="H183" s="108"/>
      <c r="I183" s="108"/>
      <c r="J183" s="45"/>
      <c r="K183" s="46"/>
      <c r="L183" s="46"/>
      <c r="M183" s="46"/>
      <c r="N183" s="46"/>
      <c r="O183" s="46"/>
      <c r="P183" s="46"/>
      <c r="Q183" s="46"/>
      <c r="R183" s="47"/>
      <c r="S183" s="1">
        <v>1</v>
      </c>
    </row>
    <row r="184" spans="1:19" s="6" customFormat="1" ht="14.25" x14ac:dyDescent="0.2">
      <c r="A184" s="18" t="s">
        <v>226</v>
      </c>
      <c r="B184" s="19"/>
      <c r="C184" s="20"/>
      <c r="D184" s="29"/>
      <c r="E184" s="29"/>
      <c r="F184" s="107"/>
      <c r="G184" s="107"/>
      <c r="H184" s="107"/>
      <c r="I184" s="107"/>
      <c r="J184" s="20"/>
      <c r="K184" s="29"/>
      <c r="L184" s="29"/>
      <c r="M184" s="29"/>
      <c r="N184" s="29"/>
      <c r="O184" s="29"/>
      <c r="P184" s="29"/>
      <c r="Q184" s="29"/>
      <c r="R184" s="22"/>
      <c r="S184" s="1">
        <v>1</v>
      </c>
    </row>
    <row r="185" spans="1:19" s="7" customFormat="1" ht="14.25" x14ac:dyDescent="0.2">
      <c r="A185" s="94">
        <v>1</v>
      </c>
      <c r="B185" s="24" t="s">
        <v>204</v>
      </c>
      <c r="C185" s="58">
        <v>37</v>
      </c>
      <c r="D185" s="58"/>
      <c r="E185" s="58"/>
      <c r="F185" s="105">
        <v>0</v>
      </c>
      <c r="G185" s="105">
        <f t="shared" ref="G185:G198" si="36">E185/C185%</f>
        <v>0</v>
      </c>
      <c r="H185" s="105">
        <v>0</v>
      </c>
      <c r="I185" s="105"/>
      <c r="J185" s="58">
        <v>65409.560439560439</v>
      </c>
      <c r="K185" s="25">
        <v>0</v>
      </c>
      <c r="L185" s="58"/>
      <c r="M185" s="105">
        <v>0</v>
      </c>
      <c r="N185" s="105">
        <v>0</v>
      </c>
      <c r="O185" s="25"/>
      <c r="P185" s="101"/>
      <c r="Q185" s="105">
        <v>0</v>
      </c>
      <c r="R185" s="32" t="s">
        <v>9</v>
      </c>
      <c r="S185" s="1">
        <v>1</v>
      </c>
    </row>
    <row r="186" spans="1:19" s="7" customFormat="1" ht="14.25" x14ac:dyDescent="0.2">
      <c r="A186" s="94">
        <v>2</v>
      </c>
      <c r="B186" s="24" t="s">
        <v>194</v>
      </c>
      <c r="C186" s="58">
        <v>28</v>
      </c>
      <c r="D186" s="58"/>
      <c r="E186" s="58"/>
      <c r="F186" s="105">
        <v>0</v>
      </c>
      <c r="G186" s="105">
        <f t="shared" si="36"/>
        <v>0</v>
      </c>
      <c r="H186" s="105">
        <v>0</v>
      </c>
      <c r="I186" s="105"/>
      <c r="J186" s="58">
        <v>55225.252525252523</v>
      </c>
      <c r="K186" s="25">
        <v>0</v>
      </c>
      <c r="L186" s="58"/>
      <c r="M186" s="105">
        <v>0</v>
      </c>
      <c r="N186" s="105">
        <v>0</v>
      </c>
      <c r="O186" s="25"/>
      <c r="P186" s="101"/>
      <c r="Q186" s="105">
        <v>0</v>
      </c>
      <c r="R186" s="95">
        <v>0</v>
      </c>
      <c r="S186" s="1">
        <v>1</v>
      </c>
    </row>
    <row r="187" spans="1:19" s="7" customFormat="1" ht="14.25" x14ac:dyDescent="0.2">
      <c r="A187" s="94">
        <v>3</v>
      </c>
      <c r="B187" s="24" t="s">
        <v>169</v>
      </c>
      <c r="C187" s="25">
        <v>23</v>
      </c>
      <c r="D187" s="25">
        <v>3</v>
      </c>
      <c r="E187" s="25">
        <v>3</v>
      </c>
      <c r="F187" s="105">
        <f>(E187-D187)/D187%</f>
        <v>0</v>
      </c>
      <c r="G187" s="105">
        <f t="shared" si="36"/>
        <v>13.043478260869565</v>
      </c>
      <c r="H187" s="25">
        <v>0</v>
      </c>
      <c r="I187" s="25">
        <f>'[3]1.RSP Districts '!I187</f>
        <v>0</v>
      </c>
      <c r="J187" s="25">
        <v>42293.396226415098</v>
      </c>
      <c r="K187" s="25">
        <v>4668</v>
      </c>
      <c r="L187" s="25">
        <v>4668</v>
      </c>
      <c r="M187" s="105">
        <f>(L187-K187)/K187%</f>
        <v>0</v>
      </c>
      <c r="N187" s="105">
        <f>L187/J187%</f>
        <v>11.037184091365349</v>
      </c>
      <c r="O187" s="25">
        <v>143</v>
      </c>
      <c r="P187" s="25">
        <v>143</v>
      </c>
      <c r="Q187" s="105">
        <f>(P187-O187)/O187%</f>
        <v>0</v>
      </c>
      <c r="R187" s="32" t="s">
        <v>9</v>
      </c>
      <c r="S187" s="1">
        <v>1</v>
      </c>
    </row>
    <row r="188" spans="1:19" s="7" customFormat="1" ht="14.25" x14ac:dyDescent="0.2">
      <c r="A188" s="94">
        <v>4</v>
      </c>
      <c r="B188" s="24" t="s">
        <v>195</v>
      </c>
      <c r="C188" s="25">
        <v>21</v>
      </c>
      <c r="D188" s="58"/>
      <c r="E188" s="58"/>
      <c r="F188" s="105">
        <v>0</v>
      </c>
      <c r="G188" s="105">
        <f t="shared" si="36"/>
        <v>0</v>
      </c>
      <c r="H188" s="105">
        <v>0</v>
      </c>
      <c r="I188" s="105"/>
      <c r="J188" s="58">
        <v>37161.444444444445</v>
      </c>
      <c r="K188" s="25">
        <v>0</v>
      </c>
      <c r="L188" s="58"/>
      <c r="M188" s="105">
        <v>0</v>
      </c>
      <c r="N188" s="105">
        <v>0</v>
      </c>
      <c r="O188" s="25"/>
      <c r="P188" s="25"/>
      <c r="Q188" s="105">
        <v>0</v>
      </c>
      <c r="R188" s="32" t="s">
        <v>9</v>
      </c>
      <c r="S188" s="1">
        <v>1</v>
      </c>
    </row>
    <row r="189" spans="1:19" s="7" customFormat="1" ht="14.25" x14ac:dyDescent="0.2">
      <c r="A189" s="94">
        <v>5</v>
      </c>
      <c r="B189" s="24" t="s">
        <v>196</v>
      </c>
      <c r="C189" s="25">
        <v>22</v>
      </c>
      <c r="D189" s="58"/>
      <c r="E189" s="58"/>
      <c r="F189" s="105">
        <v>0</v>
      </c>
      <c r="G189" s="105">
        <f t="shared" si="36"/>
        <v>0</v>
      </c>
      <c r="H189" s="105">
        <v>0</v>
      </c>
      <c r="I189" s="105"/>
      <c r="J189" s="58">
        <v>39697.362637362639</v>
      </c>
      <c r="K189" s="25">
        <v>0</v>
      </c>
      <c r="L189" s="58"/>
      <c r="M189" s="105">
        <v>0</v>
      </c>
      <c r="N189" s="105">
        <v>0</v>
      </c>
      <c r="O189" s="25"/>
      <c r="P189" s="25"/>
      <c r="Q189" s="105">
        <v>0</v>
      </c>
      <c r="R189" s="95">
        <v>0</v>
      </c>
      <c r="S189" s="1">
        <v>1</v>
      </c>
    </row>
    <row r="190" spans="1:19" s="7" customFormat="1" ht="14.25" x14ac:dyDescent="0.2">
      <c r="A190" s="94">
        <v>6</v>
      </c>
      <c r="B190" s="24" t="s">
        <v>197</v>
      </c>
      <c r="C190" s="25">
        <v>15</v>
      </c>
      <c r="D190" s="58"/>
      <c r="E190" s="58"/>
      <c r="F190" s="105">
        <v>0</v>
      </c>
      <c r="G190" s="105">
        <v>0</v>
      </c>
      <c r="H190" s="105">
        <v>0</v>
      </c>
      <c r="I190" s="105"/>
      <c r="J190" s="58">
        <v>25618.295454545452</v>
      </c>
      <c r="K190" s="25">
        <v>0</v>
      </c>
      <c r="L190" s="58"/>
      <c r="M190" s="105">
        <v>0</v>
      </c>
      <c r="N190" s="105">
        <v>0</v>
      </c>
      <c r="O190" s="25"/>
      <c r="P190" s="25"/>
      <c r="Q190" s="105">
        <v>0</v>
      </c>
      <c r="R190" s="95">
        <v>0</v>
      </c>
      <c r="S190" s="1">
        <v>1</v>
      </c>
    </row>
    <row r="191" spans="1:19" s="7" customFormat="1" ht="14.25" x14ac:dyDescent="0.2">
      <c r="A191" s="94">
        <v>7</v>
      </c>
      <c r="B191" s="24" t="s">
        <v>198</v>
      </c>
      <c r="C191" s="25">
        <v>29</v>
      </c>
      <c r="D191" s="58"/>
      <c r="E191" s="58"/>
      <c r="F191" s="105">
        <v>0</v>
      </c>
      <c r="G191" s="105">
        <v>0</v>
      </c>
      <c r="H191" s="105">
        <v>0</v>
      </c>
      <c r="I191" s="105"/>
      <c r="J191" s="58">
        <v>50569.529411764706</v>
      </c>
      <c r="K191" s="25">
        <v>0</v>
      </c>
      <c r="L191" s="58"/>
      <c r="M191" s="105">
        <v>0</v>
      </c>
      <c r="N191" s="105">
        <v>0</v>
      </c>
      <c r="O191" s="25"/>
      <c r="P191" s="25"/>
      <c r="Q191" s="105">
        <v>0</v>
      </c>
      <c r="R191" s="32" t="s">
        <v>9</v>
      </c>
      <c r="S191" s="1">
        <v>1</v>
      </c>
    </row>
    <row r="192" spans="1:19" s="7" customFormat="1" ht="14.25" x14ac:dyDescent="0.2">
      <c r="A192" s="94">
        <v>8</v>
      </c>
      <c r="B192" s="24" t="s">
        <v>199</v>
      </c>
      <c r="C192" s="25">
        <v>1</v>
      </c>
      <c r="D192" s="58"/>
      <c r="E192" s="58"/>
      <c r="F192" s="105">
        <v>0</v>
      </c>
      <c r="G192" s="105">
        <v>0</v>
      </c>
      <c r="H192" s="105">
        <v>0</v>
      </c>
      <c r="I192" s="105"/>
      <c r="J192" s="58">
        <v>931.6</v>
      </c>
      <c r="K192" s="25">
        <v>0</v>
      </c>
      <c r="L192" s="58"/>
      <c r="M192" s="105">
        <v>0</v>
      </c>
      <c r="N192" s="105">
        <v>0</v>
      </c>
      <c r="O192" s="25"/>
      <c r="P192" s="25"/>
      <c r="Q192" s="105">
        <v>0</v>
      </c>
      <c r="R192" s="95">
        <v>0</v>
      </c>
      <c r="S192" s="1">
        <v>1</v>
      </c>
    </row>
    <row r="193" spans="1:20" s="7" customFormat="1" ht="14.25" x14ac:dyDescent="0.2">
      <c r="A193" s="94">
        <v>9</v>
      </c>
      <c r="B193" s="24" t="s">
        <v>200</v>
      </c>
      <c r="C193" s="25">
        <v>1</v>
      </c>
      <c r="D193" s="58"/>
      <c r="E193" s="58"/>
      <c r="F193" s="105">
        <v>0</v>
      </c>
      <c r="G193" s="105">
        <f t="shared" si="36"/>
        <v>0</v>
      </c>
      <c r="H193" s="105">
        <v>0</v>
      </c>
      <c r="I193" s="105"/>
      <c r="J193" s="58">
        <v>2040.9375</v>
      </c>
      <c r="K193" s="25">
        <v>0</v>
      </c>
      <c r="L193" s="58"/>
      <c r="M193" s="105">
        <v>0</v>
      </c>
      <c r="N193" s="105">
        <v>0</v>
      </c>
      <c r="O193" s="25"/>
      <c r="P193" s="25"/>
      <c r="Q193" s="105">
        <v>0</v>
      </c>
      <c r="R193" s="95">
        <v>0</v>
      </c>
      <c r="S193" s="1">
        <v>1</v>
      </c>
    </row>
    <row r="194" spans="1:20" s="7" customFormat="1" ht="14.25" x14ac:dyDescent="0.2">
      <c r="A194" s="94">
        <v>10</v>
      </c>
      <c r="B194" s="24" t="s">
        <v>201</v>
      </c>
      <c r="C194" s="25">
        <v>3</v>
      </c>
      <c r="D194" s="58"/>
      <c r="E194" s="58"/>
      <c r="F194" s="105">
        <v>0</v>
      </c>
      <c r="G194" s="105">
        <v>0</v>
      </c>
      <c r="H194" s="105">
        <v>0</v>
      </c>
      <c r="I194" s="105"/>
      <c r="J194" s="58">
        <v>5491.5492957746483</v>
      </c>
      <c r="K194" s="25">
        <v>0</v>
      </c>
      <c r="L194" s="58"/>
      <c r="M194" s="105">
        <v>0</v>
      </c>
      <c r="N194" s="105">
        <v>0</v>
      </c>
      <c r="O194" s="25"/>
      <c r="P194" s="25"/>
      <c r="Q194" s="105">
        <v>0</v>
      </c>
      <c r="R194" s="95">
        <v>0</v>
      </c>
      <c r="S194" s="1">
        <v>1</v>
      </c>
    </row>
    <row r="195" spans="1:20" s="7" customFormat="1" ht="14.25" x14ac:dyDescent="0.2">
      <c r="A195" s="94">
        <v>11</v>
      </c>
      <c r="B195" s="24" t="s">
        <v>202</v>
      </c>
      <c r="C195" s="25">
        <v>5</v>
      </c>
      <c r="D195" s="58"/>
      <c r="E195" s="58"/>
      <c r="F195" s="105">
        <v>0</v>
      </c>
      <c r="G195" s="105">
        <f t="shared" si="36"/>
        <v>0</v>
      </c>
      <c r="H195" s="105">
        <v>0</v>
      </c>
      <c r="I195" s="105"/>
      <c r="J195" s="58">
        <v>9511.3978494623643</v>
      </c>
      <c r="K195" s="25">
        <v>0</v>
      </c>
      <c r="L195" s="58"/>
      <c r="M195" s="105">
        <v>0</v>
      </c>
      <c r="N195" s="105">
        <v>0</v>
      </c>
      <c r="O195" s="25"/>
      <c r="P195" s="25"/>
      <c r="Q195" s="105">
        <v>0</v>
      </c>
      <c r="R195" s="95">
        <v>0</v>
      </c>
      <c r="S195" s="1">
        <v>1</v>
      </c>
    </row>
    <row r="196" spans="1:20" s="7" customFormat="1" ht="14.25" x14ac:dyDescent="0.2">
      <c r="A196" s="94">
        <v>12</v>
      </c>
      <c r="B196" s="48" t="s">
        <v>170</v>
      </c>
      <c r="C196" s="25">
        <v>3</v>
      </c>
      <c r="D196" s="25">
        <v>3</v>
      </c>
      <c r="E196" s="25">
        <v>3</v>
      </c>
      <c r="F196" s="105">
        <f>(E196-D196)/D196%</f>
        <v>0</v>
      </c>
      <c r="G196" s="105">
        <f t="shared" si="36"/>
        <v>100</v>
      </c>
      <c r="H196" s="25">
        <v>0</v>
      </c>
      <c r="I196" s="25">
        <f>'[3]1.RSP Districts '!I196</f>
        <v>0</v>
      </c>
      <c r="J196" s="25">
        <v>6118.295454545454</v>
      </c>
      <c r="K196" s="25">
        <v>1738</v>
      </c>
      <c r="L196" s="25">
        <v>1738</v>
      </c>
      <c r="M196" s="105">
        <f>(L196-K196)/K196%</f>
        <v>0</v>
      </c>
      <c r="N196" s="105">
        <f>L196/J196%</f>
        <v>28.406604632157652</v>
      </c>
      <c r="O196" s="25">
        <v>116</v>
      </c>
      <c r="P196" s="25">
        <v>116</v>
      </c>
      <c r="Q196" s="105">
        <f>(P196-O196)/O196%</f>
        <v>0</v>
      </c>
      <c r="R196" s="32" t="s">
        <v>9</v>
      </c>
      <c r="S196" s="1">
        <v>1</v>
      </c>
    </row>
    <row r="197" spans="1:20" s="7" customFormat="1" thickBot="1" x14ac:dyDescent="0.25">
      <c r="A197" s="152">
        <v>13</v>
      </c>
      <c r="B197" s="38" t="s">
        <v>203</v>
      </c>
      <c r="C197" s="39">
        <v>2</v>
      </c>
      <c r="D197" s="151"/>
      <c r="E197" s="151"/>
      <c r="F197" s="140">
        <v>0</v>
      </c>
      <c r="G197" s="140">
        <f t="shared" si="36"/>
        <v>0</v>
      </c>
      <c r="H197" s="140">
        <v>0</v>
      </c>
      <c r="I197" s="140"/>
      <c r="J197" s="151">
        <v>3581.0526315789475</v>
      </c>
      <c r="K197" s="39">
        <v>0</v>
      </c>
      <c r="L197" s="151"/>
      <c r="M197" s="140">
        <v>0</v>
      </c>
      <c r="N197" s="140">
        <v>0</v>
      </c>
      <c r="O197" s="39"/>
      <c r="P197" s="150"/>
      <c r="Q197" s="140">
        <v>0</v>
      </c>
      <c r="R197" s="149">
        <v>0</v>
      </c>
      <c r="S197" s="1">
        <v>1</v>
      </c>
    </row>
    <row r="198" spans="1:20" s="5" customFormat="1" ht="15.75" thickBot="1" x14ac:dyDescent="0.3">
      <c r="A198" s="156">
        <f>COUNTIF(R185:R197,"*")</f>
        <v>5</v>
      </c>
      <c r="B198" s="155" t="s">
        <v>39</v>
      </c>
      <c r="C198" s="57">
        <f>SUM(C185:C197)</f>
        <v>190</v>
      </c>
      <c r="D198" s="57">
        <f>SUM(D185:D197)</f>
        <v>6</v>
      </c>
      <c r="E198" s="57">
        <f>SUM(E185:E197)</f>
        <v>6</v>
      </c>
      <c r="F198" s="157">
        <f>(E198-D198)/D198%</f>
        <v>0</v>
      </c>
      <c r="G198" s="157">
        <f t="shared" si="36"/>
        <v>3.1578947368421053</v>
      </c>
      <c r="H198" s="157">
        <f>SUM(H185:H197)</f>
        <v>0</v>
      </c>
      <c r="I198" s="157"/>
      <c r="J198" s="57">
        <f>SUM(J185:J197)</f>
        <v>343649.6738707067</v>
      </c>
      <c r="K198" s="57">
        <f>SUM(K185:K197)</f>
        <v>6406</v>
      </c>
      <c r="L198" s="57">
        <f>SUM(L185:L197)</f>
        <v>6406</v>
      </c>
      <c r="M198" s="157">
        <f>(L198-K198)/K198%</f>
        <v>0</v>
      </c>
      <c r="N198" s="157">
        <f>L198/J198%</f>
        <v>1.8641076907904084</v>
      </c>
      <c r="O198" s="57">
        <f>SUM(O185:O197)</f>
        <v>259</v>
      </c>
      <c r="P198" s="57">
        <f>SUM(P185:P197)</f>
        <v>259</v>
      </c>
      <c r="Q198" s="157">
        <f>(P198-O198)/O198%</f>
        <v>0</v>
      </c>
      <c r="R198" s="159"/>
      <c r="S198" s="1">
        <v>1</v>
      </c>
    </row>
    <row r="199" spans="1:20" s="5" customFormat="1" ht="6.75" customHeight="1" thickBot="1" x14ac:dyDescent="0.3">
      <c r="A199" s="35"/>
      <c r="B199" s="49"/>
      <c r="C199" s="35"/>
      <c r="D199" s="28"/>
      <c r="E199" s="28"/>
      <c r="F199" s="106"/>
      <c r="G199" s="106"/>
      <c r="H199" s="106"/>
      <c r="I199" s="106"/>
      <c r="J199" s="35"/>
      <c r="K199" s="28"/>
      <c r="L199" s="28"/>
      <c r="M199" s="28"/>
      <c r="N199" s="28"/>
      <c r="O199" s="28"/>
      <c r="P199" s="28"/>
      <c r="Q199" s="28"/>
      <c r="R199" s="50"/>
      <c r="S199" s="1">
        <v>1</v>
      </c>
    </row>
    <row r="200" spans="1:20" s="5" customFormat="1" ht="13.5" customHeight="1" thickBot="1" x14ac:dyDescent="0.3">
      <c r="A200" s="51">
        <f>(A40+A76+A102+A153+A172+A182+A7+A198)</f>
        <v>116</v>
      </c>
      <c r="B200" s="52" t="s">
        <v>171</v>
      </c>
      <c r="C200" s="57">
        <f>C40+C76+C102+C153+C172+C182+C7+C198</f>
        <v>5630</v>
      </c>
      <c r="D200" s="57">
        <f>D40+D76+D102+D153+D172+D182+D7+D198</f>
        <v>3649</v>
      </c>
      <c r="E200" s="57">
        <f>E40+E76+E102+E153+E172+E182+E7+E198</f>
        <v>3659</v>
      </c>
      <c r="F200" s="157">
        <f>(E200-D200)/D200%</f>
        <v>0.27404768429706766</v>
      </c>
      <c r="G200" s="157">
        <f>E200/C200%</f>
        <v>64.991119005328599</v>
      </c>
      <c r="H200" s="57">
        <f>H40+H76+H102+H153+H172+H182+H7+H198</f>
        <v>27574</v>
      </c>
      <c r="I200" s="57">
        <f>I40+I76+I102+I153+I172+I182+I7+I198</f>
        <v>27644</v>
      </c>
      <c r="J200" s="57">
        <f>J198+J182+J172+J153+J102+J76+J40+J7</f>
        <v>12890447.528189644</v>
      </c>
      <c r="K200" s="57">
        <f>K40+K76+K102+K153+K172+K182+K7+K198</f>
        <v>5327893</v>
      </c>
      <c r="L200" s="57">
        <f>L40+L76+L102+L153+L172+L182+L7+L198</f>
        <v>5393149</v>
      </c>
      <c r="M200" s="157">
        <f>(L200-K200)/K200%</f>
        <v>1.2247993719093082</v>
      </c>
      <c r="N200" s="157">
        <f>L200/J200%</f>
        <v>41.838337949135756</v>
      </c>
      <c r="O200" s="57">
        <f>O198+O182+O172+O153+O102+O76+O40+O7</f>
        <v>321310</v>
      </c>
      <c r="P200" s="57">
        <f>P198+P182+P172+P153+P102+P76+P40+P7</f>
        <v>295603</v>
      </c>
      <c r="Q200" s="157">
        <f>(P200-O200)/O200%</f>
        <v>-8.000684697021569</v>
      </c>
      <c r="R200" s="138"/>
      <c r="S200" s="1">
        <v>1</v>
      </c>
    </row>
    <row r="201" spans="1:20" ht="6" customHeight="1" x14ac:dyDescent="0.2">
      <c r="A201" s="16"/>
      <c r="B201" s="14"/>
      <c r="C201" s="59"/>
      <c r="D201" s="28"/>
      <c r="E201" s="28"/>
      <c r="F201" s="106"/>
      <c r="G201" s="106"/>
      <c r="H201" s="106"/>
      <c r="I201" s="106"/>
      <c r="J201" s="59"/>
      <c r="K201" s="59"/>
      <c r="L201" s="59"/>
      <c r="M201" s="59"/>
      <c r="N201" s="59"/>
      <c r="O201" s="59"/>
      <c r="P201" s="59"/>
      <c r="Q201" s="153"/>
      <c r="R201" s="15"/>
      <c r="S201" s="1">
        <v>1</v>
      </c>
    </row>
    <row r="202" spans="1:20" ht="16.5" customHeight="1" thickBot="1" x14ac:dyDescent="0.25">
      <c r="A202" s="84" t="s">
        <v>172</v>
      </c>
      <c r="B202" s="14"/>
      <c r="C202" s="59"/>
      <c r="D202" s="28"/>
      <c r="E202" s="28"/>
      <c r="F202" s="106"/>
      <c r="G202" s="106"/>
      <c r="H202" s="106"/>
      <c r="I202" s="106"/>
      <c r="J202" s="59"/>
      <c r="K202" s="59"/>
      <c r="L202" s="59"/>
      <c r="M202" s="59"/>
      <c r="N202" s="59"/>
      <c r="O202" s="59"/>
      <c r="P202" s="59"/>
      <c r="Q202" s="59"/>
      <c r="R202" s="15"/>
      <c r="S202" s="1">
        <v>1</v>
      </c>
    </row>
    <row r="203" spans="1:20" ht="14.25" x14ac:dyDescent="0.2">
      <c r="A203" s="96" t="s">
        <v>213</v>
      </c>
      <c r="B203" s="97" t="s">
        <v>215</v>
      </c>
      <c r="C203" s="53"/>
      <c r="D203" s="102"/>
      <c r="E203" s="102"/>
      <c r="F203" s="110"/>
      <c r="G203" s="110"/>
      <c r="H203" s="142"/>
      <c r="I203" s="142"/>
      <c r="J203" s="54"/>
      <c r="K203" s="55"/>
      <c r="L203" s="55"/>
      <c r="M203" s="55"/>
      <c r="N203" s="55"/>
      <c r="O203" s="55"/>
      <c r="P203" s="55"/>
      <c r="Q203" s="55"/>
      <c r="R203" s="56"/>
      <c r="S203" s="1">
        <v>1</v>
      </c>
    </row>
    <row r="204" spans="1:20" ht="14.25" x14ac:dyDescent="0.2">
      <c r="A204" s="23">
        <f>COUNTIF($R$6:$R$198,"AJKRSP")</f>
        <v>8</v>
      </c>
      <c r="B204" s="24" t="s">
        <v>232</v>
      </c>
      <c r="C204" s="30">
        <f>SUMIF($R$6:$R$197,"AJKRSP",$C$6:$C$197)</f>
        <v>176</v>
      </c>
      <c r="D204" s="30">
        <f>SUMIF($R$6:$R$197,"AJKRSP",$D$6:$D$197)</f>
        <v>136</v>
      </c>
      <c r="E204" s="30">
        <f>SUMIF($R$6:$R$197,"AJKRSP",$E$6:$E$197)</f>
        <v>136</v>
      </c>
      <c r="F204" s="105">
        <f>(E204-D204)/D204%</f>
        <v>0</v>
      </c>
      <c r="G204" s="105">
        <f t="shared" ref="G204:G214" si="37">E204/C204%</f>
        <v>77.272727272727266</v>
      </c>
      <c r="H204" s="30">
        <f>SUMIF($R$6:$R$197,"AJKRSP",$H$6:$H$197)</f>
        <v>622</v>
      </c>
      <c r="I204" s="30">
        <f>SUMIF($R$6:$R$197,"AJKRSP",$H$6:$H$197)</f>
        <v>622</v>
      </c>
      <c r="J204" s="30">
        <f>SUMIF($R$6:$R$197,"AJKRSP",$J$6:$J$197)</f>
        <v>353469.33658932324</v>
      </c>
      <c r="K204" s="30">
        <f>SUMIF($R$6:$R$197,"AJKRSP",$K$6:$K$197)</f>
        <v>102320</v>
      </c>
      <c r="L204" s="30">
        <f>SUMIF($R$6:$R$197,"AJKRSP",$L$6:$L$197)</f>
        <v>102320</v>
      </c>
      <c r="M204" s="105">
        <f t="shared" ref="M204:M214" si="38">(L204-K204)/K204%</f>
        <v>0</v>
      </c>
      <c r="N204" s="105">
        <f t="shared" ref="N204:N214" si="39">L204/J204%</f>
        <v>28.947348301072019</v>
      </c>
      <c r="O204" s="30">
        <f>SUMIF($R$6:$R$197,"AJKRSP",$O$6:$O$197)</f>
        <v>4750</v>
      </c>
      <c r="P204" s="30">
        <f>SUMIF($R$6:$R$197,"AJKRSP",$P$6:$P$197)</f>
        <v>4750</v>
      </c>
      <c r="Q204" s="105">
        <f t="shared" ref="Q204:Q214" si="40">(P204-O204)/O204%</f>
        <v>0</v>
      </c>
      <c r="R204" s="32" t="s">
        <v>1</v>
      </c>
      <c r="S204" s="1">
        <v>1</v>
      </c>
    </row>
    <row r="205" spans="1:20" s="7" customFormat="1" ht="14.25" x14ac:dyDescent="0.2">
      <c r="A205" s="23">
        <f>COUNTIF($R$6:$R$198,"AKRSP")</f>
        <v>7</v>
      </c>
      <c r="B205" s="33" t="s">
        <v>233</v>
      </c>
      <c r="C205" s="30">
        <f>SUMIF($R$6:$R$197,"AKRSP",$C$6:$C$197)</f>
        <v>118</v>
      </c>
      <c r="D205" s="30">
        <f>SUMIF($R$6:$R$197,"AKRSP",$D$6:$D$197)</f>
        <v>118</v>
      </c>
      <c r="E205" s="30">
        <f>SUMIF($R$6:$R$197,"AKRSP",$E$6:$E$197)</f>
        <v>118</v>
      </c>
      <c r="F205" s="105">
        <f t="shared" ref="F205:F214" si="41">(E205-D205)/D205%</f>
        <v>0</v>
      </c>
      <c r="G205" s="105">
        <f t="shared" si="37"/>
        <v>100</v>
      </c>
      <c r="H205" s="30">
        <f>SUMIF($R$6:$R$197,"AKRSP",$H$6:$H$197)</f>
        <v>828</v>
      </c>
      <c r="I205" s="30">
        <f>SUMIF($R$6:$R$197,"AKRSP",$I$6:$I$197)</f>
        <v>864</v>
      </c>
      <c r="J205" s="30">
        <f>SUMIF($R$6:$R$197,"AKRSP",$J$6:$J$197)</f>
        <v>145528.83396348439</v>
      </c>
      <c r="K205" s="30">
        <f>SUMIF($R$6:$R$197,"AKRSP",$K$6:$K$197)</f>
        <v>110695</v>
      </c>
      <c r="L205" s="30">
        <f>SUMIF($R$6:$R$197,"AKRSP",$L$6:$L$197)</f>
        <v>110695</v>
      </c>
      <c r="M205" s="105">
        <f t="shared" si="38"/>
        <v>0</v>
      </c>
      <c r="N205" s="105">
        <f t="shared" si="39"/>
        <v>76.063964085478219</v>
      </c>
      <c r="O205" s="30">
        <f>SUMIF($R$6:$R$197,"AKRSP",$O$6:$O$197)</f>
        <v>4687</v>
      </c>
      <c r="P205" s="30">
        <f>SUMIF($R$6:$R$197,"AKRSP",$P$6:$P$197)</f>
        <v>5064</v>
      </c>
      <c r="Q205" s="105">
        <f t="shared" si="40"/>
        <v>8.0435246426285474</v>
      </c>
      <c r="R205" s="32" t="s">
        <v>2</v>
      </c>
      <c r="S205" s="1">
        <v>1</v>
      </c>
    </row>
    <row r="206" spans="1:20" s="7" customFormat="1" ht="14.25" x14ac:dyDescent="0.2">
      <c r="A206" s="23">
        <f>COUNTIF($R$6:$R$198,"BRSP")</f>
        <v>14</v>
      </c>
      <c r="B206" s="33" t="s">
        <v>234</v>
      </c>
      <c r="C206" s="30">
        <f>SUMIF($R$6:$R$197,"BRSP",$C$6:$C$197)</f>
        <v>313</v>
      </c>
      <c r="D206" s="30">
        <f>SUMIF($R$6:$R$197,"BRSP",$D$6:$D$197)</f>
        <v>204</v>
      </c>
      <c r="E206" s="30">
        <f>SUMIF($R$6:$R$197,"BRSP",$E$6:$E$197)</f>
        <v>204</v>
      </c>
      <c r="F206" s="105">
        <f t="shared" si="41"/>
        <v>0</v>
      </c>
      <c r="G206" s="105">
        <f t="shared" si="37"/>
        <v>65.175718849840251</v>
      </c>
      <c r="H206" s="30">
        <f>SUMIF($R$6:$R$197,"BRSP",$H$6:$H$197)</f>
        <v>1338</v>
      </c>
      <c r="I206" s="30">
        <f>SUMIF($R$6:$R$197,"BRSP",$H$6:$H$197)</f>
        <v>1338</v>
      </c>
      <c r="J206" s="30">
        <f>SUMIF($R$6:$R$197,"BRSP",$J$6:$J$197)</f>
        <v>423186.125</v>
      </c>
      <c r="K206" s="30">
        <v>187074</v>
      </c>
      <c r="L206" s="30">
        <f>SUMIF($R$6:$R$197,"BRSP",$L$6:$L$197)</f>
        <v>188824</v>
      </c>
      <c r="M206" s="105">
        <f t="shared" si="38"/>
        <v>0.93545869548948546</v>
      </c>
      <c r="N206" s="105">
        <f t="shared" si="39"/>
        <v>44.619610342848553</v>
      </c>
      <c r="O206" s="30">
        <f>SUMIF($R$6:$R$197,"BRSP",$O$6:$O$197)</f>
        <v>11360</v>
      </c>
      <c r="P206" s="30">
        <f>SUMIF($R$6:$R$197,"BRSP",$P$6:$P$197)</f>
        <v>11481</v>
      </c>
      <c r="Q206" s="105">
        <f t="shared" si="40"/>
        <v>1.0651408450704225</v>
      </c>
      <c r="R206" s="32" t="s">
        <v>3</v>
      </c>
      <c r="S206" s="1">
        <v>1</v>
      </c>
      <c r="T206" s="88"/>
    </row>
    <row r="207" spans="1:20" s="7" customFormat="1" ht="14.25" x14ac:dyDescent="0.2">
      <c r="A207" s="23">
        <f>COUNTIF($R$6:$R$198,"GBTI")</f>
        <v>3</v>
      </c>
      <c r="B207" s="33" t="s">
        <v>235</v>
      </c>
      <c r="C207" s="30">
        <f>SUMIF($R$6:$R$197,"GBTI",$C$6:$C$197)</f>
        <v>165</v>
      </c>
      <c r="D207" s="30">
        <f>SUMIF($R$6:$R$197,"GBTI",$D$6:$D$197)</f>
        <v>22</v>
      </c>
      <c r="E207" s="30">
        <f>SUMIF($R$6:$R$197,"GBTI",$E$6:$E$197)</f>
        <v>22</v>
      </c>
      <c r="F207" s="105">
        <f t="shared" si="41"/>
        <v>0</v>
      </c>
      <c r="G207" s="105">
        <f t="shared" si="37"/>
        <v>13.333333333333334</v>
      </c>
      <c r="H207" s="30">
        <f>SUMIF($R$6:$R$197,"GBTI",$H$6:$H$197)</f>
        <v>112</v>
      </c>
      <c r="I207" s="30">
        <f>SUMIF($R$6:$R$197,"GBTI",$H$6:$H$197)</f>
        <v>112</v>
      </c>
      <c r="J207" s="30">
        <f>SUMIF($R$6:$R$197,"GBTI",$J$6:$J$197)</f>
        <v>371315</v>
      </c>
      <c r="K207" s="30">
        <f>SUMIF($R$6:$R$197,"GBTI",$K$6:$K$197)</f>
        <v>33579</v>
      </c>
      <c r="L207" s="30">
        <f>SUMIF($R$6:$R$197,"GBTI",$L$6:$L$197)</f>
        <v>34662</v>
      </c>
      <c r="M207" s="105">
        <f t="shared" si="38"/>
        <v>3.225230054498347</v>
      </c>
      <c r="N207" s="105">
        <f t="shared" si="39"/>
        <v>9.3349312578269128</v>
      </c>
      <c r="O207" s="30">
        <f>SUMIF($R$6:$R$197,"GBTI",$O$6:$O$197)</f>
        <v>2894</v>
      </c>
      <c r="P207" s="30">
        <f>SUMIF($R$6:$R$197,"GBTI",$P$6:$P$197)</f>
        <v>2983</v>
      </c>
      <c r="Q207" s="105">
        <f t="shared" si="40"/>
        <v>3.0753282653766414</v>
      </c>
      <c r="R207" s="32" t="s">
        <v>4</v>
      </c>
      <c r="S207" s="1">
        <v>1</v>
      </c>
    </row>
    <row r="208" spans="1:20" s="7" customFormat="1" ht="14.25" x14ac:dyDescent="0.2">
      <c r="A208" s="23">
        <f>COUNTIF($R$6:$R$198,"NRSP")</f>
        <v>51</v>
      </c>
      <c r="B208" s="33" t="s">
        <v>236</v>
      </c>
      <c r="C208" s="30">
        <f>SUMIF($R$6:$R$197,"NRSP",$C$6:$C$197)</f>
        <v>2517</v>
      </c>
      <c r="D208" s="30">
        <f>SUMIF($R$6:$R$197,"NRSP",$D$6:$D$197)</f>
        <v>1971</v>
      </c>
      <c r="E208" s="30">
        <f>SUMIF($R$6:$R$197,"NRSP",$E$6:$E$197)</f>
        <v>1980</v>
      </c>
      <c r="F208" s="105">
        <f t="shared" si="41"/>
        <v>0.45662100456621002</v>
      </c>
      <c r="G208" s="105">
        <f t="shared" si="37"/>
        <v>78.66507747318235</v>
      </c>
      <c r="H208" s="30">
        <f>SUMIF($R$6:$R$197,"NRSP",$H$6:$H$197)</f>
        <v>13859</v>
      </c>
      <c r="I208" s="30">
        <f>SUMIF($R$6:$R$197,"NRSP",$I$6:$I$197)</f>
        <v>13880</v>
      </c>
      <c r="J208" s="30">
        <f>SUMIF($R$6:$R$197,"NRSP",$J$6:$J$197)</f>
        <v>6083064.7295798948</v>
      </c>
      <c r="K208" s="30">
        <f>SUMIF($R$6:$R$197,"NRSP",$K$6:$K$197)</f>
        <v>2258589</v>
      </c>
      <c r="L208" s="30">
        <f>SUMIF($R$6:$R$197,"NRSP",$L$6:$L$197)</f>
        <v>2288825</v>
      </c>
      <c r="M208" s="105">
        <f t="shared" si="38"/>
        <v>1.3387119126144686</v>
      </c>
      <c r="N208" s="105">
        <f t="shared" si="39"/>
        <v>37.626181895948193</v>
      </c>
      <c r="O208" s="30">
        <f>SUMIF($R$6:$R$197,"NRSP",$O$6:$O$197)</f>
        <v>149546</v>
      </c>
      <c r="P208" s="30">
        <f>SUMIF($R$6:$R$197,"NRSP",$P$6:$P$197)</f>
        <v>151374</v>
      </c>
      <c r="Q208" s="105">
        <f t="shared" si="40"/>
        <v>1.2223663621895604</v>
      </c>
      <c r="R208" s="32" t="s">
        <v>5</v>
      </c>
      <c r="S208" s="1">
        <v>1</v>
      </c>
    </row>
    <row r="209" spans="1:20" s="7" customFormat="1" ht="14.25" x14ac:dyDescent="0.2">
      <c r="A209" s="23">
        <f>COUNTIF($R$6:$R$198,"PRSP")-4</f>
        <v>21</v>
      </c>
      <c r="B209" s="33" t="s">
        <v>251</v>
      </c>
      <c r="C209" s="30">
        <f>SUMIF($R$6:$R$197,"PRSP",C6:C197)</f>
        <v>1865</v>
      </c>
      <c r="D209" s="30">
        <f>SUMIF($R$6:$R$197,"PRSP",D6:D197)</f>
        <v>701</v>
      </c>
      <c r="E209" s="30">
        <f>SUMIF($R$6:$R$197,"PRSP",E6:E197)</f>
        <v>701</v>
      </c>
      <c r="F209" s="105">
        <f t="shared" si="41"/>
        <v>0</v>
      </c>
      <c r="G209" s="105">
        <f t="shared" si="37"/>
        <v>37.58713136729223</v>
      </c>
      <c r="H209" s="30">
        <f>SUMIF($R$6:$R$197,"PRSP",H6:H197)</f>
        <v>5214</v>
      </c>
      <c r="I209" s="30">
        <f>SUMIF($R$6:$R$197,"PRSP",I6:I197)</f>
        <v>5214</v>
      </c>
      <c r="J209" s="30">
        <f>SUMIF($R$6:$R$197,"pRSP",$J$6:$J$197)</f>
        <v>4326866.1652344316</v>
      </c>
      <c r="K209" s="30">
        <f>SUMIF($R$6:$R$197,"pRSP",$K$6:$K$197)</f>
        <v>1127134</v>
      </c>
      <c r="L209" s="30">
        <f>SUMIF($R$6:$R$197,"PRSP",$L$6:$L$197)</f>
        <v>1150843</v>
      </c>
      <c r="M209" s="105">
        <f t="shared" si="38"/>
        <v>2.1034766052660996</v>
      </c>
      <c r="N209" s="105">
        <f t="shared" si="39"/>
        <v>26.597610280780358</v>
      </c>
      <c r="O209" s="30">
        <f>SUMIF($R$6:$R$197,"pRSP",$O$6:$O$197)</f>
        <v>67696</v>
      </c>
      <c r="P209" s="30">
        <f>SUMIF($R$6:$R$197,"PRSP",$P$6:$P$197)</f>
        <v>68982</v>
      </c>
      <c r="Q209" s="105">
        <f t="shared" si="40"/>
        <v>1.8996691089576931</v>
      </c>
      <c r="R209" s="32" t="s">
        <v>6</v>
      </c>
      <c r="S209" s="1">
        <v>1</v>
      </c>
      <c r="T209" s="165"/>
    </row>
    <row r="210" spans="1:20" s="7" customFormat="1" ht="14.25" x14ac:dyDescent="0.2">
      <c r="A210" s="23">
        <f>COUNTIF($R$6:$R$198,"SGA")</f>
        <v>1</v>
      </c>
      <c r="B210" s="33" t="s">
        <v>237</v>
      </c>
      <c r="C210" s="30">
        <f>SUMIF($R$6:$R$197,"SGA",$C$6:$C$197)</f>
        <v>55</v>
      </c>
      <c r="D210" s="30">
        <f>SUMIF($R$6:$R$197,"SGA",$D$6:$D$197)</f>
        <v>13</v>
      </c>
      <c r="E210" s="30">
        <f>SUMIF($R$6:$R$197,"SGA",$E$6:$E$197)</f>
        <v>13</v>
      </c>
      <c r="F210" s="105">
        <f t="shared" si="41"/>
        <v>0</v>
      </c>
      <c r="G210" s="105">
        <f t="shared" si="37"/>
        <v>23.636363636363633</v>
      </c>
      <c r="H210" s="30">
        <f>SUMIF($R$6:$R$197,"SGA",$H$6:$H$197)</f>
        <v>260</v>
      </c>
      <c r="I210" s="30">
        <f>SUMIF($R$6:$R$197,"SGA",$H$6:$H$197)</f>
        <v>260</v>
      </c>
      <c r="J210" s="30">
        <f>SUMIF($R$6:$R$197,"SGA",$J$6:$J$197)</f>
        <v>209191</v>
      </c>
      <c r="K210" s="30">
        <f>SUMIF($R$6:$R$197,"SGA",$K$6:$K$197)</f>
        <v>16500</v>
      </c>
      <c r="L210" s="30">
        <f>SUMIF($R$6:$R$197,"SGA",$L$6:$L$197)</f>
        <v>16500</v>
      </c>
      <c r="M210" s="105">
        <f t="shared" si="38"/>
        <v>0</v>
      </c>
      <c r="N210" s="105">
        <f t="shared" si="39"/>
        <v>7.8875286221682579</v>
      </c>
      <c r="O210" s="30">
        <f>SUMIF($R$6:$R$197,"SGA",$O$6:$O$197)</f>
        <v>860</v>
      </c>
      <c r="P210" s="30">
        <f>SUMIF($R$6:$R$197,"SGA",$P$6:$P$197)</f>
        <v>860</v>
      </c>
      <c r="Q210" s="105">
        <f t="shared" si="40"/>
        <v>0</v>
      </c>
      <c r="R210" s="32" t="s">
        <v>7</v>
      </c>
      <c r="S210" s="1">
        <v>1</v>
      </c>
    </row>
    <row r="211" spans="1:20" s="7" customFormat="1" ht="14.25" x14ac:dyDescent="0.2">
      <c r="A211" s="23">
        <f>COUNTIF($R$6:$R$198,"SRSO")</f>
        <v>9</v>
      </c>
      <c r="B211" s="33" t="s">
        <v>238</v>
      </c>
      <c r="C211" s="30">
        <f>SUMIF($R$6:$R$197,"SRSO",$C$6:$C$197)</f>
        <v>431</v>
      </c>
      <c r="D211" s="30">
        <f>SUMIF($R$6:$R$197,"SRSO",$D$6:$D$197)</f>
        <v>338</v>
      </c>
      <c r="E211" s="30">
        <f>SUMIF($R$6:$R$197,"SRSO",$E$6:$E$197)</f>
        <v>338</v>
      </c>
      <c r="F211" s="105">
        <f t="shared" si="41"/>
        <v>0</v>
      </c>
      <c r="G211" s="105">
        <f t="shared" si="37"/>
        <v>78.422273781902561</v>
      </c>
      <c r="H211" s="30">
        <f>SUMIF($R$6:$R$197,"SRSO",$H$6:$H$197)</f>
        <v>1864</v>
      </c>
      <c r="I211" s="30">
        <f>SUMIF($R$6:$R$197,"SRSO",$H$6:$H$197)</f>
        <v>1864</v>
      </c>
      <c r="J211" s="30">
        <f>SUMIF($R$6:$R$197,"SRSO",$J$6:$J$197)</f>
        <v>1183970.1255411254</v>
      </c>
      <c r="K211" s="30">
        <f>SUMIF($R$6:$R$197,"SRSO",$K$6:$K$197)</f>
        <v>591660</v>
      </c>
      <c r="L211" s="30">
        <f>SUMIF($R$6:$R$197,"SRSO",$L$6:$L$197)</f>
        <v>591729</v>
      </c>
      <c r="M211" s="105">
        <f t="shared" si="38"/>
        <v>1.1662103234966028E-2</v>
      </c>
      <c r="N211" s="105">
        <f t="shared" si="39"/>
        <v>49.978372531110473</v>
      </c>
      <c r="O211" s="30">
        <f>SUMIF($R$6:$R$197,"SRSO",$O$6:$O$197)</f>
        <v>37061</v>
      </c>
      <c r="P211" s="30">
        <f>SUMIF($R$6:$R$197,"SRSO",$P$6:$P$197)</f>
        <v>37065</v>
      </c>
      <c r="Q211" s="105">
        <f t="shared" si="40"/>
        <v>1.0793016918054019E-2</v>
      </c>
      <c r="R211" s="32" t="s">
        <v>8</v>
      </c>
      <c r="S211" s="1">
        <v>1</v>
      </c>
    </row>
    <row r="212" spans="1:20" s="7" customFormat="1" ht="14.25" x14ac:dyDescent="0.2">
      <c r="A212" s="23">
        <f>COUNTIF($R$6:$R$198,"SRSP")</f>
        <v>23</v>
      </c>
      <c r="B212" s="33" t="s">
        <v>239</v>
      </c>
      <c r="C212" s="30">
        <f>SUMIF($R$6:$R$197,"SRSP",$C$6:$C$197)</f>
        <v>837</v>
      </c>
      <c r="D212" s="30">
        <f>SUMIF($R$6:$R$197,"SRSP",$D$6:$D$197)</f>
        <v>527</v>
      </c>
      <c r="E212" s="30">
        <f>SUMIF($R$6:$R$197,"SRSP",$E$6:$E$197)</f>
        <v>528</v>
      </c>
      <c r="F212" s="105">
        <f t="shared" si="41"/>
        <v>0.18975332068311196</v>
      </c>
      <c r="G212" s="105">
        <f t="shared" si="37"/>
        <v>63.082437275985669</v>
      </c>
      <c r="H212" s="30">
        <f>SUMIF($R$6:$R$197,"SRSP",$H$6:$H$197)</f>
        <v>2916</v>
      </c>
      <c r="I212" s="30">
        <f>SUMIF($R$6:$R$197,"SRSP",$H$6:$H$197)</f>
        <v>2916</v>
      </c>
      <c r="J212" s="30">
        <f>SUMIF($R$6:$R$197,"SRSP",$J$6:$J$197)</f>
        <v>1670098.2259767302</v>
      </c>
      <c r="K212" s="30">
        <f>SUMIF($R$6:$R$197,"SRSP",$K$6:$K$197)</f>
        <v>634109</v>
      </c>
      <c r="L212" s="30">
        <f>SUMIF($R$6:$R$197,"SRSP",$L$6:$L$197)</f>
        <v>642268</v>
      </c>
      <c r="M212" s="105">
        <f t="shared" si="38"/>
        <v>1.2866873045485872</v>
      </c>
      <c r="N212" s="105">
        <f t="shared" si="39"/>
        <v>38.456899720636486</v>
      </c>
      <c r="O212" s="30">
        <f>SUMIF($R$6:$R$197,"SRSP",$O$6:$O$197)</f>
        <v>26251</v>
      </c>
      <c r="P212" s="30">
        <f>SUMIF($R$6:$R$197,"SRSP",$P$6:$P$197)</f>
        <v>26627</v>
      </c>
      <c r="Q212" s="105">
        <f t="shared" si="40"/>
        <v>1.432326387566188</v>
      </c>
      <c r="R212" s="32" t="s">
        <v>9</v>
      </c>
      <c r="S212" s="1">
        <v>1</v>
      </c>
      <c r="T212" s="88"/>
    </row>
    <row r="213" spans="1:20" s="7" customFormat="1" thickBot="1" x14ac:dyDescent="0.25">
      <c r="A213" s="37">
        <f>COUNTIF($R$6:$R$198,"TRDP")</f>
        <v>4</v>
      </c>
      <c r="B213" s="148" t="s">
        <v>240</v>
      </c>
      <c r="C213" s="40">
        <f>SUMIF($R$6:$R$197,"TRDP",$C$6:$C$197)</f>
        <v>151</v>
      </c>
      <c r="D213" s="40">
        <f>SUMIF($R$6:$R$197,"TRDP",$D$6:$D$197)</f>
        <v>113</v>
      </c>
      <c r="E213" s="40">
        <f>SUMIF($R$6:$R$197,"TRDP",$E$6:$E$197)</f>
        <v>113</v>
      </c>
      <c r="F213" s="140">
        <f t="shared" si="41"/>
        <v>0</v>
      </c>
      <c r="G213" s="140">
        <f t="shared" si="37"/>
        <v>74.83443708609272</v>
      </c>
      <c r="H213" s="40">
        <f>SUMIF($R$6:$R$197,"TRDP",$H$6:$H$197)</f>
        <v>561</v>
      </c>
      <c r="I213" s="40">
        <f>SUMIF($R$6:$R$197,"TRDP",$H$6:$H$197)</f>
        <v>561</v>
      </c>
      <c r="J213" s="40">
        <f>SUMIF($R$6:$R$197,"TRDP",$J$6:$J$197)</f>
        <v>519666</v>
      </c>
      <c r="K213" s="40">
        <f>SUMIF($R$6:$R$197,"TRDP",$K$6:$K$197)</f>
        <v>266298</v>
      </c>
      <c r="L213" s="40">
        <f>SUMIF($R$6:$R$197,"TRDP",$L$6:$L$197)</f>
        <v>266483</v>
      </c>
      <c r="M213" s="140">
        <f t="shared" si="38"/>
        <v>6.9471043717940051E-2</v>
      </c>
      <c r="N213" s="140">
        <f t="shared" si="39"/>
        <v>51.27966809450686</v>
      </c>
      <c r="O213" s="40">
        <f>SUMIF($R$6:$R$197,"TRDP",$O$6:$O$197)</f>
        <v>16205</v>
      </c>
      <c r="P213" s="40">
        <f>SUMIF($R$6:$R$197,"TRDP",$P$6:$P$197)</f>
        <v>35</v>
      </c>
      <c r="Q213" s="140">
        <f t="shared" si="40"/>
        <v>-99.784017278617711</v>
      </c>
      <c r="R213" s="42" t="s">
        <v>10</v>
      </c>
      <c r="S213" s="1">
        <v>1</v>
      </c>
    </row>
    <row r="214" spans="1:20" s="8" customFormat="1" ht="15.75" thickBot="1" x14ac:dyDescent="0.25">
      <c r="A214" s="156">
        <f>SUM(A204:A213)-25</f>
        <v>116</v>
      </c>
      <c r="B214" s="155" t="s">
        <v>171</v>
      </c>
      <c r="C214" s="147">
        <f>C226</f>
        <v>5630</v>
      </c>
      <c r="D214" s="147">
        <f>D226</f>
        <v>3649</v>
      </c>
      <c r="E214" s="147">
        <f>E226</f>
        <v>3659</v>
      </c>
      <c r="F214" s="157">
        <f t="shared" si="41"/>
        <v>0.27404768429706766</v>
      </c>
      <c r="G214" s="157">
        <f t="shared" si="37"/>
        <v>64.991119005328599</v>
      </c>
      <c r="H214" s="57">
        <f>SUM(H204:H213)</f>
        <v>27574</v>
      </c>
      <c r="I214" s="57">
        <f>SUM(I204:I213)</f>
        <v>27631</v>
      </c>
      <c r="J214" s="147">
        <f>J226</f>
        <v>12890447.528189642</v>
      </c>
      <c r="K214" s="57">
        <f>SUM(K204:K213)</f>
        <v>5327958</v>
      </c>
      <c r="L214" s="57">
        <f>SUM(L204:L213)</f>
        <v>5393149</v>
      </c>
      <c r="M214" s="157">
        <f t="shared" si="38"/>
        <v>1.223564450020064</v>
      </c>
      <c r="N214" s="157">
        <f t="shared" si="39"/>
        <v>41.838337949135763</v>
      </c>
      <c r="O214" s="57">
        <f>SUM(O204:O213)</f>
        <v>321310</v>
      </c>
      <c r="P214" s="57">
        <f>SUM(P204:P213)</f>
        <v>309221</v>
      </c>
      <c r="Q214" s="157">
        <f t="shared" si="40"/>
        <v>-3.7624101335159192</v>
      </c>
      <c r="R214" s="146"/>
      <c r="S214" s="1">
        <v>1</v>
      </c>
    </row>
    <row r="215" spans="1:20" s="8" customFormat="1" ht="26.25" customHeight="1" x14ac:dyDescent="0.2">
      <c r="A215" s="124" t="s">
        <v>252</v>
      </c>
      <c r="B215" s="49"/>
      <c r="C215" s="35"/>
      <c r="D215" s="35"/>
      <c r="E215" s="35"/>
      <c r="F215" s="109"/>
      <c r="G215" s="109"/>
      <c r="H215" s="109"/>
      <c r="I215" s="109"/>
      <c r="J215" s="35"/>
      <c r="K215" s="35"/>
      <c r="L215" s="35"/>
      <c r="M215" s="35"/>
      <c r="N215" s="35"/>
      <c r="O215" s="35"/>
      <c r="P215" s="35"/>
      <c r="Q215" s="35"/>
      <c r="R215" s="82"/>
      <c r="S215" s="1">
        <v>1</v>
      </c>
    </row>
    <row r="216" spans="1:20" ht="18" customHeight="1" thickBot="1" x14ac:dyDescent="0.25">
      <c r="A216" s="83" t="s">
        <v>214</v>
      </c>
      <c r="B216" s="14"/>
      <c r="C216" s="59"/>
      <c r="D216" s="28"/>
      <c r="E216" s="28"/>
      <c r="F216" s="106"/>
      <c r="G216" s="106"/>
      <c r="H216" s="106"/>
      <c r="I216" s="106"/>
      <c r="J216" s="59"/>
      <c r="K216" s="59"/>
      <c r="L216" s="59"/>
      <c r="M216" s="59"/>
      <c r="N216" s="59"/>
      <c r="O216" s="59"/>
      <c r="P216" s="59"/>
      <c r="Q216" s="59"/>
      <c r="R216" s="15"/>
      <c r="S216" s="1">
        <v>1</v>
      </c>
    </row>
    <row r="217" spans="1:20" ht="127.5" x14ac:dyDescent="0.2">
      <c r="A217" s="85" t="s">
        <v>244</v>
      </c>
      <c r="B217" s="98" t="s">
        <v>216</v>
      </c>
      <c r="C217" s="53"/>
      <c r="D217" s="102"/>
      <c r="E217" s="102"/>
      <c r="F217" s="110"/>
      <c r="G217" s="110"/>
      <c r="H217" s="110"/>
      <c r="I217" s="110"/>
      <c r="J217" s="53"/>
      <c r="K217" s="53"/>
      <c r="L217" s="53"/>
      <c r="M217" s="53"/>
      <c r="N217" s="53"/>
      <c r="O217" s="55"/>
      <c r="P217" s="55"/>
      <c r="Q217" s="55"/>
      <c r="R217" s="99" t="s">
        <v>245</v>
      </c>
      <c r="S217" s="1">
        <v>1</v>
      </c>
    </row>
    <row r="218" spans="1:20" ht="14.25" x14ac:dyDescent="0.2">
      <c r="A218" s="23">
        <f>A7</f>
        <v>1</v>
      </c>
      <c r="B218" s="33" t="s">
        <v>227</v>
      </c>
      <c r="C218" s="25">
        <f>C7</f>
        <v>12</v>
      </c>
      <c r="D218" s="25">
        <f>D7</f>
        <v>12</v>
      </c>
      <c r="E218" s="25">
        <f>E7</f>
        <v>12</v>
      </c>
      <c r="F218" s="105">
        <f>(E218-D218)/D218%</f>
        <v>0</v>
      </c>
      <c r="G218" s="105">
        <f t="shared" ref="G218:G226" si="42">E218/C218%</f>
        <v>100</v>
      </c>
      <c r="H218" s="25">
        <f>H7</f>
        <v>722</v>
      </c>
      <c r="I218" s="25"/>
      <c r="J218" s="25">
        <f>J7</f>
        <v>43884</v>
      </c>
      <c r="K218" s="25">
        <f>K7</f>
        <v>25415</v>
      </c>
      <c r="L218" s="25">
        <f>L7</f>
        <v>26187</v>
      </c>
      <c r="M218" s="105">
        <f t="shared" ref="M218:M226" si="43">(L218-K218)/K218%</f>
        <v>3.0375762345071808</v>
      </c>
      <c r="N218" s="105">
        <f t="shared" ref="N218:N226" si="44">L218/J218%</f>
        <v>59.673229423024338</v>
      </c>
      <c r="O218" s="25">
        <f>O7</f>
        <v>1535</v>
      </c>
      <c r="P218" s="25">
        <f>P7</f>
        <v>1563</v>
      </c>
      <c r="Q218" s="105">
        <f t="shared" ref="Q218:Q226" si="45">(P218-O218)/O218%</f>
        <v>1.8241042345276874</v>
      </c>
      <c r="R218" s="81">
        <f>A7</f>
        <v>1</v>
      </c>
      <c r="S218" s="1">
        <v>1</v>
      </c>
    </row>
    <row r="219" spans="1:20" ht="14.25" x14ac:dyDescent="0.2">
      <c r="A219" s="23">
        <f>A40</f>
        <v>19</v>
      </c>
      <c r="B219" s="33" t="s">
        <v>173</v>
      </c>
      <c r="C219" s="25">
        <f>C40</f>
        <v>547</v>
      </c>
      <c r="D219" s="25">
        <f>D40</f>
        <v>279</v>
      </c>
      <c r="E219" s="25">
        <f>E40</f>
        <v>279</v>
      </c>
      <c r="F219" s="105">
        <f t="shared" ref="F219:F226" si="46">(E219-D219)/D219%</f>
        <v>0</v>
      </c>
      <c r="G219" s="105">
        <f t="shared" si="42"/>
        <v>51.005484460694703</v>
      </c>
      <c r="H219" s="25">
        <f>H40</f>
        <v>2362</v>
      </c>
      <c r="I219" s="25"/>
      <c r="J219" s="25">
        <f>J40</f>
        <v>814191</v>
      </c>
      <c r="K219" s="25">
        <f>K40</f>
        <v>283457</v>
      </c>
      <c r="L219" s="25">
        <f>L40</f>
        <v>285272</v>
      </c>
      <c r="M219" s="105">
        <f t="shared" si="43"/>
        <v>0.64030875935327047</v>
      </c>
      <c r="N219" s="105">
        <f t="shared" si="44"/>
        <v>35.037478920793767</v>
      </c>
      <c r="O219" s="25">
        <f>O40</f>
        <v>16209</v>
      </c>
      <c r="P219" s="25">
        <f>P40</f>
        <v>16331</v>
      </c>
      <c r="Q219" s="105">
        <f t="shared" si="45"/>
        <v>0.75266827071380094</v>
      </c>
      <c r="R219" s="80">
        <f>A39</f>
        <v>30</v>
      </c>
      <c r="S219" s="1">
        <v>1</v>
      </c>
    </row>
    <row r="220" spans="1:20" ht="14.25" x14ac:dyDescent="0.2">
      <c r="A220" s="23">
        <f>A76</f>
        <v>19</v>
      </c>
      <c r="B220" s="33" t="s">
        <v>228</v>
      </c>
      <c r="C220" s="25">
        <f>C76</f>
        <v>961</v>
      </c>
      <c r="D220" s="25">
        <f>D76</f>
        <v>618</v>
      </c>
      <c r="E220" s="25">
        <f>E76</f>
        <v>619</v>
      </c>
      <c r="F220" s="105">
        <f t="shared" si="46"/>
        <v>0.16181229773462785</v>
      </c>
      <c r="G220" s="105">
        <f t="shared" si="42"/>
        <v>64.412070759625394</v>
      </c>
      <c r="H220" s="25">
        <f>H76</f>
        <v>4689</v>
      </c>
      <c r="I220" s="25"/>
      <c r="J220" s="25">
        <f>J76</f>
        <v>1889904</v>
      </c>
      <c r="K220" s="25">
        <f>K76</f>
        <v>808216</v>
      </c>
      <c r="L220" s="25">
        <f>L76</f>
        <v>817704</v>
      </c>
      <c r="M220" s="105">
        <f t="shared" si="43"/>
        <v>1.1739435992358478</v>
      </c>
      <c r="N220" s="105">
        <f t="shared" si="44"/>
        <v>43.266959591598301</v>
      </c>
      <c r="O220" s="25">
        <f>O76</f>
        <v>37189</v>
      </c>
      <c r="P220" s="25">
        <f>P76</f>
        <v>37902</v>
      </c>
      <c r="Q220" s="105">
        <f t="shared" si="45"/>
        <v>1.917233590577859</v>
      </c>
      <c r="R220" s="81">
        <f>A75</f>
        <v>24</v>
      </c>
      <c r="S220" s="1">
        <v>1</v>
      </c>
    </row>
    <row r="221" spans="1:20" ht="14.25" x14ac:dyDescent="0.2">
      <c r="A221" s="23">
        <f>A102</f>
        <v>22</v>
      </c>
      <c r="B221" s="33" t="s">
        <v>174</v>
      </c>
      <c r="C221" s="25">
        <f>C102</f>
        <v>921</v>
      </c>
      <c r="D221" s="25">
        <f>D102</f>
        <v>690</v>
      </c>
      <c r="E221" s="25">
        <f>E102</f>
        <v>690</v>
      </c>
      <c r="F221" s="105">
        <f t="shared" si="46"/>
        <v>0</v>
      </c>
      <c r="G221" s="105">
        <f t="shared" si="42"/>
        <v>74.918566775244287</v>
      </c>
      <c r="H221" s="25">
        <f>H102</f>
        <v>3942</v>
      </c>
      <c r="I221" s="25"/>
      <c r="J221" s="25">
        <f>J102</f>
        <v>2816903.1255411254</v>
      </c>
      <c r="K221" s="25">
        <f>K102</f>
        <v>1149234</v>
      </c>
      <c r="L221" s="25">
        <f>L102</f>
        <v>1153171</v>
      </c>
      <c r="M221" s="105">
        <f t="shared" si="43"/>
        <v>0.3425760114998338</v>
      </c>
      <c r="N221" s="105">
        <f t="shared" si="44"/>
        <v>40.937545545819098</v>
      </c>
      <c r="O221" s="25">
        <f>O102</f>
        <v>71009</v>
      </c>
      <c r="P221" s="25">
        <f>P102</f>
        <v>55046</v>
      </c>
      <c r="Q221" s="105">
        <f t="shared" si="45"/>
        <v>-22.480248982523342</v>
      </c>
      <c r="R221" s="81">
        <f>A101</f>
        <v>23</v>
      </c>
      <c r="S221" s="1">
        <v>1</v>
      </c>
    </row>
    <row r="222" spans="1:20" ht="14.25" x14ac:dyDescent="0.2">
      <c r="A222" s="23">
        <f>A153</f>
        <v>34</v>
      </c>
      <c r="B222" s="33" t="s">
        <v>175</v>
      </c>
      <c r="C222" s="25">
        <f>C153</f>
        <v>2700</v>
      </c>
      <c r="D222" s="25">
        <f>D153</f>
        <v>1771</v>
      </c>
      <c r="E222" s="25">
        <f>E153</f>
        <v>1780</v>
      </c>
      <c r="F222" s="105">
        <f t="shared" si="46"/>
        <v>0.50818746470920384</v>
      </c>
      <c r="G222" s="105">
        <f t="shared" si="42"/>
        <v>65.925925925925924</v>
      </c>
      <c r="H222" s="25">
        <f>H153</f>
        <v>13636</v>
      </c>
      <c r="I222" s="25"/>
      <c r="J222" s="25">
        <f>J153</f>
        <v>6474296.2431565113</v>
      </c>
      <c r="K222" s="25">
        <f>K153</f>
        <v>2712353</v>
      </c>
      <c r="L222" s="25">
        <f>L153</f>
        <v>2757286</v>
      </c>
      <c r="M222" s="105">
        <f t="shared" si="43"/>
        <v>1.6566059063846041</v>
      </c>
      <c r="N222" s="105">
        <f t="shared" si="44"/>
        <v>42.588196406899335</v>
      </c>
      <c r="O222" s="25">
        <f>O153</f>
        <v>178505</v>
      </c>
      <c r="P222" s="25">
        <f>P153</f>
        <v>181118</v>
      </c>
      <c r="Q222" s="105">
        <f t="shared" si="45"/>
        <v>1.4638245427298955</v>
      </c>
      <c r="R222" s="81">
        <f>A152</f>
        <v>36</v>
      </c>
      <c r="S222" s="1">
        <v>1</v>
      </c>
    </row>
    <row r="223" spans="1:20" ht="14.25" x14ac:dyDescent="0.2">
      <c r="A223" s="23">
        <f>A172</f>
        <v>10</v>
      </c>
      <c r="B223" s="33" t="s">
        <v>229</v>
      </c>
      <c r="C223" s="25">
        <f>C172</f>
        <v>196</v>
      </c>
      <c r="D223" s="25">
        <f>D172</f>
        <v>179</v>
      </c>
      <c r="E223" s="25">
        <f>E172</f>
        <v>179</v>
      </c>
      <c r="F223" s="105">
        <f t="shared" si="46"/>
        <v>0</v>
      </c>
      <c r="G223" s="105">
        <f t="shared" si="42"/>
        <v>91.326530612244895</v>
      </c>
      <c r="H223" s="25">
        <f>H172</f>
        <v>1773</v>
      </c>
      <c r="I223" s="25"/>
      <c r="J223" s="25">
        <f>J172</f>
        <v>398969.65165781637</v>
      </c>
      <c r="K223" s="25">
        <f>K172</f>
        <v>267031</v>
      </c>
      <c r="L223" s="25">
        <f>L172</f>
        <v>271342</v>
      </c>
      <c r="M223" s="105">
        <f t="shared" si="43"/>
        <v>1.614419299631878</v>
      </c>
      <c r="N223" s="105">
        <f t="shared" si="44"/>
        <v>68.010686745848389</v>
      </c>
      <c r="O223" s="25">
        <f>O172</f>
        <v>13356</v>
      </c>
      <c r="P223" s="25">
        <f>P172</f>
        <v>0</v>
      </c>
      <c r="Q223" s="105">
        <f t="shared" si="45"/>
        <v>-100</v>
      </c>
      <c r="R223" s="81">
        <f>A171</f>
        <v>10</v>
      </c>
      <c r="S223" s="1">
        <v>1</v>
      </c>
    </row>
    <row r="224" spans="1:20" ht="14.25" x14ac:dyDescent="0.2">
      <c r="A224" s="23">
        <f>A182</f>
        <v>6</v>
      </c>
      <c r="B224" s="33" t="s">
        <v>230</v>
      </c>
      <c r="C224" s="25">
        <f>C182</f>
        <v>103</v>
      </c>
      <c r="D224" s="25">
        <f>D182</f>
        <v>94</v>
      </c>
      <c r="E224" s="25">
        <f>E182</f>
        <v>94</v>
      </c>
      <c r="F224" s="105">
        <f t="shared" si="46"/>
        <v>0</v>
      </c>
      <c r="G224" s="105">
        <f t="shared" si="42"/>
        <v>91.262135922330089</v>
      </c>
      <c r="H224" s="25">
        <f>H182</f>
        <v>450</v>
      </c>
      <c r="I224" s="25"/>
      <c r="J224" s="25">
        <f>J182</f>
        <v>108649.83396348439</v>
      </c>
      <c r="K224" s="25">
        <f>K182</f>
        <v>75781</v>
      </c>
      <c r="L224" s="25">
        <f>L182</f>
        <v>75781</v>
      </c>
      <c r="M224" s="105">
        <f t="shared" si="43"/>
        <v>0</v>
      </c>
      <c r="N224" s="105">
        <f t="shared" si="44"/>
        <v>69.747920669136846</v>
      </c>
      <c r="O224" s="25">
        <f>O182</f>
        <v>3248</v>
      </c>
      <c r="P224" s="25">
        <f>P182</f>
        <v>3384</v>
      </c>
      <c r="Q224" s="105">
        <f t="shared" si="45"/>
        <v>4.1871921182266014</v>
      </c>
      <c r="R224" s="81">
        <f>A181</f>
        <v>7</v>
      </c>
      <c r="S224" s="1">
        <v>1</v>
      </c>
    </row>
    <row r="225" spans="1:19" thickBot="1" x14ac:dyDescent="0.25">
      <c r="A225" s="37">
        <f>A198</f>
        <v>5</v>
      </c>
      <c r="B225" s="148" t="s">
        <v>231</v>
      </c>
      <c r="C225" s="39">
        <f>C198</f>
        <v>190</v>
      </c>
      <c r="D225" s="39">
        <f>D198</f>
        <v>6</v>
      </c>
      <c r="E225" s="39">
        <f>E198</f>
        <v>6</v>
      </c>
      <c r="F225" s="140">
        <f t="shared" si="46"/>
        <v>0</v>
      </c>
      <c r="G225" s="140">
        <f t="shared" si="42"/>
        <v>3.1578947368421053</v>
      </c>
      <c r="H225" s="39">
        <f>H198</f>
        <v>0</v>
      </c>
      <c r="I225" s="39"/>
      <c r="J225" s="39">
        <f>J198</f>
        <v>343649.6738707067</v>
      </c>
      <c r="K225" s="39">
        <f>K198</f>
        <v>6406</v>
      </c>
      <c r="L225" s="39">
        <f>L198</f>
        <v>6406</v>
      </c>
      <c r="M225" s="140">
        <f t="shared" si="43"/>
        <v>0</v>
      </c>
      <c r="N225" s="140">
        <f t="shared" si="44"/>
        <v>1.8641076907904084</v>
      </c>
      <c r="O225" s="39">
        <f>O198</f>
        <v>259</v>
      </c>
      <c r="P225" s="39">
        <f>P198</f>
        <v>259</v>
      </c>
      <c r="Q225" s="140">
        <f t="shared" si="45"/>
        <v>0</v>
      </c>
      <c r="R225" s="90">
        <f>A197</f>
        <v>13</v>
      </c>
      <c r="S225" s="1">
        <v>1</v>
      </c>
    </row>
    <row r="226" spans="1:19" s="5" customFormat="1" ht="15.75" thickBot="1" x14ac:dyDescent="0.3">
      <c r="A226" s="156">
        <f>SUM(A218:A225)</f>
        <v>116</v>
      </c>
      <c r="B226" s="145" t="s">
        <v>218</v>
      </c>
      <c r="C226" s="57">
        <f>SUM(C218:C225)</f>
        <v>5630</v>
      </c>
      <c r="D226" s="57">
        <f>SUM(D218:D225)</f>
        <v>3649</v>
      </c>
      <c r="E226" s="57">
        <f>SUM(E218:E225)</f>
        <v>3659</v>
      </c>
      <c r="F226" s="157">
        <f t="shared" si="46"/>
        <v>0.27404768429706766</v>
      </c>
      <c r="G226" s="157">
        <f t="shared" si="42"/>
        <v>64.991119005328599</v>
      </c>
      <c r="H226" s="57">
        <f>SUM(H218:H225)</f>
        <v>27574</v>
      </c>
      <c r="I226" s="57"/>
      <c r="J226" s="57">
        <f>SUM(J218:J225)</f>
        <v>12890447.528189642</v>
      </c>
      <c r="K226" s="57">
        <f>SUM(K218:K225)</f>
        <v>5327893</v>
      </c>
      <c r="L226" s="57">
        <f>SUM(L218:L225)</f>
        <v>5393149</v>
      </c>
      <c r="M226" s="157">
        <f t="shared" si="43"/>
        <v>1.2247993719093082</v>
      </c>
      <c r="N226" s="157">
        <f t="shared" si="44"/>
        <v>41.838337949135763</v>
      </c>
      <c r="O226" s="57">
        <f>SUM(O218:O225)</f>
        <v>321310</v>
      </c>
      <c r="P226" s="57">
        <f>SUM(P218:P225)</f>
        <v>295603</v>
      </c>
      <c r="Q226" s="157">
        <f t="shared" si="45"/>
        <v>-8.000684697021569</v>
      </c>
      <c r="R226" s="138">
        <f>SUM(R218:R225)</f>
        <v>144</v>
      </c>
      <c r="S226" s="1">
        <v>1</v>
      </c>
    </row>
    <row r="227" spans="1:19" x14ac:dyDescent="0.25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1:19" x14ac:dyDescent="0.25">
      <c r="D228" s="9"/>
      <c r="E228" s="164"/>
      <c r="F228" s="9"/>
      <c r="G228" s="9"/>
      <c r="H228" s="9"/>
      <c r="I228" s="9"/>
      <c r="J228" s="4"/>
    </row>
    <row r="229" spans="1:19" x14ac:dyDescent="0.25">
      <c r="C229" s="9"/>
      <c r="D229" s="9"/>
      <c r="E229" s="9"/>
      <c r="F229" s="9"/>
      <c r="G229" s="9"/>
      <c r="H229" s="9"/>
      <c r="I229" s="9"/>
      <c r="J229" s="4"/>
    </row>
    <row r="230" spans="1:19" x14ac:dyDescent="0.25">
      <c r="B230" s="11"/>
      <c r="H230" s="3"/>
      <c r="I230" s="3"/>
    </row>
    <row r="231" spans="1:19" x14ac:dyDescent="0.25">
      <c r="H231" s="3"/>
      <c r="I231" s="3"/>
    </row>
    <row r="232" spans="1:19" x14ac:dyDescent="0.25">
      <c r="H232" s="3"/>
      <c r="I232" s="3"/>
    </row>
    <row r="233" spans="1:19" x14ac:dyDescent="0.25">
      <c r="H233" s="3"/>
      <c r="I233" s="3"/>
    </row>
    <row r="234" spans="1:19" x14ac:dyDescent="0.25">
      <c r="H234" s="3"/>
      <c r="I234" s="3"/>
    </row>
    <row r="235" spans="1:19" x14ac:dyDescent="0.25">
      <c r="H235" s="3"/>
      <c r="I235" s="3"/>
    </row>
    <row r="236" spans="1:19" x14ac:dyDescent="0.25">
      <c r="H236" s="3"/>
      <c r="I236" s="3"/>
    </row>
    <row r="237" spans="1:19" x14ac:dyDescent="0.25">
      <c r="H237" s="3"/>
      <c r="I237" s="3"/>
    </row>
    <row r="238" spans="1:19" x14ac:dyDescent="0.25">
      <c r="H238" s="3"/>
      <c r="I238" s="3"/>
    </row>
    <row r="239" spans="1:19" x14ac:dyDescent="0.25">
      <c r="H239" s="3"/>
      <c r="I239" s="3"/>
    </row>
    <row r="240" spans="1:19" x14ac:dyDescent="0.25">
      <c r="H240" s="3"/>
      <c r="I240" s="3"/>
    </row>
    <row r="241" spans="8:13" x14ac:dyDescent="0.25">
      <c r="H241" s="3"/>
      <c r="I241" s="3"/>
    </row>
    <row r="242" spans="8:13" x14ac:dyDescent="0.25">
      <c r="H242" s="3"/>
      <c r="I242" s="3"/>
    </row>
    <row r="243" spans="8:13" x14ac:dyDescent="0.25">
      <c r="H243" s="3"/>
      <c r="I243" s="3"/>
    </row>
    <row r="244" spans="8:13" x14ac:dyDescent="0.25">
      <c r="H244" s="3"/>
      <c r="I244" s="3"/>
    </row>
    <row r="245" spans="8:13" x14ac:dyDescent="0.25">
      <c r="H245" s="3"/>
      <c r="I245" s="3"/>
    </row>
    <row r="249" spans="8:13" x14ac:dyDescent="0.25">
      <c r="M249" s="28"/>
    </row>
    <row r="250" spans="8:13" x14ac:dyDescent="0.25">
      <c r="M250" s="28"/>
    </row>
    <row r="251" spans="8:13" x14ac:dyDescent="0.25">
      <c r="M251" s="28"/>
    </row>
    <row r="252" spans="8:13" x14ac:dyDescent="0.25">
      <c r="M252" s="28"/>
    </row>
    <row r="253" spans="8:13" x14ac:dyDescent="0.25">
      <c r="M253" s="28"/>
    </row>
    <row r="254" spans="8:13" x14ac:dyDescent="0.25">
      <c r="M254" s="28"/>
    </row>
    <row r="255" spans="8:13" x14ac:dyDescent="0.25">
      <c r="M255" s="28"/>
    </row>
    <row r="256" spans="8:13" x14ac:dyDescent="0.25">
      <c r="M256" s="28"/>
    </row>
    <row r="257" spans="13:13" x14ac:dyDescent="0.25">
      <c r="M257" s="28"/>
    </row>
  </sheetData>
  <autoFilter ref="A3:T226"/>
  <mergeCells count="11">
    <mergeCell ref="D2:G2"/>
    <mergeCell ref="H2:H3"/>
    <mergeCell ref="A1:R1"/>
    <mergeCell ref="A2:A3"/>
    <mergeCell ref="B2:B3"/>
    <mergeCell ref="R2:R3"/>
    <mergeCell ref="C2:C3"/>
    <mergeCell ref="J2:J3"/>
    <mergeCell ref="O2:Q2"/>
    <mergeCell ref="K2:N2"/>
    <mergeCell ref="I2:I3"/>
  </mergeCells>
  <phoneticPr fontId="32" type="noConversion"/>
  <pageMargins left="1.1599999999999999" right="0.16" top="0.2" bottom="0.18" header="0.17" footer="0.16"/>
  <pageSetup paperSize="9" scale="46" orientation="landscape" r:id="rId1"/>
  <headerFooter alignWithMargins="0"/>
  <rowBreaks count="6" manualBreakCount="6">
    <brk id="40" max="16383" man="1"/>
    <brk id="77" max="16383" man="1"/>
    <brk id="102" max="16383" man="1"/>
    <brk id="153" max="16383" man="1"/>
    <brk id="182" max="16383" man="1"/>
    <brk id="200" max="16383" man="1"/>
  </rowBreaks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57"/>
  <sheetViews>
    <sheetView view="pageBreakPreview" zoomScaleSheetLayoutView="100" workbookViewId="0">
      <pane xSplit="2" ySplit="3" topLeftCell="C7" activePane="bottomRight" state="frozen"/>
      <selection activeCell="G51" sqref="G51"/>
      <selection pane="topRight" activeCell="G51" sqref="G51"/>
      <selection pane="bottomLeft" activeCell="G51" sqref="G51"/>
      <selection pane="bottomRight" activeCell="B32" sqref="B32"/>
    </sheetView>
  </sheetViews>
  <sheetFormatPr defaultRowHeight="12.75" x14ac:dyDescent="0.2"/>
  <cols>
    <col min="1" max="1" width="30" style="75" customWidth="1"/>
    <col min="2" max="2" width="21.7109375" style="75" customWidth="1"/>
    <col min="3" max="3" width="9.7109375" style="75" bestFit="1" customWidth="1"/>
    <col min="4" max="4" width="10.7109375" style="61" bestFit="1" customWidth="1"/>
    <col min="5" max="5" width="10.7109375" style="170" bestFit="1" customWidth="1"/>
    <col min="6" max="6" width="12.7109375" style="61" customWidth="1"/>
    <col min="7" max="7" width="12.140625" style="61" bestFit="1" customWidth="1"/>
    <col min="8" max="8" width="14.7109375" style="61" customWidth="1"/>
    <col min="9" max="9" width="9.7109375" style="61" bestFit="1" customWidth="1"/>
    <col min="10" max="10" width="10.7109375" style="61" customWidth="1"/>
    <col min="11" max="11" width="12.140625" style="61" bestFit="1" customWidth="1"/>
    <col min="12" max="12" width="10.7109375" style="61" bestFit="1" customWidth="1"/>
    <col min="13" max="13" width="12.140625" style="61" bestFit="1" customWidth="1"/>
    <col min="14" max="14" width="10" style="61" bestFit="1" customWidth="1"/>
    <col min="15" max="15" width="13.140625" style="61" bestFit="1" customWidth="1"/>
    <col min="16" max="16" width="12.42578125" style="61" bestFit="1" customWidth="1"/>
    <col min="17" max="17" width="9.140625" style="61"/>
    <col min="18" max="18" width="12.85546875" style="61" customWidth="1"/>
    <col min="19" max="16384" width="9.140625" style="61"/>
  </cols>
  <sheetData>
    <row r="1" spans="1:29" ht="13.5" thickBot="1" x14ac:dyDescent="0.25">
      <c r="A1" s="125" t="s">
        <v>274</v>
      </c>
      <c r="B1" s="61"/>
      <c r="C1" s="61"/>
      <c r="D1" s="76"/>
      <c r="E1" s="172"/>
      <c r="F1" s="76"/>
      <c r="G1" s="60"/>
      <c r="H1" s="60"/>
      <c r="I1" s="76"/>
      <c r="J1" s="76"/>
      <c r="K1" s="76"/>
      <c r="L1" s="76"/>
    </row>
    <row r="2" spans="1:29" s="77" customFormat="1" x14ac:dyDescent="0.2">
      <c r="A2" s="205" t="s">
        <v>0</v>
      </c>
      <c r="B2" s="206"/>
      <c r="C2" s="112" t="s">
        <v>1</v>
      </c>
      <c r="D2" s="112" t="s">
        <v>2</v>
      </c>
      <c r="E2" s="171" t="s">
        <v>3</v>
      </c>
      <c r="F2" s="171" t="s">
        <v>4</v>
      </c>
      <c r="G2" s="169" t="s">
        <v>5</v>
      </c>
      <c r="H2" s="112" t="s">
        <v>6</v>
      </c>
      <c r="I2" s="112" t="s">
        <v>7</v>
      </c>
      <c r="J2" s="112" t="s">
        <v>8</v>
      </c>
      <c r="K2" s="112" t="s">
        <v>9</v>
      </c>
      <c r="L2" s="112" t="s">
        <v>10</v>
      </c>
      <c r="M2" s="79" t="s">
        <v>17</v>
      </c>
      <c r="S2" s="179" t="s">
        <v>1</v>
      </c>
      <c r="T2" s="179" t="s">
        <v>2</v>
      </c>
      <c r="U2" s="179" t="s">
        <v>3</v>
      </c>
      <c r="V2" s="179" t="s">
        <v>4</v>
      </c>
      <c r="W2" s="169" t="s">
        <v>5</v>
      </c>
      <c r="X2" s="179" t="s">
        <v>6</v>
      </c>
      <c r="Y2" s="179" t="s">
        <v>7</v>
      </c>
      <c r="Z2" s="179" t="s">
        <v>8</v>
      </c>
      <c r="AA2" s="179" t="s">
        <v>9</v>
      </c>
      <c r="AB2" s="179" t="s">
        <v>10</v>
      </c>
      <c r="AC2" s="79" t="s">
        <v>17</v>
      </c>
    </row>
    <row r="3" spans="1:29" ht="9.75" customHeight="1" x14ac:dyDescent="0.2">
      <c r="A3" s="62"/>
      <c r="B3" s="63"/>
      <c r="C3" s="63"/>
      <c r="D3" s="103"/>
      <c r="E3" s="103"/>
      <c r="F3" s="103"/>
      <c r="G3" s="103"/>
      <c r="H3" s="103"/>
      <c r="I3" s="103"/>
      <c r="J3" s="103"/>
      <c r="K3" s="103"/>
      <c r="L3" s="103"/>
      <c r="M3" s="103"/>
    </row>
    <row r="4" spans="1:29" s="64" customFormat="1" x14ac:dyDescent="0.2">
      <c r="A4" s="207" t="s">
        <v>243</v>
      </c>
      <c r="B4" s="207"/>
      <c r="C4" s="78">
        <f>'1.RSP Districts '!A204</f>
        <v>8</v>
      </c>
      <c r="D4" s="78">
        <f>'1.RSP Districts '!A205</f>
        <v>7</v>
      </c>
      <c r="E4" s="167">
        <f>'1.RSP Districts '!A206</f>
        <v>14</v>
      </c>
      <c r="F4" s="167">
        <f>'1.RSP Districts '!A207</f>
        <v>3</v>
      </c>
      <c r="G4" s="78">
        <f>'1.RSP Districts '!A208</f>
        <v>51</v>
      </c>
      <c r="H4" s="78">
        <f>'1.RSP Districts '!A209</f>
        <v>21</v>
      </c>
      <c r="I4" s="78">
        <f>'1.RSP Districts '!A210</f>
        <v>1</v>
      </c>
      <c r="J4" s="78">
        <f>'1.RSP Districts '!A211</f>
        <v>9</v>
      </c>
      <c r="K4" s="78">
        <f>'1.RSP Districts '!A212</f>
        <v>23</v>
      </c>
      <c r="L4" s="78">
        <f>'1.RSP Districts '!A213</f>
        <v>4</v>
      </c>
      <c r="M4" s="78">
        <f>SUM(C4:L4)-25</f>
        <v>116</v>
      </c>
      <c r="N4" s="86"/>
      <c r="O4" s="69"/>
      <c r="R4" s="64" t="e">
        <f>G4-#REF!</f>
        <v>#REF!</v>
      </c>
      <c r="S4" s="64">
        <f>C4-'3. Overallcomprogres March(ref)'!C4</f>
        <v>0</v>
      </c>
      <c r="T4" s="64">
        <f>D4-'3. Overallcomprogres March(ref)'!D4</f>
        <v>0</v>
      </c>
      <c r="U4" s="64">
        <f>E4-'3. Overallcomprogres March(ref)'!E4</f>
        <v>0</v>
      </c>
      <c r="V4" s="64">
        <f>F4-'3. Overallcomprogres March(ref)'!F4</f>
        <v>0</v>
      </c>
      <c r="W4" s="64">
        <f>G4-'3. Overallcomprogres March(ref)'!G4</f>
        <v>0</v>
      </c>
      <c r="X4" s="64">
        <f>H4-'3. Overallcomprogres March(ref)'!H4</f>
        <v>0</v>
      </c>
      <c r="Y4" s="64">
        <f>I4-'3. Overallcomprogres March(ref)'!I4</f>
        <v>0</v>
      </c>
      <c r="Z4" s="64">
        <f>J4-'3. Overallcomprogres March(ref)'!J4</f>
        <v>0</v>
      </c>
      <c r="AA4" s="64">
        <f>K4-'3. Overallcomprogres March(ref)'!K4</f>
        <v>0</v>
      </c>
      <c r="AB4" s="64">
        <f>L4-'3. Overallcomprogres March(ref)'!L4</f>
        <v>0</v>
      </c>
      <c r="AC4" s="64">
        <f>M4-'3. Overallcomprogres March(ref)'!M4</f>
        <v>-1</v>
      </c>
    </row>
    <row r="5" spans="1:29" s="64" customFormat="1" x14ac:dyDescent="0.2">
      <c r="A5" s="208" t="s">
        <v>11</v>
      </c>
      <c r="B5" s="207"/>
      <c r="C5" s="78">
        <f>'1.RSP Districts '!E204</f>
        <v>136</v>
      </c>
      <c r="D5" s="144">
        <f>'1.RSP Districts '!E205</f>
        <v>118</v>
      </c>
      <c r="E5" s="173">
        <f>'1.RSP Districts '!E206</f>
        <v>204</v>
      </c>
      <c r="F5" s="167">
        <f>'1.RSP Districts '!E207</f>
        <v>22</v>
      </c>
      <c r="G5" s="144">
        <f>'1.RSP Districts '!E208</f>
        <v>1980</v>
      </c>
      <c r="H5" s="167">
        <f>'1.RSP Districts '!E209</f>
        <v>701</v>
      </c>
      <c r="I5" s="144">
        <f>'1.RSP Districts '!E210</f>
        <v>13</v>
      </c>
      <c r="J5" s="144">
        <f>'1.RSP Districts '!E211</f>
        <v>338</v>
      </c>
      <c r="K5" s="144">
        <f>'1.RSP Districts '!E212</f>
        <v>528</v>
      </c>
      <c r="L5" s="144">
        <f>'1.RSP Districts '!E213</f>
        <v>113</v>
      </c>
      <c r="M5" s="78">
        <f>SUM(C5:L5)-534</f>
        <v>3619</v>
      </c>
      <c r="N5" s="86"/>
      <c r="O5" s="69"/>
      <c r="R5" s="64" t="e">
        <f>G5-#REF!</f>
        <v>#REF!</v>
      </c>
      <c r="S5" s="64">
        <f>C5-'3. Overallcomprogres March(ref)'!C5</f>
        <v>0</v>
      </c>
      <c r="T5" s="64">
        <f>D5-'3. Overallcomprogres March(ref)'!D5</f>
        <v>0</v>
      </c>
      <c r="U5" s="64">
        <f>E5-'3. Overallcomprogres March(ref)'!E5</f>
        <v>0</v>
      </c>
      <c r="V5" s="64">
        <f>F5-'3. Overallcomprogres March(ref)'!F5</f>
        <v>0</v>
      </c>
      <c r="W5" s="64">
        <f>G5-'3. Overallcomprogres March(ref)'!G5</f>
        <v>0</v>
      </c>
      <c r="X5" s="64">
        <f>H5-'3. Overallcomprogres March(ref)'!H5</f>
        <v>0</v>
      </c>
      <c r="Y5" s="64">
        <f>I5-'3. Overallcomprogres March(ref)'!I5</f>
        <v>0</v>
      </c>
      <c r="Z5" s="64">
        <f>J5-'3. Overallcomprogres March(ref)'!J5</f>
        <v>0</v>
      </c>
      <c r="AA5" s="64">
        <f>K5-'3. Overallcomprogres March(ref)'!K5</f>
        <v>0</v>
      </c>
      <c r="AB5" s="64">
        <f>L5-'3. Overallcomprogres March(ref)'!L5</f>
        <v>0</v>
      </c>
      <c r="AC5" s="64">
        <f>M5-'3. Overallcomprogres March(ref)'!M5</f>
        <v>0</v>
      </c>
    </row>
    <row r="6" spans="1:29" s="64" customFormat="1" x14ac:dyDescent="0.2">
      <c r="A6" s="208" t="s">
        <v>217</v>
      </c>
      <c r="B6" s="207"/>
      <c r="C6" s="78">
        <f>'1.RSP Districts '!L204</f>
        <v>102320</v>
      </c>
      <c r="D6" s="78">
        <f>'1.RSP Districts '!L205</f>
        <v>110695</v>
      </c>
      <c r="E6" s="167">
        <f>'1.RSP Districts '!L206</f>
        <v>188824</v>
      </c>
      <c r="F6" s="167">
        <f>'1.RSP Districts '!L207</f>
        <v>34662</v>
      </c>
      <c r="G6" s="78">
        <f>'1.RSP Districts '!L208</f>
        <v>2288825</v>
      </c>
      <c r="H6" s="167">
        <f>'1.RSP Districts '!L209</f>
        <v>1150843</v>
      </c>
      <c r="I6" s="78">
        <f>'1.RSP Districts '!L210</f>
        <v>16500</v>
      </c>
      <c r="J6" s="78">
        <f>'1.RSP Districts '!L211</f>
        <v>591729</v>
      </c>
      <c r="K6" s="78">
        <f>'1.RSP Districts '!L212</f>
        <v>642268</v>
      </c>
      <c r="L6" s="78">
        <f>'1.RSP Districts '!L213</f>
        <v>266483</v>
      </c>
      <c r="M6" s="78">
        <f>SUM(C6:L6)</f>
        <v>5393149</v>
      </c>
      <c r="N6" s="87">
        <f>M6/1000000</f>
        <v>5.3931490000000002</v>
      </c>
      <c r="O6" s="68">
        <f>N6*6.5</f>
        <v>35.055468500000003</v>
      </c>
      <c r="P6" s="64">
        <f>200+90+160+54</f>
        <v>504</v>
      </c>
      <c r="R6" s="64" t="e">
        <f>G6-#REF!</f>
        <v>#REF!</v>
      </c>
      <c r="S6" s="64">
        <f>C6-'3. Overallcomprogres March(ref)'!C6</f>
        <v>0</v>
      </c>
      <c r="T6" s="64">
        <f>D6-'3. Overallcomprogres March(ref)'!D6</f>
        <v>0</v>
      </c>
      <c r="U6" s="64">
        <f>E6-'3. Overallcomprogres March(ref)'!E6</f>
        <v>0</v>
      </c>
      <c r="V6" s="64">
        <f>F6-'3. Overallcomprogres March(ref)'!F6</f>
        <v>0</v>
      </c>
      <c r="W6" s="64">
        <f>G6-'3. Overallcomprogres March(ref)'!G6</f>
        <v>0</v>
      </c>
      <c r="X6" s="64">
        <f>H6-'3. Overallcomprogres March(ref)'!H6</f>
        <v>0</v>
      </c>
      <c r="Y6" s="64">
        <f>I6-'3. Overallcomprogres March(ref)'!I6</f>
        <v>0</v>
      </c>
      <c r="Z6" s="64">
        <f>J6-'3. Overallcomprogres March(ref)'!J6</f>
        <v>0</v>
      </c>
      <c r="AA6" s="64">
        <f>K6-'3. Overallcomprogres March(ref)'!K6</f>
        <v>0</v>
      </c>
      <c r="AB6" s="64">
        <f>L6-'3. Overallcomprogres March(ref)'!L6</f>
        <v>0</v>
      </c>
      <c r="AC6" s="64">
        <f>M6-'3. Overallcomprogres March(ref)'!M6</f>
        <v>0</v>
      </c>
    </row>
    <row r="7" spans="1:29" s="64" customFormat="1" x14ac:dyDescent="0.2">
      <c r="A7" s="208" t="s">
        <v>12</v>
      </c>
      <c r="B7" s="207"/>
      <c r="C7" s="78">
        <v>33</v>
      </c>
      <c r="D7" s="167">
        <v>59</v>
      </c>
      <c r="E7" s="167">
        <v>43</v>
      </c>
      <c r="F7" s="167">
        <v>8</v>
      </c>
      <c r="G7" s="78">
        <f>512-C7</f>
        <v>479</v>
      </c>
      <c r="H7" s="218">
        <v>30</v>
      </c>
      <c r="I7" s="64">
        <v>1</v>
      </c>
      <c r="J7" s="78">
        <v>91</v>
      </c>
      <c r="K7" s="78">
        <v>73</v>
      </c>
      <c r="L7" s="137">
        <v>27</v>
      </c>
      <c r="M7" s="78">
        <f>SUM(C7:L7)</f>
        <v>844</v>
      </c>
      <c r="N7" s="86"/>
      <c r="O7" s="69"/>
      <c r="P7" s="64">
        <f>266298-265794</f>
        <v>504</v>
      </c>
      <c r="R7" s="64" t="e">
        <f>G7-#REF!</f>
        <v>#REF!</v>
      </c>
      <c r="S7" s="64">
        <f>C7-'3. Overallcomprogres March(ref)'!C7</f>
        <v>0</v>
      </c>
      <c r="T7" s="64">
        <f>D7-'3. Overallcomprogres March(ref)'!D7</f>
        <v>1</v>
      </c>
      <c r="U7" s="64">
        <f>E7-'3. Overallcomprogres March(ref)'!E7</f>
        <v>3</v>
      </c>
      <c r="V7" s="64">
        <f>F7-'3. Overallcomprogres March(ref)'!F7</f>
        <v>0</v>
      </c>
      <c r="W7" s="64">
        <f>G7-'3. Overallcomprogres March(ref)'!G7</f>
        <v>17</v>
      </c>
      <c r="X7" s="64">
        <f>H7-'3. Overallcomprogres March(ref)'!H7</f>
        <v>1</v>
      </c>
      <c r="Y7" s="64">
        <f>I7-'3. Overallcomprogres March(ref)'!I7</f>
        <v>0</v>
      </c>
      <c r="Z7" s="64">
        <f>J7-'3. Overallcomprogres March(ref)'!J7</f>
        <v>1</v>
      </c>
      <c r="AA7" s="64">
        <f>K7-'3. Overallcomprogres March(ref)'!K7</f>
        <v>7</v>
      </c>
      <c r="AB7" s="64">
        <f>L7-'3. Overallcomprogres March(ref)'!L7</f>
        <v>10</v>
      </c>
      <c r="AC7" s="64">
        <f>M7-'3. Overallcomprogres March(ref)'!M7</f>
        <v>40</v>
      </c>
    </row>
    <row r="8" spans="1:29" s="64" customFormat="1" x14ac:dyDescent="0.2">
      <c r="A8" s="198" t="s">
        <v>13</v>
      </c>
      <c r="B8" s="114" t="s">
        <v>14</v>
      </c>
      <c r="C8" s="167">
        <f>'3. Overallcomprogres March(ref)'!C8</f>
        <v>1577</v>
      </c>
      <c r="D8" s="167">
        <f>'[4]2. Overall com progres June 13'!D8</f>
        <v>2171</v>
      </c>
      <c r="E8" s="167">
        <f>'[2]2. Overall com progres June 13'!E8</f>
        <v>3471</v>
      </c>
      <c r="F8" s="167">
        <f>'[5]2. Overall com progres June 13'!F8</f>
        <v>1641</v>
      </c>
      <c r="G8" s="78">
        <v>71118</v>
      </c>
      <c r="H8" s="78">
        <f>'[9]2. Overall com progres Dec 12'!H8</f>
        <v>28382</v>
      </c>
      <c r="I8" s="162">
        <f>'3. Overallcomprogres March(ref)'!I8</f>
        <v>410</v>
      </c>
      <c r="J8" s="78">
        <f>'[7]2. Overall com progres June 13'!J8</f>
        <v>32866</v>
      </c>
      <c r="K8" s="78">
        <f>'[3]2. Overall com progres June 13'!K8</f>
        <v>9104</v>
      </c>
      <c r="L8" s="137">
        <f>'[6]2. Overall com progres June 13'!L8</f>
        <v>8549</v>
      </c>
      <c r="M8" s="78">
        <f>SUM(C8:L8)</f>
        <v>159289</v>
      </c>
      <c r="N8" s="87">
        <f>M8/M11%</f>
        <v>48.926942392456191</v>
      </c>
      <c r="O8" s="69"/>
      <c r="P8" s="64" t="s">
        <v>270</v>
      </c>
      <c r="R8" s="64" t="e">
        <f>G8-#REF!</f>
        <v>#REF!</v>
      </c>
      <c r="S8" s="64">
        <f>C8-'3. Overallcomprogres March(ref)'!C8</f>
        <v>0</v>
      </c>
      <c r="T8" s="64">
        <f>D8-'3. Overallcomprogres March(ref)'!D8</f>
        <v>153</v>
      </c>
      <c r="U8" s="64">
        <f>E8-'3. Overallcomprogres March(ref)'!E8</f>
        <v>69</v>
      </c>
      <c r="V8" s="64">
        <f>F8-'3. Overallcomprogres March(ref)'!F8</f>
        <v>65</v>
      </c>
      <c r="W8" s="64">
        <f>G8-'3. Overallcomprogres March(ref)'!G8</f>
        <v>736</v>
      </c>
      <c r="X8" s="64">
        <f>H8-'3. Overallcomprogres March(ref)'!H8</f>
        <v>666</v>
      </c>
      <c r="Y8" s="64">
        <f>I8-'3. Overallcomprogres March(ref)'!I8</f>
        <v>0</v>
      </c>
      <c r="Z8" s="64">
        <f>J8-'3. Overallcomprogres March(ref)'!J8</f>
        <v>4</v>
      </c>
      <c r="AA8" s="64">
        <f>K8-'3. Overallcomprogres March(ref)'!K8</f>
        <v>324</v>
      </c>
      <c r="AB8" s="64">
        <f>L8-'3. Overallcomprogres March(ref)'!L8</f>
        <v>13</v>
      </c>
      <c r="AC8" s="64">
        <f>M8-'3. Overallcomprogres March(ref)'!M8</f>
        <v>2030</v>
      </c>
    </row>
    <row r="9" spans="1:29" s="64" customFormat="1" x14ac:dyDescent="0.2">
      <c r="A9" s="198"/>
      <c r="B9" s="115" t="s">
        <v>15</v>
      </c>
      <c r="C9" s="167">
        <f>'3. Overallcomprogres March(ref)'!C9</f>
        <v>2138</v>
      </c>
      <c r="D9" s="167">
        <f>'[4]2. Overall com progres June 13'!D9</f>
        <v>2893</v>
      </c>
      <c r="E9" s="167">
        <f>'[2]2. Overall com progres June 13'!E9</f>
        <v>7956</v>
      </c>
      <c r="F9" s="167">
        <f>'[5]2. Overall com progres June 13'!F9</f>
        <v>1342</v>
      </c>
      <c r="G9" s="78">
        <v>71335</v>
      </c>
      <c r="H9" s="167">
        <f>'[9]2. Overall com progres Dec 12'!H9</f>
        <v>40600</v>
      </c>
      <c r="I9" s="162">
        <f>'3. Overallcomprogres March(ref)'!I9</f>
        <v>450</v>
      </c>
      <c r="J9" s="167">
        <f>'[7]2. Overall com progres June 13'!J9</f>
        <v>4159</v>
      </c>
      <c r="K9" s="167">
        <f>'[3]2. Overall com progres June 13'!K9</f>
        <v>17684</v>
      </c>
      <c r="L9" s="137">
        <f>'[6]2. Overall com progres June 13'!L9</f>
        <v>5698</v>
      </c>
      <c r="M9" s="78">
        <f>SUM(C9:L9)</f>
        <v>154255</v>
      </c>
      <c r="N9" s="86"/>
      <c r="O9" s="69"/>
      <c r="P9" s="64">
        <v>19</v>
      </c>
      <c r="Q9" s="64">
        <f>P9*18</f>
        <v>342</v>
      </c>
      <c r="R9" s="64" t="e">
        <f>G9-#REF!</f>
        <v>#REF!</v>
      </c>
      <c r="S9" s="64">
        <f>C9-'3. Overallcomprogres March(ref)'!C9</f>
        <v>0</v>
      </c>
      <c r="T9" s="64">
        <f>D9-'3. Overallcomprogres March(ref)'!D9</f>
        <v>190</v>
      </c>
      <c r="U9" s="64">
        <f>E9-'3. Overallcomprogres March(ref)'!E9</f>
        <v>52</v>
      </c>
      <c r="V9" s="64">
        <f>F9-'3. Overallcomprogres March(ref)'!F9</f>
        <v>24</v>
      </c>
      <c r="W9" s="64">
        <f>G9-'3. Overallcomprogres March(ref)'!G9</f>
        <v>669</v>
      </c>
      <c r="X9" s="64">
        <f>H9-'3. Overallcomprogres March(ref)'!H9</f>
        <v>620</v>
      </c>
      <c r="Y9" s="64">
        <f>I9-'3. Overallcomprogres March(ref)'!I9</f>
        <v>0</v>
      </c>
      <c r="Z9" s="64">
        <f>J9-'3. Overallcomprogres March(ref)'!J9</f>
        <v>0</v>
      </c>
      <c r="AA9" s="64">
        <f>K9-'3. Overallcomprogres March(ref)'!K9</f>
        <v>213</v>
      </c>
      <c r="AB9" s="64">
        <f>L9-'3. Overallcomprogres March(ref)'!L9</f>
        <v>0</v>
      </c>
      <c r="AC9" s="64">
        <f>M9-'3. Overallcomprogres March(ref)'!M9</f>
        <v>1768</v>
      </c>
    </row>
    <row r="10" spans="1:29" s="64" customFormat="1" x14ac:dyDescent="0.2">
      <c r="A10" s="198"/>
      <c r="B10" s="115" t="s">
        <v>16</v>
      </c>
      <c r="C10" s="167">
        <f>'3. Overallcomprogres March(ref)'!C10</f>
        <v>1035</v>
      </c>
      <c r="D10" s="167">
        <f>'[4]2. Overall com progres June 13'!D10</f>
        <v>0</v>
      </c>
      <c r="E10" s="167">
        <f>'[2]2. Overall com progres June 13'!E10</f>
        <v>54</v>
      </c>
      <c r="F10" s="167">
        <f>'[5]2. Overall com progres June 13'!F10</f>
        <v>0</v>
      </c>
      <c r="G10" s="78">
        <v>8921</v>
      </c>
      <c r="H10" s="167">
        <f>'[9]2. Overall com progres Dec 12'!H10</f>
        <v>0</v>
      </c>
      <c r="I10" s="162">
        <f>'3. Overallcomprogres March(ref)'!I10</f>
        <v>0</v>
      </c>
      <c r="J10" s="167">
        <f>'[7]2. Overall com progres June 13'!J10</f>
        <v>40</v>
      </c>
      <c r="K10" s="167">
        <f>'[3]2. Overall com progres June 13'!K10</f>
        <v>0</v>
      </c>
      <c r="L10" s="137">
        <f>'[6]2. Overall com progres June 13'!L10</f>
        <v>1971</v>
      </c>
      <c r="M10" s="78">
        <f>SUM(C10:L10)</f>
        <v>12021</v>
      </c>
      <c r="N10" s="86"/>
      <c r="O10" s="69"/>
      <c r="P10" s="64">
        <v>6</v>
      </c>
      <c r="Q10" s="64">
        <v>120</v>
      </c>
      <c r="R10" s="64" t="e">
        <f>G10-#REF!</f>
        <v>#REF!</v>
      </c>
      <c r="S10" s="64">
        <f>C10-'3. Overallcomprogres March(ref)'!C10</f>
        <v>0</v>
      </c>
      <c r="T10" s="64">
        <f>D10-'3. Overallcomprogres March(ref)'!D10</f>
        <v>0</v>
      </c>
      <c r="U10" s="64">
        <f>E10-'3. Overallcomprogres March(ref)'!E10</f>
        <v>0</v>
      </c>
      <c r="V10" s="64">
        <f>F10-'3. Overallcomprogres March(ref)'!F10</f>
        <v>0</v>
      </c>
      <c r="W10" s="64">
        <f>G10-'3. Overallcomprogres March(ref)'!G10</f>
        <v>423</v>
      </c>
      <c r="X10" s="64">
        <f>H10-'3. Overallcomprogres March(ref)'!H10</f>
        <v>0</v>
      </c>
      <c r="Y10" s="64">
        <f>I10-'3. Overallcomprogres March(ref)'!I10</f>
        <v>0</v>
      </c>
      <c r="Z10" s="64">
        <f>J10-'3. Overallcomprogres March(ref)'!J10</f>
        <v>0</v>
      </c>
      <c r="AA10" s="64">
        <f>K10-'3. Overallcomprogres March(ref)'!K10</f>
        <v>0</v>
      </c>
      <c r="AB10" s="64">
        <f>L10-'3. Overallcomprogres March(ref)'!L10</f>
        <v>0</v>
      </c>
      <c r="AC10" s="64">
        <f>M10-'3. Overallcomprogres March(ref)'!M10</f>
        <v>423</v>
      </c>
    </row>
    <row r="11" spans="1:29" s="64" customFormat="1" x14ac:dyDescent="0.2">
      <c r="A11" s="198"/>
      <c r="B11" s="116" t="s">
        <v>17</v>
      </c>
      <c r="C11" s="104">
        <f>SUM(C8:C10)</f>
        <v>4750</v>
      </c>
      <c r="D11" s="168">
        <f t="shared" ref="D11:L11" si="0">SUM(D8:D10)</f>
        <v>5064</v>
      </c>
      <c r="E11" s="168">
        <f t="shared" si="0"/>
        <v>11481</v>
      </c>
      <c r="F11" s="168">
        <f t="shared" si="0"/>
        <v>2983</v>
      </c>
      <c r="G11" s="168">
        <f t="shared" si="0"/>
        <v>151374</v>
      </c>
      <c r="H11" s="168">
        <f t="shared" si="0"/>
        <v>68982</v>
      </c>
      <c r="I11" s="168">
        <f t="shared" si="0"/>
        <v>860</v>
      </c>
      <c r="J11" s="168">
        <f t="shared" si="0"/>
        <v>37065</v>
      </c>
      <c r="K11" s="168">
        <f t="shared" si="0"/>
        <v>26788</v>
      </c>
      <c r="L11" s="168">
        <f t="shared" si="0"/>
        <v>16218</v>
      </c>
      <c r="M11" s="104">
        <f>SUM(M8:M10)</f>
        <v>325565</v>
      </c>
      <c r="N11" s="86"/>
      <c r="O11" s="69">
        <f>L11-16178</f>
        <v>40</v>
      </c>
      <c r="P11" s="64">
        <v>2</v>
      </c>
      <c r="Q11" s="64">
        <v>40</v>
      </c>
      <c r="R11" s="64" t="e">
        <f>G11-#REF!</f>
        <v>#REF!</v>
      </c>
      <c r="S11" s="64">
        <f>C11-'3. Overallcomprogres March(ref)'!C11</f>
        <v>0</v>
      </c>
      <c r="T11" s="64">
        <f>D11-'3. Overallcomprogres March(ref)'!D11</f>
        <v>343</v>
      </c>
      <c r="U11" s="64">
        <f>E11-'3. Overallcomprogres March(ref)'!E11</f>
        <v>121</v>
      </c>
      <c r="V11" s="64">
        <f>F11-'3. Overallcomprogres March(ref)'!F11</f>
        <v>89</v>
      </c>
      <c r="W11" s="64">
        <f>G11-'3. Overallcomprogres March(ref)'!G11</f>
        <v>1828</v>
      </c>
      <c r="X11" s="64">
        <f>H11-'3. Overallcomprogres March(ref)'!H11</f>
        <v>1286</v>
      </c>
      <c r="Y11" s="64">
        <f>I11-'3. Overallcomprogres March(ref)'!I11</f>
        <v>0</v>
      </c>
      <c r="Z11" s="64">
        <f>J11-'3. Overallcomprogres March(ref)'!J11</f>
        <v>4</v>
      </c>
      <c r="AA11" s="64">
        <f>K11-'3. Overallcomprogres March(ref)'!K11</f>
        <v>537</v>
      </c>
      <c r="AB11" s="64">
        <f>L11-'3. Overallcomprogres March(ref)'!L11</f>
        <v>13</v>
      </c>
      <c r="AC11" s="64">
        <f>M11-'3. Overallcomprogres March(ref)'!M11</f>
        <v>4221</v>
      </c>
    </row>
    <row r="12" spans="1:29" s="64" customFormat="1" x14ac:dyDescent="0.2">
      <c r="A12" s="216" t="s">
        <v>18</v>
      </c>
      <c r="B12" s="114" t="s">
        <v>19</v>
      </c>
      <c r="C12" s="167">
        <f>'3. Overallcomprogres March(ref)'!C12</f>
        <v>44063</v>
      </c>
      <c r="D12" s="167">
        <f>'[4]2. Overall com progres June 13'!D12</f>
        <v>84455</v>
      </c>
      <c r="E12" s="167">
        <f>'[2]2. Overall com progres June 13'!E12</f>
        <v>57821</v>
      </c>
      <c r="F12" s="167">
        <f>'[5]2. Overall com progres June 13'!F12</f>
        <v>27448</v>
      </c>
      <c r="G12" s="78">
        <v>1253303</v>
      </c>
      <c r="H12" s="167">
        <f>'[9]2. Overall com progres Dec 12'!H12</f>
        <v>463722</v>
      </c>
      <c r="I12" s="162">
        <f>'3. Overallcomprogres March(ref)'!I12</f>
        <v>10845</v>
      </c>
      <c r="J12" s="167">
        <f>'[7]2. Overall com progres June 13'!J12</f>
        <v>553067</v>
      </c>
      <c r="K12" s="167">
        <f>'[3]2. Overall com progres June 13'!K12</f>
        <v>209535</v>
      </c>
      <c r="L12" s="137">
        <f>'[6]2. Overall com progres June 13'!L12</f>
        <v>175958</v>
      </c>
      <c r="M12" s="78">
        <f>SUM(C12:L12)</f>
        <v>2880217</v>
      </c>
      <c r="N12" s="120">
        <f>M12/M14%</f>
        <v>51.666625408234253</v>
      </c>
      <c r="O12" s="69"/>
      <c r="Q12" s="64">
        <f>SUM(Q9:Q11)</f>
        <v>502</v>
      </c>
      <c r="R12" s="64" t="e">
        <f>G12-#REF!</f>
        <v>#REF!</v>
      </c>
      <c r="S12" s="64">
        <f>C12-'3. Overallcomprogres March(ref)'!C12</f>
        <v>0</v>
      </c>
      <c r="T12" s="64">
        <f>D12-'3. Overallcomprogres March(ref)'!D12</f>
        <v>16448</v>
      </c>
      <c r="U12" s="64">
        <f>E12-'3. Overallcomprogres March(ref)'!E12</f>
        <v>924</v>
      </c>
      <c r="V12" s="64">
        <f>F12-'3. Overallcomprogres March(ref)'!F12</f>
        <v>801</v>
      </c>
      <c r="W12" s="64">
        <f>G12-'3. Overallcomprogres March(ref)'!G12</f>
        <v>16566</v>
      </c>
      <c r="X12" s="64">
        <f>H12-'3. Overallcomprogres March(ref)'!H12</f>
        <v>11543</v>
      </c>
      <c r="Y12" s="64">
        <f>I12-'3. Overallcomprogres March(ref)'!I12</f>
        <v>0</v>
      </c>
      <c r="Z12" s="64">
        <f>J12-'3. Overallcomprogres March(ref)'!J12</f>
        <v>69</v>
      </c>
      <c r="AA12" s="64">
        <f>K12-'3. Overallcomprogres March(ref)'!K12</f>
        <v>3026</v>
      </c>
      <c r="AB12" s="64">
        <f>L12-'3. Overallcomprogres March(ref)'!L12</f>
        <v>185</v>
      </c>
      <c r="AC12" s="64">
        <f>M12-'3. Overallcomprogres March(ref)'!M12</f>
        <v>49562</v>
      </c>
    </row>
    <row r="13" spans="1:29" s="64" customFormat="1" x14ac:dyDescent="0.2">
      <c r="A13" s="216"/>
      <c r="B13" s="115" t="s">
        <v>20</v>
      </c>
      <c r="C13" s="167">
        <f>'3. Overallcomprogres March(ref)'!C13</f>
        <v>58257</v>
      </c>
      <c r="D13" s="167">
        <f>'[4]2. Overall com progres June 13'!D13</f>
        <v>121509</v>
      </c>
      <c r="E13" s="167">
        <f>'[2]2. Overall com progres June 13'!E13</f>
        <v>131003</v>
      </c>
      <c r="F13" s="167">
        <f>'[5]2. Overall com progres June 13'!F13</f>
        <v>25070</v>
      </c>
      <c r="G13" s="78">
        <v>1035522</v>
      </c>
      <c r="H13" s="167">
        <f>'[9]2. Overall com progres Dec 12'!H13</f>
        <v>697339</v>
      </c>
      <c r="I13" s="162">
        <f>'3. Overallcomprogres March(ref)'!I13</f>
        <v>11348</v>
      </c>
      <c r="J13" s="167">
        <f>'[7]2. Overall com progres June 13'!J13</f>
        <v>38662</v>
      </c>
      <c r="K13" s="167">
        <f>'[3]2. Overall com progres June 13'!K13</f>
        <v>436739</v>
      </c>
      <c r="L13" s="137">
        <f>'[6]2. Overall com progres June 13'!L13</f>
        <v>138952</v>
      </c>
      <c r="M13" s="78">
        <f>SUM(C13:L13)</f>
        <v>2694401</v>
      </c>
      <c r="N13" s="86"/>
      <c r="O13" s="69"/>
      <c r="R13" s="64" t="e">
        <f>G13-#REF!</f>
        <v>#REF!</v>
      </c>
      <c r="S13" s="64">
        <f>C13-'3. Overallcomprogres March(ref)'!C13</f>
        <v>0</v>
      </c>
      <c r="T13" s="64">
        <f>D13-'3. Overallcomprogres March(ref)'!D13</f>
        <v>13262</v>
      </c>
      <c r="U13" s="64">
        <f>E13-'3. Overallcomprogres March(ref)'!E13</f>
        <v>826</v>
      </c>
      <c r="V13" s="64">
        <f>F13-'3. Overallcomprogres March(ref)'!F13</f>
        <v>361</v>
      </c>
      <c r="W13" s="64">
        <f>G13-'3. Overallcomprogres March(ref)'!G13</f>
        <v>13670</v>
      </c>
      <c r="X13" s="64">
        <f>H13-'3. Overallcomprogres March(ref)'!H13</f>
        <v>12166</v>
      </c>
      <c r="Y13" s="64">
        <f>I13-'3. Overallcomprogres March(ref)'!I13</f>
        <v>0</v>
      </c>
      <c r="Z13" s="64">
        <f>J13-'3. Overallcomprogres March(ref)'!J13</f>
        <v>0</v>
      </c>
      <c r="AA13" s="64">
        <f>K13-'3. Overallcomprogres March(ref)'!K13</f>
        <v>5921</v>
      </c>
      <c r="AB13" s="64">
        <f>L13-'3. Overallcomprogres March(ref)'!L13</f>
        <v>0</v>
      </c>
      <c r="AC13" s="64">
        <f>M13-'3. Overallcomprogres March(ref)'!M13</f>
        <v>46206</v>
      </c>
    </row>
    <row r="14" spans="1:29" s="64" customFormat="1" x14ac:dyDescent="0.2">
      <c r="A14" s="216"/>
      <c r="B14" s="117" t="s">
        <v>17</v>
      </c>
      <c r="C14" s="104">
        <f>SUM(C12:C13)</f>
        <v>102320</v>
      </c>
      <c r="D14" s="168">
        <f t="shared" ref="D14:L14" si="1">SUM(D12:D13)</f>
        <v>205964</v>
      </c>
      <c r="E14" s="168">
        <f t="shared" si="1"/>
        <v>188824</v>
      </c>
      <c r="F14" s="168">
        <f t="shared" si="1"/>
        <v>52518</v>
      </c>
      <c r="G14" s="168">
        <f t="shared" si="1"/>
        <v>2288825</v>
      </c>
      <c r="H14" s="168">
        <f t="shared" si="1"/>
        <v>1161061</v>
      </c>
      <c r="I14" s="168">
        <f t="shared" si="1"/>
        <v>22193</v>
      </c>
      <c r="J14" s="168">
        <f t="shared" si="1"/>
        <v>591729</v>
      </c>
      <c r="K14" s="168">
        <f t="shared" si="1"/>
        <v>646274</v>
      </c>
      <c r="L14" s="168">
        <f t="shared" si="1"/>
        <v>314910</v>
      </c>
      <c r="M14" s="104">
        <f t="shared" ref="M14" si="2">SUM(M12:M13)</f>
        <v>5574618</v>
      </c>
      <c r="N14" s="87">
        <f>M14/1000000</f>
        <v>5.5746180000000001</v>
      </c>
      <c r="O14" s="69">
        <f>L14-314221</f>
        <v>689</v>
      </c>
      <c r="R14" s="64" t="e">
        <f>G14-#REF!</f>
        <v>#REF!</v>
      </c>
      <c r="S14" s="64">
        <f>C14-'3. Overallcomprogres March(ref)'!C14</f>
        <v>0</v>
      </c>
      <c r="T14" s="64">
        <f>D14-'3. Overallcomprogres March(ref)'!D14</f>
        <v>29710</v>
      </c>
      <c r="U14" s="64">
        <f>E14-'3. Overallcomprogres March(ref)'!E14</f>
        <v>1750</v>
      </c>
      <c r="V14" s="64">
        <f>F14-'3. Overallcomprogres March(ref)'!F14</f>
        <v>1162</v>
      </c>
      <c r="W14" s="64">
        <f>G14-'3. Overallcomprogres March(ref)'!G14</f>
        <v>30236</v>
      </c>
      <c r="X14" s="64">
        <f>H14-'3. Overallcomprogres March(ref)'!H14</f>
        <v>23709</v>
      </c>
      <c r="Y14" s="64">
        <f>I14-'3. Overallcomprogres March(ref)'!I14</f>
        <v>0</v>
      </c>
      <c r="Z14" s="64">
        <f>J14-'3. Overallcomprogres March(ref)'!J14</f>
        <v>69</v>
      </c>
      <c r="AA14" s="64">
        <f>K14-'3. Overallcomprogres March(ref)'!K14</f>
        <v>8947</v>
      </c>
      <c r="AB14" s="64">
        <f>L14-'3. Overallcomprogres March(ref)'!L14</f>
        <v>185</v>
      </c>
      <c r="AC14" s="64">
        <f>M14-'3. Overallcomprogres March(ref)'!M14</f>
        <v>95768</v>
      </c>
    </row>
    <row r="15" spans="1:29" s="68" customFormat="1" x14ac:dyDescent="0.2">
      <c r="A15" s="217" t="s">
        <v>246</v>
      </c>
      <c r="B15" s="118" t="s">
        <v>19</v>
      </c>
      <c r="C15" s="167">
        <f>'3. Overallcomprogres March(ref)'!C15</f>
        <v>24.064</v>
      </c>
      <c r="D15" s="167">
        <f>'[4]2. Overall com progres June 13'!D15</f>
        <v>129.43899999999999</v>
      </c>
      <c r="E15" s="167">
        <f>'[2]2. Overall com progres June 13'!E15</f>
        <v>5.45</v>
      </c>
      <c r="F15" s="167">
        <f>'[5]2. Overall com progres June 13'!F15</f>
        <v>4.2</v>
      </c>
      <c r="G15" s="78">
        <v>225.11113625000002</v>
      </c>
      <c r="H15" s="167">
        <f>'[9]2. Overall com progres Dec 12'!H15</f>
        <v>56.366999999999997</v>
      </c>
      <c r="I15" s="162">
        <f>'3. Overallcomprogres March(ref)'!I15</f>
        <v>0</v>
      </c>
      <c r="J15" s="167">
        <f>'[7]2. Overall com progres June 13'!J15</f>
        <v>110</v>
      </c>
      <c r="K15" s="167">
        <f>'[3]2. Overall com progres June 13'!K15</f>
        <v>38</v>
      </c>
      <c r="L15" s="137">
        <f>'[6]2. Overall com progres June 13'!L15</f>
        <v>81.540000000000006</v>
      </c>
      <c r="M15" s="78">
        <f>SUM(C15:L15)</f>
        <v>674.17113625000002</v>
      </c>
      <c r="N15" s="86"/>
      <c r="O15" s="69"/>
      <c r="P15" s="68">
        <v>742335</v>
      </c>
      <c r="R15" s="64" t="e">
        <f>G15-#REF!</f>
        <v>#REF!</v>
      </c>
      <c r="S15" s="64">
        <f>C15-'3. Overallcomprogres March(ref)'!C15</f>
        <v>0</v>
      </c>
      <c r="T15" s="64">
        <f>D15-'3. Overallcomprogres March(ref)'!D15</f>
        <v>0</v>
      </c>
      <c r="U15" s="64">
        <f>E15-'3. Overallcomprogres March(ref)'!E15</f>
        <v>0.10000000000000053</v>
      </c>
      <c r="V15" s="64">
        <f>F15-'3. Overallcomprogres March(ref)'!F15</f>
        <v>0</v>
      </c>
      <c r="W15" s="64">
        <f>G15-'3. Overallcomprogres March(ref)'!G15</f>
        <v>-10.007529999999974</v>
      </c>
      <c r="X15" s="64">
        <f>H15-'3. Overallcomprogres March(ref)'!H15</f>
        <v>0</v>
      </c>
      <c r="Y15" s="64">
        <f>I15-'3. Overallcomprogres March(ref)'!I15</f>
        <v>0</v>
      </c>
      <c r="Z15" s="64">
        <f>J15-'3. Overallcomprogres March(ref)'!J15</f>
        <v>1</v>
      </c>
      <c r="AA15" s="64">
        <f>K15-'3. Overallcomprogres March(ref)'!K15</f>
        <v>0</v>
      </c>
      <c r="AB15" s="64">
        <f>L15-'3. Overallcomprogres March(ref)'!L15</f>
        <v>0.30000000000001137</v>
      </c>
      <c r="AC15" s="64">
        <f>M15-'3. Overallcomprogres March(ref)'!M15</f>
        <v>-8.607529999999997</v>
      </c>
    </row>
    <row r="16" spans="1:29" s="68" customFormat="1" x14ac:dyDescent="0.2">
      <c r="A16" s="217"/>
      <c r="B16" s="111" t="s">
        <v>20</v>
      </c>
      <c r="C16" s="167">
        <f>'3. Overallcomprogres March(ref)'!C16</f>
        <v>11.851000000000001</v>
      </c>
      <c r="D16" s="167">
        <f>'[4]2. Overall com progres June 13'!D16</f>
        <v>371.08199999999999</v>
      </c>
      <c r="E16" s="167">
        <f>'[2]2. Overall com progres June 13'!E16</f>
        <v>8.7799999999999994</v>
      </c>
      <c r="F16" s="167">
        <f>'[5]2. Overall com progres June 13'!F16</f>
        <v>5.0599999999999996</v>
      </c>
      <c r="G16" s="78">
        <v>1126.7312577499999</v>
      </c>
      <c r="H16" s="167">
        <f>'[9]2. Overall com progres Dec 12'!H16</f>
        <v>63.838999999999999</v>
      </c>
      <c r="I16" s="162">
        <f>'3. Overallcomprogres March(ref)'!I16</f>
        <v>1</v>
      </c>
      <c r="J16" s="167">
        <f>'[7]2. Overall com progres June 13'!J16</f>
        <v>7</v>
      </c>
      <c r="K16" s="167">
        <f>'[3]2. Overall com progres June 13'!K16</f>
        <v>96</v>
      </c>
      <c r="L16" s="137">
        <f>'[6]2. Overall com progres June 13'!L16</f>
        <v>119.78</v>
      </c>
      <c r="M16" s="78">
        <f>SUM(C16:L16)</f>
        <v>1811.1232577499998</v>
      </c>
      <c r="N16" s="86"/>
      <c r="O16" s="69"/>
      <c r="P16" s="68">
        <f>P15/1000000</f>
        <v>0.74233499999999997</v>
      </c>
      <c r="R16" s="64" t="e">
        <f>G16-#REF!</f>
        <v>#REF!</v>
      </c>
      <c r="S16" s="64">
        <f>C16-'3. Overallcomprogres March(ref)'!C16</f>
        <v>0</v>
      </c>
      <c r="T16" s="64">
        <f>D16-'3. Overallcomprogres March(ref)'!D16</f>
        <v>0</v>
      </c>
      <c r="U16" s="64">
        <f>E16-'3. Overallcomprogres March(ref)'!E16</f>
        <v>9.9999999999999645E-2</v>
      </c>
      <c r="V16" s="64">
        <f>F16-'3. Overallcomprogres March(ref)'!F16</f>
        <v>0</v>
      </c>
      <c r="W16" s="64">
        <f>G16-'3. Overallcomprogres March(ref)'!G16</f>
        <v>65.514597999999978</v>
      </c>
      <c r="X16" s="64">
        <f>H16-'3. Overallcomprogres March(ref)'!H16</f>
        <v>0</v>
      </c>
      <c r="Y16" s="64">
        <f>I16-'3. Overallcomprogres March(ref)'!I16</f>
        <v>0</v>
      </c>
      <c r="Z16" s="64">
        <f>J16-'3. Overallcomprogres March(ref)'!J16</f>
        <v>0</v>
      </c>
      <c r="AA16" s="64">
        <f>K16-'3. Overallcomprogres March(ref)'!K16</f>
        <v>0</v>
      </c>
      <c r="AB16" s="64">
        <f>L16-'3. Overallcomprogres March(ref)'!L16</f>
        <v>0.30000000000001137</v>
      </c>
      <c r="AC16" s="64">
        <f>M16-'3. Overallcomprogres March(ref)'!M16</f>
        <v>65.914597999999842</v>
      </c>
    </row>
    <row r="17" spans="1:29" s="68" customFormat="1" x14ac:dyDescent="0.2">
      <c r="A17" s="217"/>
      <c r="B17" s="117" t="s">
        <v>17</v>
      </c>
      <c r="C17" s="168">
        <f>SUM(C15:C16)</f>
        <v>35.914999999999999</v>
      </c>
      <c r="D17" s="168">
        <f t="shared" ref="D17:L17" si="3">SUM(D15:D16)</f>
        <v>500.52099999999996</v>
      </c>
      <c r="E17" s="168">
        <f t="shared" si="3"/>
        <v>14.23</v>
      </c>
      <c r="F17" s="168">
        <f t="shared" si="3"/>
        <v>9.26</v>
      </c>
      <c r="G17" s="168">
        <f t="shared" si="3"/>
        <v>1351.842394</v>
      </c>
      <c r="H17" s="168">
        <f t="shared" si="3"/>
        <v>120.20599999999999</v>
      </c>
      <c r="I17" s="168">
        <f t="shared" si="3"/>
        <v>1</v>
      </c>
      <c r="J17" s="168">
        <f t="shared" si="3"/>
        <v>117</v>
      </c>
      <c r="K17" s="168">
        <f t="shared" si="3"/>
        <v>134</v>
      </c>
      <c r="L17" s="177">
        <f t="shared" si="3"/>
        <v>201.32</v>
      </c>
      <c r="M17" s="104">
        <f t="shared" ref="M17" si="4">SUM(M15:M16)</f>
        <v>2485.2943939999996</v>
      </c>
      <c r="N17" s="86"/>
      <c r="O17" s="69"/>
      <c r="R17" s="64" t="e">
        <f>G17-#REF!</f>
        <v>#REF!</v>
      </c>
      <c r="S17" s="64">
        <f>C17-'3. Overallcomprogres March(ref)'!C17</f>
        <v>0</v>
      </c>
      <c r="T17" s="64">
        <f>D17-'3. Overallcomprogres March(ref)'!D17</f>
        <v>0</v>
      </c>
      <c r="U17" s="64">
        <f>E17-'3. Overallcomprogres March(ref)'!E17</f>
        <v>0.20000000000000107</v>
      </c>
      <c r="V17" s="64">
        <f>F17-'3. Overallcomprogres March(ref)'!F17</f>
        <v>0</v>
      </c>
      <c r="W17" s="64">
        <f>G17-'3. Overallcomprogres March(ref)'!G17</f>
        <v>55.507068000000118</v>
      </c>
      <c r="X17" s="64">
        <f>H17-'3. Overallcomprogres March(ref)'!H17</f>
        <v>0</v>
      </c>
      <c r="Y17" s="64">
        <f>I17-'3. Overallcomprogres March(ref)'!I17</f>
        <v>0</v>
      </c>
      <c r="Z17" s="64">
        <f>J17-'3. Overallcomprogres March(ref)'!J17</f>
        <v>1</v>
      </c>
      <c r="AA17" s="64">
        <f>K17-'3. Overallcomprogres March(ref)'!K17</f>
        <v>0</v>
      </c>
      <c r="AB17" s="64">
        <f>L17-'3. Overallcomprogres March(ref)'!L17</f>
        <v>0.60000000000002274</v>
      </c>
      <c r="AC17" s="64">
        <f>M17-'3. Overallcomprogres March(ref)'!M17</f>
        <v>57.307067999999617</v>
      </c>
    </row>
    <row r="18" spans="1:29" s="64" customFormat="1" x14ac:dyDescent="0.2">
      <c r="A18" s="198" t="s">
        <v>21</v>
      </c>
      <c r="B18" s="114" t="s">
        <v>19</v>
      </c>
      <c r="C18" s="167">
        <f>'3. Overallcomprogres March(ref)'!C18</f>
        <v>10954</v>
      </c>
      <c r="D18" s="167">
        <f>'[4]2. Overall com progres June 13'!D18</f>
        <v>58754</v>
      </c>
      <c r="E18" s="167">
        <f>'[2]2. Overall com progres June 13'!E18</f>
        <v>47681</v>
      </c>
      <c r="F18" s="167">
        <f>'[5]2. Overall com progres June 13'!F18</f>
        <v>11579</v>
      </c>
      <c r="G18" s="78">
        <v>1127009</v>
      </c>
      <c r="H18" s="167">
        <f>'[9]2. Overall com progres Dec 12'!H18</f>
        <v>142125</v>
      </c>
      <c r="I18" s="162">
        <f>'3. Overallcomprogres March(ref)'!I18</f>
        <v>4830</v>
      </c>
      <c r="J18" s="167">
        <f>'[7]2. Overall com progres June 13'!J18</f>
        <v>226024</v>
      </c>
      <c r="K18" s="167">
        <f>'[3]2. Overall com progres June 13'!K18</f>
        <v>57095</v>
      </c>
      <c r="L18" s="137">
        <f>'[6]2. Overall com progres June 13'!L18</f>
        <v>90761</v>
      </c>
      <c r="M18" s="78">
        <f>SUM(C18:L18)</f>
        <v>1776812</v>
      </c>
      <c r="N18" s="68">
        <f>M18/1000000</f>
        <v>1.7768120000000001</v>
      </c>
      <c r="O18" s="68">
        <f>M18/M20%</f>
        <v>52.365478391723428</v>
      </c>
      <c r="R18" s="64" t="e">
        <f>G18-#REF!</f>
        <v>#REF!</v>
      </c>
      <c r="S18" s="64">
        <f>C18-'3. Overallcomprogres March(ref)'!C18</f>
        <v>0</v>
      </c>
      <c r="T18" s="64">
        <f>D18-'3. Overallcomprogres March(ref)'!D18</f>
        <v>0</v>
      </c>
      <c r="U18" s="64">
        <f>E18-'3. Overallcomprogres March(ref)'!E18</f>
        <v>997</v>
      </c>
      <c r="V18" s="64">
        <f>F18-'3. Overallcomprogres March(ref)'!F18</f>
        <v>423</v>
      </c>
      <c r="W18" s="64">
        <f>G18-'3. Overallcomprogres March(ref)'!G18</f>
        <v>32716</v>
      </c>
      <c r="X18" s="64">
        <f>H18-'3. Overallcomprogres March(ref)'!H18</f>
        <v>1765</v>
      </c>
      <c r="Y18" s="64">
        <f>I18-'3. Overallcomprogres March(ref)'!I18</f>
        <v>0</v>
      </c>
      <c r="Z18" s="64">
        <f>J18-'3. Overallcomprogres March(ref)'!J18</f>
        <v>10000</v>
      </c>
      <c r="AA18" s="64">
        <f>K18-'3. Overallcomprogres March(ref)'!K18</f>
        <v>-1816</v>
      </c>
      <c r="AB18" s="64">
        <f>L18-'3. Overallcomprogres March(ref)'!L18</f>
        <v>5064</v>
      </c>
      <c r="AC18" s="64">
        <f>M18-'3. Overallcomprogres March(ref)'!M18</f>
        <v>49149</v>
      </c>
    </row>
    <row r="19" spans="1:29" s="64" customFormat="1" x14ac:dyDescent="0.2">
      <c r="A19" s="198"/>
      <c r="B19" s="115" t="s">
        <v>20</v>
      </c>
      <c r="C19" s="167">
        <f>'3. Overallcomprogres March(ref)'!C19</f>
        <v>6385</v>
      </c>
      <c r="D19" s="167">
        <f>'[4]2. Overall com progres June 13'!D19</f>
        <v>27804</v>
      </c>
      <c r="E19" s="167">
        <f>'[2]2. Overall com progres June 13'!E19</f>
        <v>112479</v>
      </c>
      <c r="F19" s="167">
        <f>'[5]2. Overall com progres June 13'!F19</f>
        <v>3976</v>
      </c>
      <c r="G19" s="78">
        <v>945555</v>
      </c>
      <c r="H19" s="167">
        <f>'[9]2. Overall com progres Dec 12'!H19</f>
        <v>324580</v>
      </c>
      <c r="I19" s="162">
        <f>'3. Overallcomprogres March(ref)'!I19</f>
        <v>4825</v>
      </c>
      <c r="J19" s="167">
        <f>'[7]2. Overall com progres June 13'!J19</f>
        <v>13129</v>
      </c>
      <c r="K19" s="167">
        <f>'[3]2. Overall com progres June 13'!K19</f>
        <v>87178</v>
      </c>
      <c r="L19" s="137">
        <f>'[6]2. Overall com progres June 13'!L19</f>
        <v>90375</v>
      </c>
      <c r="M19" s="78">
        <f>SUM(C19:L19)</f>
        <v>1616286</v>
      </c>
      <c r="N19" s="86"/>
      <c r="O19" s="69"/>
      <c r="R19" s="64" t="e">
        <f>G19-#REF!</f>
        <v>#REF!</v>
      </c>
      <c r="S19" s="64">
        <f>C19-'3. Overallcomprogres March(ref)'!C19</f>
        <v>0</v>
      </c>
      <c r="T19" s="64">
        <f>D19-'3. Overallcomprogres March(ref)'!D19</f>
        <v>0</v>
      </c>
      <c r="U19" s="64">
        <f>E19-'3. Overallcomprogres March(ref)'!E19</f>
        <v>5338</v>
      </c>
      <c r="V19" s="64">
        <f>F19-'3. Overallcomprogres March(ref)'!F19</f>
        <v>203</v>
      </c>
      <c r="W19" s="64">
        <f>G19-'3. Overallcomprogres March(ref)'!G19</f>
        <v>21626</v>
      </c>
      <c r="X19" s="64">
        <f>H19-'3. Overallcomprogres March(ref)'!H19</f>
        <v>1807</v>
      </c>
      <c r="Y19" s="64">
        <f>I19-'3. Overallcomprogres March(ref)'!I19</f>
        <v>0</v>
      </c>
      <c r="Z19" s="64">
        <f>J19-'3. Overallcomprogres March(ref)'!J19</f>
        <v>3669</v>
      </c>
      <c r="AA19" s="64">
        <f>K19-'3. Overallcomprogres March(ref)'!K19</f>
        <v>1790</v>
      </c>
      <c r="AB19" s="64">
        <f>L19-'3. Overallcomprogres March(ref)'!L19</f>
        <v>2727</v>
      </c>
      <c r="AC19" s="64">
        <f>M19-'3. Overallcomprogres March(ref)'!M19</f>
        <v>37160</v>
      </c>
    </row>
    <row r="20" spans="1:29" s="64" customFormat="1" x14ac:dyDescent="0.2">
      <c r="A20" s="198"/>
      <c r="B20" s="116" t="s">
        <v>17</v>
      </c>
      <c r="C20" s="104">
        <f>SUM(C18:C19)</f>
        <v>17339</v>
      </c>
      <c r="D20" s="168">
        <f t="shared" ref="D20:L20" si="5">SUM(D18:D19)</f>
        <v>86558</v>
      </c>
      <c r="E20" s="168">
        <f t="shared" si="5"/>
        <v>160160</v>
      </c>
      <c r="F20" s="168">
        <f t="shared" si="5"/>
        <v>15555</v>
      </c>
      <c r="G20" s="168">
        <f t="shared" si="5"/>
        <v>2072564</v>
      </c>
      <c r="H20" s="168">
        <f t="shared" si="5"/>
        <v>466705</v>
      </c>
      <c r="I20" s="168">
        <f t="shared" si="5"/>
        <v>9655</v>
      </c>
      <c r="J20" s="168">
        <f t="shared" si="5"/>
        <v>239153</v>
      </c>
      <c r="K20" s="168">
        <f t="shared" si="5"/>
        <v>144273</v>
      </c>
      <c r="L20" s="168">
        <f t="shared" si="5"/>
        <v>181136</v>
      </c>
      <c r="M20" s="104">
        <f t="shared" ref="M20" si="6">SUM(M18:M19)</f>
        <v>3393098</v>
      </c>
      <c r="N20" s="68">
        <f>M20/1000000</f>
        <v>3.3930980000000002</v>
      </c>
      <c r="O20" s="69"/>
      <c r="R20" s="64" t="e">
        <f>G20-#REF!</f>
        <v>#REF!</v>
      </c>
      <c r="S20" s="64">
        <f>C20-'3. Overallcomprogres March(ref)'!C20</f>
        <v>0</v>
      </c>
      <c r="T20" s="64">
        <f>D20-'3. Overallcomprogres March(ref)'!D20</f>
        <v>0</v>
      </c>
      <c r="U20" s="64">
        <f>E20-'3. Overallcomprogres March(ref)'!E20</f>
        <v>6335</v>
      </c>
      <c r="V20" s="64">
        <f>F20-'3. Overallcomprogres March(ref)'!F20</f>
        <v>626</v>
      </c>
      <c r="W20" s="64">
        <f>G20-'3. Overallcomprogres March(ref)'!G20</f>
        <v>54342</v>
      </c>
      <c r="X20" s="64">
        <f>H20-'3. Overallcomprogres March(ref)'!H20</f>
        <v>3572</v>
      </c>
      <c r="Y20" s="64">
        <f>I20-'3. Overallcomprogres March(ref)'!I20</f>
        <v>0</v>
      </c>
      <c r="Z20" s="64">
        <f>J20-'3. Overallcomprogres March(ref)'!J20</f>
        <v>13669</v>
      </c>
      <c r="AA20" s="64">
        <f>K20-'3. Overallcomprogres March(ref)'!K20</f>
        <v>-26</v>
      </c>
      <c r="AB20" s="64">
        <f>L20-'3. Overallcomprogres March(ref)'!L20</f>
        <v>7791</v>
      </c>
      <c r="AC20" s="64">
        <f>M20-'3. Overallcomprogres March(ref)'!M20</f>
        <v>86309</v>
      </c>
    </row>
    <row r="21" spans="1:29" s="64" customFormat="1" x14ac:dyDescent="0.2">
      <c r="A21" s="194" t="s">
        <v>223</v>
      </c>
      <c r="B21" s="115" t="s">
        <v>220</v>
      </c>
      <c r="C21" s="167">
        <f>'3. Overallcomprogres March(ref)'!C21</f>
        <v>6</v>
      </c>
      <c r="D21" s="167">
        <f>'[4]2. Overall com progres June 13'!D21</f>
        <v>12</v>
      </c>
      <c r="E21" s="167">
        <f>'[2]2. Overall com progres June 13'!E21</f>
        <v>2</v>
      </c>
      <c r="F21" s="167">
        <f>'[5]2. Overall com progres June 13'!F21</f>
        <v>2</v>
      </c>
      <c r="G21" s="167">
        <v>173</v>
      </c>
      <c r="H21" s="167">
        <f>'[9]2. Overall com progres Dec 12'!H21</f>
        <v>2</v>
      </c>
      <c r="I21" s="162">
        <f>'3. Overallcomprogres March(ref)'!I21</f>
        <v>0</v>
      </c>
      <c r="J21" s="167">
        <f>'[7]2. Overall com progres June 13'!J21</f>
        <v>17</v>
      </c>
      <c r="K21" s="167">
        <f>'[3]2. Overall com progres June 13'!K21</f>
        <v>0</v>
      </c>
      <c r="L21" s="137">
        <f>'[6]2. Overall com progres June 13'!L21</f>
        <v>8</v>
      </c>
      <c r="M21" s="78">
        <f t="shared" ref="M21:M26" si="7">SUM(C21:L21)</f>
        <v>222</v>
      </c>
      <c r="N21" s="86"/>
      <c r="O21" s="69"/>
      <c r="R21" s="64" t="e">
        <f>G21-#REF!</f>
        <v>#REF!</v>
      </c>
      <c r="S21" s="64">
        <f>C21-'3. Overallcomprogres March(ref)'!C21</f>
        <v>0</v>
      </c>
      <c r="T21" s="64">
        <f>D21-'3. Overallcomprogres March(ref)'!D21</f>
        <v>0</v>
      </c>
      <c r="U21" s="64">
        <f>E21-'3. Overallcomprogres March(ref)'!E21</f>
        <v>0</v>
      </c>
      <c r="V21" s="64">
        <f>F21-'3. Overallcomprogres March(ref)'!F21</f>
        <v>0</v>
      </c>
      <c r="W21" s="64">
        <f>G21-'3. Overallcomprogres March(ref)'!G21</f>
        <v>-4</v>
      </c>
      <c r="X21" s="64">
        <f>H21-'3. Overallcomprogres March(ref)'!H21</f>
        <v>0</v>
      </c>
      <c r="Y21" s="64">
        <f>I21-'3. Overallcomprogres March(ref)'!I21</f>
        <v>0</v>
      </c>
      <c r="Z21" s="64">
        <f>J21-'3. Overallcomprogres March(ref)'!J21</f>
        <v>0</v>
      </c>
      <c r="AA21" s="64">
        <f>K21-'3. Overallcomprogres March(ref)'!K21</f>
        <v>0</v>
      </c>
      <c r="AB21" s="64">
        <f>L21-'3. Overallcomprogres March(ref)'!L21</f>
        <v>0</v>
      </c>
      <c r="AC21" s="64">
        <f>M21-'3. Overallcomprogres March(ref)'!M21</f>
        <v>-4</v>
      </c>
    </row>
    <row r="22" spans="1:29" s="64" customFormat="1" x14ac:dyDescent="0.2">
      <c r="A22" s="195"/>
      <c r="B22" s="115" t="s">
        <v>221</v>
      </c>
      <c r="C22" s="167">
        <f>'3. Overallcomprogres March(ref)'!C22</f>
        <v>0</v>
      </c>
      <c r="D22" s="167">
        <f>'[4]2. Overall com progres June 13'!D22</f>
        <v>0</v>
      </c>
      <c r="E22" s="167">
        <f>'[2]2. Overall com progres June 13'!E22</f>
        <v>0</v>
      </c>
      <c r="F22" s="167">
        <f>'[5]2. Overall com progres June 13'!F22</f>
        <v>5</v>
      </c>
      <c r="G22" s="167">
        <v>65</v>
      </c>
      <c r="H22" s="167">
        <f>'[9]2. Overall com progres Dec 12'!H22</f>
        <v>38</v>
      </c>
      <c r="I22" s="162">
        <f>'3. Overallcomprogres March(ref)'!I22</f>
        <v>0</v>
      </c>
      <c r="J22" s="167">
        <f>'[7]2. Overall com progres June 13'!J22</f>
        <v>3528</v>
      </c>
      <c r="K22" s="167">
        <f>'[3]2. Overall com progres June 13'!K22</f>
        <v>291</v>
      </c>
      <c r="L22" s="137">
        <f>'[6]2. Overall com progres June 13'!L22</f>
        <v>1307</v>
      </c>
      <c r="M22" s="78">
        <f t="shared" si="7"/>
        <v>5234</v>
      </c>
      <c r="N22" s="86"/>
      <c r="O22" s="69"/>
      <c r="R22" s="64" t="e">
        <f>G22-#REF!</f>
        <v>#REF!</v>
      </c>
      <c r="S22" s="64">
        <f>C22-'3. Overallcomprogres March(ref)'!C22</f>
        <v>0</v>
      </c>
      <c r="T22" s="64">
        <f>D22-'3. Overallcomprogres March(ref)'!D22</f>
        <v>0</v>
      </c>
      <c r="U22" s="64">
        <f>E22-'3. Overallcomprogres March(ref)'!E22</f>
        <v>0</v>
      </c>
      <c r="V22" s="64">
        <f>F22-'3. Overallcomprogres March(ref)'!F22</f>
        <v>1</v>
      </c>
      <c r="W22" s="64">
        <f>G22-'3. Overallcomprogres March(ref)'!G22</f>
        <v>0</v>
      </c>
      <c r="X22" s="64">
        <f>H22-'3. Overallcomprogres March(ref)'!H22</f>
        <v>5</v>
      </c>
      <c r="Y22" s="64">
        <f>I22-'3. Overallcomprogres March(ref)'!I22</f>
        <v>0</v>
      </c>
      <c r="Z22" s="64">
        <f>J22-'3. Overallcomprogres March(ref)'!J22</f>
        <v>0</v>
      </c>
      <c r="AA22" s="64">
        <f>K22-'3. Overallcomprogres March(ref)'!K22</f>
        <v>0</v>
      </c>
      <c r="AB22" s="64">
        <f>L22-'3. Overallcomprogres March(ref)'!L22</f>
        <v>0</v>
      </c>
      <c r="AC22" s="64">
        <f>M22-'3. Overallcomprogres March(ref)'!M22</f>
        <v>6</v>
      </c>
    </row>
    <row r="23" spans="1:29" s="64" customFormat="1" x14ac:dyDescent="0.2">
      <c r="A23" s="195"/>
      <c r="B23" s="115" t="s">
        <v>222</v>
      </c>
      <c r="C23" s="167">
        <f>'3. Overallcomprogres March(ref)'!C23</f>
        <v>1094</v>
      </c>
      <c r="D23" s="167">
        <f>'[4]2. Overall com progres June 13'!D23</f>
        <v>2055</v>
      </c>
      <c r="E23" s="167">
        <f>'[2]2. Overall com progres June 13'!E23</f>
        <v>20</v>
      </c>
      <c r="F23" s="167">
        <f>'[5]2. Overall com progres June 13'!F23</f>
        <v>36</v>
      </c>
      <c r="G23" s="167">
        <v>21897</v>
      </c>
      <c r="H23" s="167">
        <f>'[9]2. Overall com progres Dec 12'!H23</f>
        <v>2834</v>
      </c>
      <c r="I23" s="162">
        <f>'3. Overallcomprogres March(ref)'!I23</f>
        <v>0</v>
      </c>
      <c r="J23" s="167">
        <f>'[7]2. Overall com progres June 13'!J23</f>
        <v>94183</v>
      </c>
      <c r="K23" s="167">
        <f>'[3]2. Overall com progres June 13'!K23</f>
        <v>25558</v>
      </c>
      <c r="L23" s="137">
        <f>'[6]2. Overall com progres June 13'!L23</f>
        <v>17101</v>
      </c>
      <c r="M23" s="78">
        <f t="shared" si="7"/>
        <v>164778</v>
      </c>
      <c r="N23" s="86"/>
      <c r="O23" s="69"/>
      <c r="R23" s="64" t="e">
        <f>G23-#REF!</f>
        <v>#REF!</v>
      </c>
      <c r="S23" s="64">
        <f>C23-'3. Overallcomprogres March(ref)'!C23</f>
        <v>0</v>
      </c>
      <c r="T23" s="64">
        <f>D23-'3. Overallcomprogres March(ref)'!D23</f>
        <v>0</v>
      </c>
      <c r="U23" s="64">
        <f>E23-'3. Overallcomprogres March(ref)'!E23</f>
        <v>0</v>
      </c>
      <c r="V23" s="64">
        <f>F23-'3. Overallcomprogres March(ref)'!F23</f>
        <v>0</v>
      </c>
      <c r="W23" s="64">
        <f>G23-'3. Overallcomprogres March(ref)'!G23</f>
        <v>4941</v>
      </c>
      <c r="X23" s="64">
        <f>H23-'3. Overallcomprogres March(ref)'!H23</f>
        <v>419</v>
      </c>
      <c r="Y23" s="64">
        <f>I23-'3. Overallcomprogres March(ref)'!I23</f>
        <v>0</v>
      </c>
      <c r="Z23" s="64">
        <f>J23-'3. Overallcomprogres March(ref)'!J23</f>
        <v>0</v>
      </c>
      <c r="AA23" s="64">
        <f>K23-'3. Overallcomprogres March(ref)'!K23</f>
        <v>1367</v>
      </c>
      <c r="AB23" s="64">
        <f>L23-'3. Overallcomprogres March(ref)'!L23</f>
        <v>0</v>
      </c>
      <c r="AC23" s="64">
        <f>M23-'3. Overallcomprogres March(ref)'!M23</f>
        <v>6727</v>
      </c>
    </row>
    <row r="24" spans="1:29" s="64" customFormat="1" ht="25.5" x14ac:dyDescent="0.2">
      <c r="A24" s="196"/>
      <c r="B24" s="115" t="s">
        <v>224</v>
      </c>
      <c r="C24" s="167">
        <f>'3. Overallcomprogres March(ref)'!C24</f>
        <v>16</v>
      </c>
      <c r="D24" s="167">
        <f>'[4]2. Overall com progres June 13'!D24</f>
        <v>16.106083000000002</v>
      </c>
      <c r="E24" s="167">
        <f>'[2]2. Overall com progres June 13'!E24</f>
        <v>1</v>
      </c>
      <c r="F24" s="167">
        <f>'[5]2. Overall com progres June 13'!F24</f>
        <v>1.1200000000000001</v>
      </c>
      <c r="G24" s="167">
        <v>269</v>
      </c>
      <c r="H24" s="167">
        <f>'[9]2. Overall com progres Dec 12'!H24</f>
        <v>30.527999999999999</v>
      </c>
      <c r="I24" s="162">
        <f>'3. Overallcomprogres March(ref)'!I24</f>
        <v>0</v>
      </c>
      <c r="J24" s="167">
        <f>'[7]2. Overall com progres June 13'!J24</f>
        <v>938</v>
      </c>
      <c r="K24" s="167">
        <f>'[3]2. Overall com progres June 13'!K24</f>
        <v>293.51</v>
      </c>
      <c r="L24" s="137">
        <f>'[6]2. Overall com progres June 13'!L24</f>
        <v>228.29499999999999</v>
      </c>
      <c r="M24" s="113">
        <f t="shared" si="7"/>
        <v>1793.5590830000001</v>
      </c>
      <c r="N24" s="87">
        <f>M24/90</f>
        <v>19.928434255555558</v>
      </c>
      <c r="O24" s="121">
        <f>M24/85</f>
        <v>21.100695094117647</v>
      </c>
      <c r="R24" s="64" t="e">
        <f>G24-#REF!</f>
        <v>#REF!</v>
      </c>
      <c r="S24" s="64">
        <f>C24-'3. Overallcomprogres March(ref)'!C24</f>
        <v>0</v>
      </c>
      <c r="T24" s="64">
        <f>D24-'3. Overallcomprogres March(ref)'!D24</f>
        <v>0</v>
      </c>
      <c r="U24" s="64">
        <f>E24-'3. Overallcomprogres March(ref)'!E24</f>
        <v>0</v>
      </c>
      <c r="V24" s="64">
        <f>F24-'3. Overallcomprogres March(ref)'!F24</f>
        <v>0</v>
      </c>
      <c r="W24" s="64">
        <f>G24-'3. Overallcomprogres March(ref)'!G24</f>
        <v>64.039999999999992</v>
      </c>
      <c r="X24" s="64">
        <f>H24-'3. Overallcomprogres March(ref)'!H24</f>
        <v>3.727999999999998</v>
      </c>
      <c r="Y24" s="64">
        <f>I24-'3. Overallcomprogres March(ref)'!I24</f>
        <v>0</v>
      </c>
      <c r="Z24" s="64">
        <f>J24-'3. Overallcomprogres March(ref)'!J24</f>
        <v>0</v>
      </c>
      <c r="AA24" s="64">
        <f>K24-'3. Overallcomprogres March(ref)'!K24</f>
        <v>14.649999999999977</v>
      </c>
      <c r="AB24" s="64">
        <f>L24-'3. Overallcomprogres March(ref)'!L24</f>
        <v>0.62699999999998113</v>
      </c>
      <c r="AC24" s="64">
        <f>M24-'3. Overallcomprogres March(ref)'!M24</f>
        <v>83.045000000000073</v>
      </c>
    </row>
    <row r="25" spans="1:29" s="68" customFormat="1" x14ac:dyDescent="0.2">
      <c r="A25" s="197" t="s">
        <v>22</v>
      </c>
      <c r="B25" s="118" t="s">
        <v>19</v>
      </c>
      <c r="C25" s="167">
        <f>'3. Overallcomprogres March(ref)'!C25</f>
        <v>79.263000000000005</v>
      </c>
      <c r="D25" s="167">
        <f>'[4]2. Overall com progres June 13'!D25</f>
        <v>195</v>
      </c>
      <c r="E25" s="167">
        <f>'[2]2. Overall com progres June 13'!E25</f>
        <v>9</v>
      </c>
      <c r="F25" s="167">
        <f>'[5]2. Overall com progres June 13'!F25</f>
        <v>320</v>
      </c>
      <c r="G25" s="78">
        <v>29068.154210000001</v>
      </c>
      <c r="H25" s="167">
        <f>'[9]2. Overall com progres Dec 12'!H25</f>
        <v>4062.9659999999999</v>
      </c>
      <c r="I25" s="162">
        <f>'3. Overallcomprogres March(ref)'!I25</f>
        <v>0</v>
      </c>
      <c r="J25" s="167">
        <f>'[7]2. Overall com progres June 13'!J25</f>
        <v>3606</v>
      </c>
      <c r="K25" s="167">
        <f>'[3]2. Overall com progres June 13'!K25</f>
        <v>345.71</v>
      </c>
      <c r="L25" s="137">
        <f>'[6]2. Overall com progres June 13'!L25</f>
        <v>2678.6390000000001</v>
      </c>
      <c r="M25" s="78">
        <f t="shared" si="7"/>
        <v>40364.732210000002</v>
      </c>
      <c r="N25" s="120">
        <f>M25/1000</f>
        <v>40.36473221</v>
      </c>
      <c r="O25" s="121">
        <f>M25/85</f>
        <v>474.87920247058827</v>
      </c>
      <c r="R25" s="64" t="e">
        <f>G25-#REF!</f>
        <v>#REF!</v>
      </c>
      <c r="S25" s="64">
        <f>C25-'3. Overallcomprogres March(ref)'!C25</f>
        <v>0</v>
      </c>
      <c r="T25" s="64">
        <f>D25-'3. Overallcomprogres March(ref)'!D25</f>
        <v>0</v>
      </c>
      <c r="U25" s="64">
        <f>E25-'3. Overallcomprogres March(ref)'!E25</f>
        <v>0</v>
      </c>
      <c r="V25" s="64">
        <f>F25-'3. Overallcomprogres March(ref)'!F25</f>
        <v>23</v>
      </c>
      <c r="W25" s="64">
        <f>G25-'3. Overallcomprogres March(ref)'!G25</f>
        <v>1828.2593000000015</v>
      </c>
      <c r="X25" s="64">
        <f>H25-'3. Overallcomprogres March(ref)'!H25</f>
        <v>204.76600000000008</v>
      </c>
      <c r="Y25" s="64">
        <f>I25-'3. Overallcomprogres March(ref)'!I25</f>
        <v>0</v>
      </c>
      <c r="Z25" s="64">
        <f>J25-'3. Overallcomprogres March(ref)'!J25</f>
        <v>822</v>
      </c>
      <c r="AA25" s="64">
        <f>K25-'3. Overallcomprogres March(ref)'!K25</f>
        <v>16.680000000000007</v>
      </c>
      <c r="AB25" s="64">
        <f>L25-'3. Overallcomprogres March(ref)'!L25</f>
        <v>213.68100000000004</v>
      </c>
      <c r="AC25" s="64">
        <f>M25-'3. Overallcomprogres March(ref)'!M25</f>
        <v>3108.3863000000056</v>
      </c>
    </row>
    <row r="26" spans="1:29" s="68" customFormat="1" x14ac:dyDescent="0.2">
      <c r="A26" s="197"/>
      <c r="B26" s="111" t="s">
        <v>20</v>
      </c>
      <c r="C26" s="167">
        <f>'3. Overallcomprogres March(ref)'!C26</f>
        <v>58.572000000000003</v>
      </c>
      <c r="D26" s="167">
        <f>'[4]2. Overall com progres June 13'!D26</f>
        <v>833</v>
      </c>
      <c r="E26" s="167">
        <f>'[2]2. Overall com progres June 13'!E26</f>
        <v>16</v>
      </c>
      <c r="F26" s="167">
        <f>'[5]2. Overall com progres June 13'!F26</f>
        <v>79</v>
      </c>
      <c r="G26" s="78">
        <v>42803.966701999998</v>
      </c>
      <c r="H26" s="167">
        <f>'[9]2. Overall com progres Dec 12'!H26</f>
        <v>5818.9299999999994</v>
      </c>
      <c r="I26" s="162">
        <f>'3. Overallcomprogres March(ref)'!I26</f>
        <v>0</v>
      </c>
      <c r="J26" s="167">
        <f>'[7]2. Overall com progres June 13'!J26</f>
        <v>634</v>
      </c>
      <c r="K26" s="167">
        <f>'[3]2. Overall com progres June 13'!K26</f>
        <v>302.59399999999999</v>
      </c>
      <c r="L26" s="137">
        <f>'[6]2. Overall com progres June 13'!L26</f>
        <v>2698.7919999999999</v>
      </c>
      <c r="M26" s="78">
        <f t="shared" si="7"/>
        <v>53244.854701999997</v>
      </c>
      <c r="N26" s="86"/>
      <c r="O26" s="121"/>
      <c r="R26" s="64" t="e">
        <f>G26-#REF!</f>
        <v>#REF!</v>
      </c>
      <c r="S26" s="64">
        <f>C26-'3. Overallcomprogres March(ref)'!C26</f>
        <v>0</v>
      </c>
      <c r="T26" s="64">
        <f>D26-'3. Overallcomprogres March(ref)'!D26</f>
        <v>0</v>
      </c>
      <c r="U26" s="64">
        <f>E26-'3. Overallcomprogres March(ref)'!E26</f>
        <v>0</v>
      </c>
      <c r="V26" s="64">
        <f>F26-'3. Overallcomprogres March(ref)'!F26</f>
        <v>0.90000000000000568</v>
      </c>
      <c r="W26" s="64">
        <f>G26-'3. Overallcomprogres March(ref)'!G26</f>
        <v>1333.6616999999969</v>
      </c>
      <c r="X26" s="64">
        <f>H26-'3. Overallcomprogres March(ref)'!H26</f>
        <v>233.71000000000004</v>
      </c>
      <c r="Y26" s="64">
        <f>I26-'3. Overallcomprogres March(ref)'!I26</f>
        <v>0</v>
      </c>
      <c r="Z26" s="64">
        <f>J26-'3. Overallcomprogres March(ref)'!J26</f>
        <v>18</v>
      </c>
      <c r="AA26" s="64">
        <f>K26-'3. Overallcomprogres March(ref)'!K26</f>
        <v>0.95400000000000773</v>
      </c>
      <c r="AB26" s="64">
        <f>L26-'3. Overallcomprogres March(ref)'!L26</f>
        <v>241.10999999999967</v>
      </c>
      <c r="AC26" s="64">
        <f>M26-'3. Overallcomprogres March(ref)'!M26</f>
        <v>1828.335699999996</v>
      </c>
    </row>
    <row r="27" spans="1:29" s="68" customFormat="1" x14ac:dyDescent="0.2">
      <c r="A27" s="197"/>
      <c r="B27" s="119" t="s">
        <v>17</v>
      </c>
      <c r="C27" s="104">
        <f>SUM(C25:C26)</f>
        <v>137.83500000000001</v>
      </c>
      <c r="D27" s="168">
        <f t="shared" ref="D27:L27" si="8">SUM(D25:D26)</f>
        <v>1028</v>
      </c>
      <c r="E27" s="168">
        <f t="shared" si="8"/>
        <v>25</v>
      </c>
      <c r="F27" s="168">
        <f t="shared" si="8"/>
        <v>399</v>
      </c>
      <c r="G27" s="168">
        <f t="shared" si="8"/>
        <v>71872.120911999998</v>
      </c>
      <c r="H27" s="168">
        <f t="shared" si="8"/>
        <v>9881.8959999999988</v>
      </c>
      <c r="I27" s="168">
        <f t="shared" si="8"/>
        <v>0</v>
      </c>
      <c r="J27" s="168">
        <f t="shared" si="8"/>
        <v>4240</v>
      </c>
      <c r="K27" s="168">
        <f t="shared" si="8"/>
        <v>648.30399999999997</v>
      </c>
      <c r="L27" s="168">
        <f t="shared" si="8"/>
        <v>5377.4310000000005</v>
      </c>
      <c r="M27" s="104">
        <f t="shared" ref="M27" si="9">SUM(M25:M26)</f>
        <v>93609.586911999999</v>
      </c>
      <c r="N27" s="120">
        <f>M27/1000</f>
        <v>93.609586911999997</v>
      </c>
      <c r="O27" s="121">
        <f>M27/85</f>
        <v>1101.2892577882353</v>
      </c>
      <c r="R27" s="64" t="e">
        <f>G27-#REF!</f>
        <v>#REF!</v>
      </c>
      <c r="S27" s="64">
        <f>C27-'3. Overallcomprogres March(ref)'!C27</f>
        <v>0</v>
      </c>
      <c r="T27" s="64">
        <f>D27-'3. Overallcomprogres March(ref)'!D27</f>
        <v>0</v>
      </c>
      <c r="U27" s="64">
        <f>E27-'3. Overallcomprogres March(ref)'!E27</f>
        <v>0</v>
      </c>
      <c r="V27" s="64">
        <f>F27-'3. Overallcomprogres March(ref)'!F27</f>
        <v>23.899999999999977</v>
      </c>
      <c r="W27" s="64">
        <f>G27-'3. Overallcomprogres March(ref)'!G27</f>
        <v>3161.9210000000021</v>
      </c>
      <c r="X27" s="64">
        <f>H27-'3. Overallcomprogres March(ref)'!H27</f>
        <v>438.47600000000057</v>
      </c>
      <c r="Y27" s="64">
        <f>I27-'3. Overallcomprogres March(ref)'!I27</f>
        <v>0</v>
      </c>
      <c r="Z27" s="64">
        <f>J27-'3. Overallcomprogres March(ref)'!J27</f>
        <v>840</v>
      </c>
      <c r="AA27" s="64">
        <f>K27-'3. Overallcomprogres March(ref)'!K27</f>
        <v>17.634000000000015</v>
      </c>
      <c r="AB27" s="64">
        <f>L27-'3. Overallcomprogres March(ref)'!L27</f>
        <v>454.79100000000017</v>
      </c>
      <c r="AC27" s="64">
        <f>M27-'3. Overallcomprogres March(ref)'!M27</f>
        <v>4936.7220000000088</v>
      </c>
    </row>
    <row r="28" spans="1:29" s="64" customFormat="1" x14ac:dyDescent="0.2">
      <c r="A28" s="198" t="s">
        <v>23</v>
      </c>
      <c r="B28" s="114" t="s">
        <v>19</v>
      </c>
      <c r="C28" s="167">
        <f>'3. Overallcomprogres March(ref)'!C28</f>
        <v>4764</v>
      </c>
      <c r="D28" s="167">
        <f>'[4]2. Overall com progres June 13'!D28</f>
        <v>74813</v>
      </c>
      <c r="E28" s="167">
        <f>'[2]2. Overall com progres June 13'!E28</f>
        <v>1156</v>
      </c>
      <c r="F28" s="167">
        <f>'[5]2. Overall com progres June 13'!F28</f>
        <v>21383</v>
      </c>
      <c r="G28" s="78">
        <v>1962998</v>
      </c>
      <c r="H28" s="167">
        <f>'[9]2. Overall com progres Dec 12'!H28</f>
        <v>296622</v>
      </c>
      <c r="I28" s="162">
        <f>'3. Overallcomprogres March(ref)'!I28</f>
        <v>0</v>
      </c>
      <c r="J28" s="167">
        <f>'[7]2. Overall com progres June 13'!J28</f>
        <v>226391</v>
      </c>
      <c r="K28" s="167">
        <f>'[3]2. Overall com progres June 13'!K28</f>
        <v>30934</v>
      </c>
      <c r="L28" s="137">
        <f>'[6]2. Overall com progres June 13'!L28</f>
        <v>205280</v>
      </c>
      <c r="M28" s="78">
        <f>SUM(C28:L28)</f>
        <v>2824341</v>
      </c>
      <c r="N28" s="120">
        <f>M28/1000000</f>
        <v>2.824341</v>
      </c>
      <c r="O28" s="69"/>
      <c r="R28" s="64" t="e">
        <f>G28-#REF!</f>
        <v>#REF!</v>
      </c>
      <c r="S28" s="64">
        <f>C28-'3. Overallcomprogres March(ref)'!C28</f>
        <v>0</v>
      </c>
      <c r="T28" s="64">
        <f>D28-'3. Overallcomprogres March(ref)'!D28</f>
        <v>-0.44000000000232831</v>
      </c>
      <c r="U28" s="64">
        <f>E28-'3. Overallcomprogres March(ref)'!E28</f>
        <v>0</v>
      </c>
      <c r="V28" s="64">
        <f>F28-'3. Overallcomprogres March(ref)'!F28</f>
        <v>1427</v>
      </c>
      <c r="W28" s="64">
        <f>G28-'3. Overallcomprogres March(ref)'!G28</f>
        <v>88933</v>
      </c>
      <c r="X28" s="64">
        <f>H28-'3. Overallcomprogres March(ref)'!H28</f>
        <v>11752</v>
      </c>
      <c r="Y28" s="64">
        <f>I28-'3. Overallcomprogres March(ref)'!I28</f>
        <v>0</v>
      </c>
      <c r="Z28" s="64">
        <f>J28-'3. Overallcomprogres March(ref)'!J28</f>
        <v>48192</v>
      </c>
      <c r="AA28" s="64">
        <f>K28-'3. Overallcomprogres March(ref)'!K28</f>
        <v>1094</v>
      </c>
      <c r="AB28" s="64">
        <f>L28-'3. Overallcomprogres March(ref)'!L28</f>
        <v>13802</v>
      </c>
      <c r="AC28" s="64">
        <f>M28-'3. Overallcomprogres March(ref)'!M28</f>
        <v>165199.56000000006</v>
      </c>
    </row>
    <row r="29" spans="1:29" s="64" customFormat="1" x14ac:dyDescent="0.2">
      <c r="A29" s="198"/>
      <c r="B29" s="115" t="s">
        <v>20</v>
      </c>
      <c r="C29" s="167">
        <f>'3. Overallcomprogres March(ref)'!C29</f>
        <v>3217</v>
      </c>
      <c r="D29" s="167">
        <f>'[4]2. Overall com progres June 13'!D29</f>
        <v>546311</v>
      </c>
      <c r="E29" s="167">
        <f>'[2]2. Overall com progres June 13'!E29</f>
        <v>1600</v>
      </c>
      <c r="F29" s="167">
        <f>'[5]2. Overall com progres June 13'!F29</f>
        <v>5603</v>
      </c>
      <c r="G29" s="78">
        <v>2508960</v>
      </c>
      <c r="H29" s="167">
        <f>'[9]2. Overall com progres Dec 12'!H29</f>
        <v>419081</v>
      </c>
      <c r="I29" s="162">
        <f>'3. Overallcomprogres March(ref)'!I29</f>
        <v>0</v>
      </c>
      <c r="J29" s="167">
        <f>'[7]2. Overall com progres June 13'!J29</f>
        <v>43786</v>
      </c>
      <c r="K29" s="167">
        <f>'[3]2. Overall com progres June 13'!K29</f>
        <v>28628</v>
      </c>
      <c r="L29" s="137">
        <f>'[6]2. Overall com progres June 13'!L29</f>
        <v>162444</v>
      </c>
      <c r="M29" s="78">
        <f>SUM(C29:L29)</f>
        <v>3719630</v>
      </c>
      <c r="N29" s="120"/>
      <c r="O29" s="69"/>
      <c r="R29" s="64" t="e">
        <f>G29-#REF!</f>
        <v>#REF!</v>
      </c>
      <c r="S29" s="64">
        <f>C29-'3. Overallcomprogres March(ref)'!C29</f>
        <v>0</v>
      </c>
      <c r="T29" s="64">
        <f>D29-'3. Overallcomprogres March(ref)'!D29</f>
        <v>0.43999999994412065</v>
      </c>
      <c r="U29" s="64">
        <f>E29-'3. Overallcomprogres March(ref)'!E29</f>
        <v>0</v>
      </c>
      <c r="V29" s="64">
        <f>F29-'3. Overallcomprogres March(ref)'!F29</f>
        <v>72</v>
      </c>
      <c r="W29" s="64">
        <f>G29-'3. Overallcomprogres March(ref)'!G29</f>
        <v>51307</v>
      </c>
      <c r="X29" s="64">
        <f>H29-'3. Overallcomprogres March(ref)'!H29</f>
        <v>13342</v>
      </c>
      <c r="Y29" s="64">
        <f>I29-'3. Overallcomprogres March(ref)'!I29</f>
        <v>0</v>
      </c>
      <c r="Z29" s="64">
        <f>J29-'3. Overallcomprogres March(ref)'!J29</f>
        <v>804</v>
      </c>
      <c r="AA29" s="64">
        <f>K29-'3. Overallcomprogres March(ref)'!K29</f>
        <v>120</v>
      </c>
      <c r="AB29" s="64">
        <f>L29-'3. Overallcomprogres March(ref)'!L29</f>
        <v>13825</v>
      </c>
      <c r="AC29" s="64">
        <f>M29-'3. Overallcomprogres March(ref)'!M29</f>
        <v>79470.439999999944</v>
      </c>
    </row>
    <row r="30" spans="1:29" s="64" customFormat="1" x14ac:dyDescent="0.2">
      <c r="A30" s="198"/>
      <c r="B30" s="116" t="s">
        <v>17</v>
      </c>
      <c r="C30" s="104">
        <f>SUM(C28:C29)</f>
        <v>7981</v>
      </c>
      <c r="D30" s="168">
        <f t="shared" ref="D30:L30" si="10">SUM(D28:D29)</f>
        <v>621124</v>
      </c>
      <c r="E30" s="168">
        <f t="shared" si="10"/>
        <v>2756</v>
      </c>
      <c r="F30" s="168">
        <f t="shared" si="10"/>
        <v>26986</v>
      </c>
      <c r="G30" s="168">
        <f t="shared" si="10"/>
        <v>4471958</v>
      </c>
      <c r="H30" s="168">
        <f t="shared" si="10"/>
        <v>715703</v>
      </c>
      <c r="I30" s="168">
        <f t="shared" si="10"/>
        <v>0</v>
      </c>
      <c r="J30" s="168">
        <f t="shared" si="10"/>
        <v>270177</v>
      </c>
      <c r="K30" s="168">
        <f t="shared" si="10"/>
        <v>59562</v>
      </c>
      <c r="L30" s="168">
        <f t="shared" si="10"/>
        <v>367724</v>
      </c>
      <c r="M30" s="104">
        <f t="shared" ref="M30" si="11">SUM(M28:M29)</f>
        <v>6543971</v>
      </c>
      <c r="N30" s="120">
        <f>M30/1000000</f>
        <v>6.543971</v>
      </c>
      <c r="O30" s="69"/>
      <c r="R30" s="64" t="e">
        <f>G30-#REF!</f>
        <v>#REF!</v>
      </c>
      <c r="S30" s="64">
        <f>C30-'3. Overallcomprogres March(ref)'!C30</f>
        <v>0</v>
      </c>
      <c r="T30" s="64">
        <f>D30-'3. Overallcomprogres March(ref)'!D30</f>
        <v>0</v>
      </c>
      <c r="U30" s="64">
        <f>E30-'3. Overallcomprogres March(ref)'!E30</f>
        <v>0</v>
      </c>
      <c r="V30" s="64">
        <f>F30-'3. Overallcomprogres March(ref)'!F30</f>
        <v>1499</v>
      </c>
      <c r="W30" s="64">
        <f>G30-'3. Overallcomprogres March(ref)'!G30</f>
        <v>140240</v>
      </c>
      <c r="X30" s="64">
        <f>H30-'3. Overallcomprogres March(ref)'!H30</f>
        <v>25094</v>
      </c>
      <c r="Y30" s="64">
        <f>I30-'3. Overallcomprogres March(ref)'!I30</f>
        <v>0</v>
      </c>
      <c r="Z30" s="64">
        <f>J30-'3. Overallcomprogres March(ref)'!J30</f>
        <v>48996</v>
      </c>
      <c r="AA30" s="64">
        <f>K30-'3. Overallcomprogres March(ref)'!K30</f>
        <v>1214</v>
      </c>
      <c r="AB30" s="64">
        <f>L30-'3. Overallcomprogres March(ref)'!L30</f>
        <v>27627</v>
      </c>
      <c r="AC30" s="64">
        <f>M30-'3. Overallcomprogres March(ref)'!M30</f>
        <v>244670</v>
      </c>
    </row>
    <row r="31" spans="1:29" s="69" customFormat="1" x14ac:dyDescent="0.2">
      <c r="A31" s="197" t="s">
        <v>225</v>
      </c>
      <c r="B31" s="114" t="s">
        <v>19</v>
      </c>
      <c r="C31" s="167">
        <f>'3. Overallcomprogres March(ref)'!C31</f>
        <v>0</v>
      </c>
      <c r="D31" s="167">
        <f>'[4]2. Overall com progres June 13'!D31</f>
        <v>74813</v>
      </c>
      <c r="E31" s="167">
        <f>'[2]2. Overall com progres June 13'!E31</f>
        <v>0</v>
      </c>
      <c r="F31" s="167">
        <f>'[5]2. Overall com progres June 13'!F31</f>
        <v>18099</v>
      </c>
      <c r="G31" s="78">
        <v>715188</v>
      </c>
      <c r="H31" s="167">
        <f>'[9]2. Overall com progres Dec 12'!H31</f>
        <v>0</v>
      </c>
      <c r="I31" s="162">
        <f>'3. Overallcomprogres March(ref)'!I31</f>
        <v>0</v>
      </c>
      <c r="J31" s="167">
        <f>'[7]2. Overall com progres June 13'!J31</f>
        <v>211929</v>
      </c>
      <c r="K31" s="167">
        <f>'[3]2. Overall com progres June 13'!K31</f>
        <v>5834</v>
      </c>
      <c r="L31" s="137">
        <f>'[6]2. Overall com progres June 13'!L31</f>
        <v>85033</v>
      </c>
      <c r="M31" s="78">
        <f>SUM(C31:L31)</f>
        <v>1110896</v>
      </c>
      <c r="R31" s="64" t="e">
        <f>G31-#REF!</f>
        <v>#REF!</v>
      </c>
      <c r="S31" s="64">
        <f>C31-'3. Overallcomprogres March(ref)'!C31</f>
        <v>0</v>
      </c>
      <c r="T31" s="64">
        <f>D31-'3. Overallcomprogres March(ref)'!D31</f>
        <v>-0.44000000000232831</v>
      </c>
      <c r="U31" s="64">
        <f>E31-'3. Overallcomprogres March(ref)'!E31</f>
        <v>0</v>
      </c>
      <c r="V31" s="64">
        <f>F31-'3. Overallcomprogres March(ref)'!F31</f>
        <v>1432</v>
      </c>
      <c r="W31" s="64">
        <f>G31-'3. Overallcomprogres March(ref)'!G31</f>
        <v>42018</v>
      </c>
      <c r="X31" s="64">
        <f>H31-'3. Overallcomprogres March(ref)'!H31</f>
        <v>0</v>
      </c>
      <c r="Y31" s="64">
        <f>I31-'3. Overallcomprogres March(ref)'!I31</f>
        <v>0</v>
      </c>
      <c r="Z31" s="64">
        <f>J31-'3. Overallcomprogres March(ref)'!J31</f>
        <v>37519</v>
      </c>
      <c r="AA31" s="64">
        <f>K31-'3. Overallcomprogres March(ref)'!K31</f>
        <v>0</v>
      </c>
      <c r="AB31" s="64">
        <f>L31-'3. Overallcomprogres March(ref)'!L31</f>
        <v>415</v>
      </c>
      <c r="AC31" s="64">
        <f>M31-'3. Overallcomprogres March(ref)'!M31</f>
        <v>81383.560000000056</v>
      </c>
    </row>
    <row r="32" spans="1:29" s="69" customFormat="1" x14ac:dyDescent="0.2">
      <c r="A32" s="197"/>
      <c r="B32" s="115" t="s">
        <v>20</v>
      </c>
      <c r="C32" s="167">
        <f>'3. Overallcomprogres March(ref)'!C32</f>
        <v>0</v>
      </c>
      <c r="D32" s="167">
        <f>'[4]2. Overall com progres June 13'!D32</f>
        <v>546311</v>
      </c>
      <c r="E32" s="167">
        <f>'[2]2. Overall com progres June 13'!E32</f>
        <v>0</v>
      </c>
      <c r="F32" s="167">
        <f>'[5]2. Overall com progres June 13'!F32</f>
        <v>6593</v>
      </c>
      <c r="G32" s="78">
        <v>1921757</v>
      </c>
      <c r="H32" s="167">
        <f>'[9]2. Overall com progres Dec 12'!H32</f>
        <v>0</v>
      </c>
      <c r="I32" s="162">
        <f>'3. Overallcomprogres March(ref)'!I32</f>
        <v>0</v>
      </c>
      <c r="J32" s="167">
        <f>'[7]2. Overall com progres June 13'!J32</f>
        <v>40601</v>
      </c>
      <c r="K32" s="167">
        <f>'[3]2. Overall com progres June 13'!K32</f>
        <v>21566</v>
      </c>
      <c r="L32" s="137">
        <f>'[6]2. Overall com progres June 13'!L32</f>
        <v>72063</v>
      </c>
      <c r="M32" s="78">
        <f>SUM(C32:L32)</f>
        <v>2608891</v>
      </c>
      <c r="R32" s="64" t="e">
        <f>G32-#REF!</f>
        <v>#REF!</v>
      </c>
      <c r="S32" s="64">
        <f>C32-'3. Overallcomprogres March(ref)'!C32</f>
        <v>0</v>
      </c>
      <c r="T32" s="64">
        <f>D32-'3. Overallcomprogres March(ref)'!D32</f>
        <v>0.43999999994412065</v>
      </c>
      <c r="U32" s="64">
        <f>E32-'3. Overallcomprogres March(ref)'!E32</f>
        <v>0</v>
      </c>
      <c r="V32" s="64">
        <f>F32-'3. Overallcomprogres March(ref)'!F32</f>
        <v>72</v>
      </c>
      <c r="W32" s="64">
        <f>G32-'3. Overallcomprogres March(ref)'!G32</f>
        <v>54908</v>
      </c>
      <c r="X32" s="64">
        <f>H32-'3. Overallcomprogres March(ref)'!H32</f>
        <v>0</v>
      </c>
      <c r="Y32" s="64">
        <f>I32-'3. Overallcomprogres March(ref)'!I32</f>
        <v>0</v>
      </c>
      <c r="Z32" s="64">
        <f>J32-'3. Overallcomprogres March(ref)'!J32</f>
        <v>0</v>
      </c>
      <c r="AA32" s="64">
        <f>K32-'3. Overallcomprogres March(ref)'!K32</f>
        <v>0</v>
      </c>
      <c r="AB32" s="64">
        <f>L32-'3. Overallcomprogres March(ref)'!L32</f>
        <v>230</v>
      </c>
      <c r="AC32" s="64">
        <f>M32-'3. Overallcomprogres March(ref)'!M32</f>
        <v>55210.439999999944</v>
      </c>
    </row>
    <row r="33" spans="1:29" s="69" customFormat="1" x14ac:dyDescent="0.2">
      <c r="A33" s="197"/>
      <c r="B33" s="116" t="s">
        <v>17</v>
      </c>
      <c r="C33" s="104">
        <f>SUM(C31:C32)</f>
        <v>0</v>
      </c>
      <c r="D33" s="168">
        <f t="shared" ref="D33:L33" si="12">SUM(D31:D32)</f>
        <v>621124</v>
      </c>
      <c r="E33" s="168">
        <f t="shared" si="12"/>
        <v>0</v>
      </c>
      <c r="F33" s="168">
        <f t="shared" si="12"/>
        <v>24692</v>
      </c>
      <c r="G33" s="168">
        <f t="shared" si="12"/>
        <v>2636945</v>
      </c>
      <c r="H33" s="168">
        <f t="shared" si="12"/>
        <v>0</v>
      </c>
      <c r="I33" s="168">
        <f t="shared" si="12"/>
        <v>0</v>
      </c>
      <c r="J33" s="168">
        <f t="shared" si="12"/>
        <v>252530</v>
      </c>
      <c r="K33" s="168">
        <f t="shared" si="12"/>
        <v>27400</v>
      </c>
      <c r="L33" s="168">
        <f t="shared" si="12"/>
        <v>157096</v>
      </c>
      <c r="M33" s="104">
        <f t="shared" ref="M33" si="13">SUM(M31:M32)</f>
        <v>3719787</v>
      </c>
      <c r="N33" s="68">
        <f>M33/1000000</f>
        <v>3.7197870000000002</v>
      </c>
      <c r="R33" s="64" t="e">
        <f>G33-#REF!</f>
        <v>#REF!</v>
      </c>
      <c r="S33" s="64">
        <f>C33-'3. Overallcomprogres March(ref)'!C33</f>
        <v>0</v>
      </c>
      <c r="T33" s="64">
        <f>D33-'3. Overallcomprogres March(ref)'!D33</f>
        <v>0</v>
      </c>
      <c r="U33" s="64">
        <f>E33-'3. Overallcomprogres March(ref)'!E33</f>
        <v>0</v>
      </c>
      <c r="V33" s="64">
        <f>F33-'3. Overallcomprogres March(ref)'!F33</f>
        <v>1504</v>
      </c>
      <c r="W33" s="64">
        <f>G33-'3. Overallcomprogres March(ref)'!G33</f>
        <v>96926</v>
      </c>
      <c r="X33" s="64">
        <f>H33-'3. Overallcomprogres March(ref)'!H33</f>
        <v>0</v>
      </c>
      <c r="Y33" s="64">
        <f>I33-'3. Overallcomprogres March(ref)'!I33</f>
        <v>0</v>
      </c>
      <c r="Z33" s="64">
        <f>J33-'3. Overallcomprogres March(ref)'!J33</f>
        <v>37519</v>
      </c>
      <c r="AA33" s="64">
        <f>K33-'3. Overallcomprogres March(ref)'!K33</f>
        <v>0</v>
      </c>
      <c r="AB33" s="64">
        <f>L33-'3. Overallcomprogres March(ref)'!L33</f>
        <v>645</v>
      </c>
      <c r="AC33" s="64">
        <f>M33-'3. Overallcomprogres March(ref)'!M33</f>
        <v>136594</v>
      </c>
    </row>
    <row r="34" spans="1:29" s="64" customFormat="1" ht="13.15" customHeight="1" x14ac:dyDescent="0.2">
      <c r="A34" s="200" t="s">
        <v>265</v>
      </c>
      <c r="B34" s="115" t="s">
        <v>19</v>
      </c>
      <c r="C34" s="167">
        <f>'3. Overallcomprogres March(ref)'!C34</f>
        <v>0</v>
      </c>
      <c r="D34" s="167">
        <f>'[4]2. Overall com progres June 13'!D34</f>
        <v>74813</v>
      </c>
      <c r="E34" s="167">
        <f>'[2]2. Overall com progres June 13'!E34</f>
        <v>0</v>
      </c>
      <c r="F34" s="167">
        <f>'[5]2. Overall com progres June 13'!F34</f>
        <v>18099</v>
      </c>
      <c r="G34" s="78">
        <v>1589732</v>
      </c>
      <c r="H34" s="167">
        <f>'[9]2. Overall com progres Dec 12'!H34</f>
        <v>0</v>
      </c>
      <c r="I34" s="162">
        <f>'3. Overallcomprogres March(ref)'!I34</f>
        <v>0</v>
      </c>
      <c r="J34" s="167">
        <f>'[7]2. Overall com progres June 13'!J34</f>
        <v>358136</v>
      </c>
      <c r="K34" s="167">
        <f>'[3]2. Overall com progres June 13'!K34</f>
        <v>5834</v>
      </c>
      <c r="L34" s="137">
        <f>'[6]2. Overall com progres June 13'!L34</f>
        <v>95229</v>
      </c>
      <c r="M34" s="78">
        <f>SUM(C34:L34)</f>
        <v>2141843</v>
      </c>
      <c r="N34" s="68">
        <f>M34/1000000</f>
        <v>2.1418430000000002</v>
      </c>
      <c r="O34" s="69"/>
      <c r="R34" s="64" t="e">
        <f>G34-#REF!</f>
        <v>#REF!</v>
      </c>
      <c r="S34" s="64">
        <f>C34-'3. Overallcomprogres March(ref)'!C34</f>
        <v>0</v>
      </c>
      <c r="T34" s="64">
        <f>D34-'3. Overallcomprogres March(ref)'!D34</f>
        <v>-0.44000000000232831</v>
      </c>
      <c r="U34" s="64">
        <f>E34-'3. Overallcomprogres March(ref)'!E34</f>
        <v>0</v>
      </c>
      <c r="V34" s="64">
        <f>F34-'3. Overallcomprogres March(ref)'!F34</f>
        <v>1432</v>
      </c>
      <c r="W34" s="64">
        <f>G34-'3. Overallcomprogres March(ref)'!G34</f>
        <v>50419</v>
      </c>
      <c r="X34" s="64">
        <f>H34-'3. Overallcomprogres March(ref)'!H34</f>
        <v>0</v>
      </c>
      <c r="Y34" s="64">
        <f>I34-'3. Overallcomprogres March(ref)'!I34</f>
        <v>0</v>
      </c>
      <c r="Z34" s="64">
        <f>J34-'3. Overallcomprogres March(ref)'!J34</f>
        <v>0</v>
      </c>
      <c r="AA34" s="64">
        <f>K34-'3. Overallcomprogres March(ref)'!K34</f>
        <v>0</v>
      </c>
      <c r="AB34" s="64">
        <f>L34-'3. Overallcomprogres March(ref)'!L34</f>
        <v>415</v>
      </c>
      <c r="AC34" s="64">
        <f>M34-'3. Overallcomprogres March(ref)'!M34</f>
        <v>52265.560000000056</v>
      </c>
    </row>
    <row r="35" spans="1:29" s="64" customFormat="1" x14ac:dyDescent="0.2">
      <c r="A35" s="200"/>
      <c r="B35" s="115" t="s">
        <v>20</v>
      </c>
      <c r="C35" s="167">
        <f>'3. Overallcomprogres March(ref)'!C35</f>
        <v>0</v>
      </c>
      <c r="D35" s="167">
        <f>'[4]2. Overall com progres June 13'!D35</f>
        <v>546311</v>
      </c>
      <c r="E35" s="167">
        <f>'[2]2. Overall com progres June 13'!E35</f>
        <v>0</v>
      </c>
      <c r="F35" s="167">
        <f>'[5]2. Overall com progres June 13'!F35</f>
        <v>6593</v>
      </c>
      <c r="G35" s="78">
        <v>2654807</v>
      </c>
      <c r="H35" s="167">
        <f>'[9]2. Overall com progres Dec 12'!H35</f>
        <v>0</v>
      </c>
      <c r="I35" s="162">
        <f>'3. Overallcomprogres March(ref)'!I35</f>
        <v>0</v>
      </c>
      <c r="J35" s="167">
        <f>'[7]2. Overall com progres June 13'!J35</f>
        <v>257340</v>
      </c>
      <c r="K35" s="167">
        <f>'[3]2. Overall com progres June 13'!K35</f>
        <v>21566</v>
      </c>
      <c r="L35" s="137">
        <f>'[6]2. Overall com progres June 13'!L35</f>
        <v>78828</v>
      </c>
      <c r="M35" s="78">
        <f>SUM(C35:L35)</f>
        <v>3565445</v>
      </c>
      <c r="N35" s="86"/>
      <c r="O35" s="69"/>
      <c r="R35" s="64" t="e">
        <f>G35-#REF!</f>
        <v>#REF!</v>
      </c>
      <c r="S35" s="64">
        <f>C35-'3. Overallcomprogres March(ref)'!C35</f>
        <v>0</v>
      </c>
      <c r="T35" s="64">
        <f>D35-'3. Overallcomprogres March(ref)'!D35</f>
        <v>0.43999999994412065</v>
      </c>
      <c r="U35" s="64">
        <f>E35-'3. Overallcomprogres March(ref)'!E35</f>
        <v>0</v>
      </c>
      <c r="V35" s="64">
        <f>F35-'3. Overallcomprogres March(ref)'!F35</f>
        <v>72</v>
      </c>
      <c r="W35" s="64">
        <f>G35-'3. Overallcomprogres March(ref)'!G35</f>
        <v>73695</v>
      </c>
      <c r="X35" s="64">
        <f>H35-'3. Overallcomprogres March(ref)'!H35</f>
        <v>0</v>
      </c>
      <c r="Y35" s="64">
        <f>I35-'3. Overallcomprogres March(ref)'!I35</f>
        <v>0</v>
      </c>
      <c r="Z35" s="64">
        <f>J35-'3. Overallcomprogres March(ref)'!J35</f>
        <v>0</v>
      </c>
      <c r="AA35" s="64">
        <f>K35-'3. Overallcomprogres March(ref)'!K35</f>
        <v>0</v>
      </c>
      <c r="AB35" s="64">
        <f>L35-'3. Overallcomprogres March(ref)'!L35</f>
        <v>230</v>
      </c>
      <c r="AC35" s="64">
        <f>M35-'3. Overallcomprogres March(ref)'!M35</f>
        <v>73997.439999999944</v>
      </c>
    </row>
    <row r="36" spans="1:29" s="64" customFormat="1" x14ac:dyDescent="0.2">
      <c r="A36" s="200"/>
      <c r="B36" s="116" t="s">
        <v>17</v>
      </c>
      <c r="C36" s="104">
        <f>SUM(C34:C35)</f>
        <v>0</v>
      </c>
      <c r="D36" s="168">
        <f t="shared" ref="D36:L36" si="14">SUM(D34:D35)</f>
        <v>621124</v>
      </c>
      <c r="E36" s="168">
        <f t="shared" si="14"/>
        <v>0</v>
      </c>
      <c r="F36" s="168">
        <f t="shared" si="14"/>
        <v>24692</v>
      </c>
      <c r="G36" s="168">
        <f t="shared" si="14"/>
        <v>4244539</v>
      </c>
      <c r="H36" s="168">
        <f t="shared" si="14"/>
        <v>0</v>
      </c>
      <c r="I36" s="168">
        <f t="shared" si="14"/>
        <v>0</v>
      </c>
      <c r="J36" s="168">
        <f t="shared" si="14"/>
        <v>615476</v>
      </c>
      <c r="K36" s="168">
        <f t="shared" si="14"/>
        <v>27400</v>
      </c>
      <c r="L36" s="168">
        <f t="shared" si="14"/>
        <v>174057</v>
      </c>
      <c r="M36" s="104">
        <f t="shared" ref="M36" si="15">SUM(M34:M35)</f>
        <v>5707288</v>
      </c>
      <c r="N36" s="68">
        <f>M36/1000000</f>
        <v>5.7072880000000001</v>
      </c>
      <c r="O36" s="69"/>
      <c r="R36" s="64" t="e">
        <f>G36-#REF!</f>
        <v>#REF!</v>
      </c>
      <c r="S36" s="64">
        <f>C36-'3. Overallcomprogres March(ref)'!C36</f>
        <v>0</v>
      </c>
      <c r="T36" s="64">
        <f>D36-'3. Overallcomprogres March(ref)'!D36</f>
        <v>0</v>
      </c>
      <c r="U36" s="64">
        <f>E36-'3. Overallcomprogres March(ref)'!E36</f>
        <v>0</v>
      </c>
      <c r="V36" s="64">
        <f>F36-'3. Overallcomprogres March(ref)'!F36</f>
        <v>1504</v>
      </c>
      <c r="W36" s="64">
        <f>G36-'3. Overallcomprogres March(ref)'!G36</f>
        <v>124114</v>
      </c>
      <c r="X36" s="64">
        <f>H36-'3. Overallcomprogres March(ref)'!H36</f>
        <v>0</v>
      </c>
      <c r="Y36" s="64">
        <f>I36-'3. Overallcomprogres March(ref)'!I36</f>
        <v>0</v>
      </c>
      <c r="Z36" s="64">
        <f>J36-'3. Overallcomprogres March(ref)'!J36</f>
        <v>0</v>
      </c>
      <c r="AA36" s="64">
        <f>K36-'3. Overallcomprogres March(ref)'!K36</f>
        <v>0</v>
      </c>
      <c r="AB36" s="64">
        <f>L36-'3. Overallcomprogres March(ref)'!L36</f>
        <v>645</v>
      </c>
      <c r="AC36" s="64">
        <f>M36-'3. Overallcomprogres March(ref)'!M36</f>
        <v>126263</v>
      </c>
    </row>
    <row r="37" spans="1:29" s="70" customFormat="1" x14ac:dyDescent="0.2">
      <c r="A37" s="214" t="s">
        <v>24</v>
      </c>
      <c r="B37" s="215"/>
      <c r="C37" s="167">
        <f>'3. Overallcomprogres March(ref)'!C37</f>
        <v>1637</v>
      </c>
      <c r="D37" s="167">
        <f>'[4]2. Overall com progres June 13'!D37</f>
        <v>3576</v>
      </c>
      <c r="E37" s="167">
        <f>'[2]2. Overall com progres June 13'!E37</f>
        <v>1295</v>
      </c>
      <c r="F37" s="167">
        <f>'[5]2. Overall com progres June 13'!F37</f>
        <v>534</v>
      </c>
      <c r="G37" s="78">
        <v>28006</v>
      </c>
      <c r="H37" s="167">
        <f>'[9]2. Overall com progres Dec 12'!H37</f>
        <v>6433</v>
      </c>
      <c r="I37" s="162">
        <f>'3. Overallcomprogres March(ref)'!I37</f>
        <v>16</v>
      </c>
      <c r="J37" s="167">
        <f>'[7]2. Overall com progres June 13'!J37</f>
        <v>39555</v>
      </c>
      <c r="K37" s="167">
        <f>'[3]2. Overall com progres June 13'!K37</f>
        <v>7923</v>
      </c>
      <c r="L37" s="137">
        <f>'[6]2. Overall com progres June 13'!L37</f>
        <v>57180</v>
      </c>
      <c r="M37" s="78">
        <f t="shared" ref="M37:M45" si="16">SUM(C37:L37)</f>
        <v>146155</v>
      </c>
      <c r="N37" s="86"/>
      <c r="O37" s="69"/>
      <c r="R37" s="64" t="e">
        <f>G37-#REF!</f>
        <v>#REF!</v>
      </c>
      <c r="S37" s="64">
        <f>C37-'3. Overallcomprogres March(ref)'!C37</f>
        <v>0</v>
      </c>
      <c r="T37" s="64">
        <f>D37-'3. Overallcomprogres March(ref)'!D37</f>
        <v>0</v>
      </c>
      <c r="U37" s="64">
        <f>E37-'3. Overallcomprogres March(ref)'!E37</f>
        <v>1</v>
      </c>
      <c r="V37" s="64">
        <f>F37-'3. Overallcomprogres March(ref)'!F37</f>
        <v>3</v>
      </c>
      <c r="W37" s="64">
        <f>G37-'3. Overallcomprogres March(ref)'!G37</f>
        <v>357</v>
      </c>
      <c r="X37" s="64">
        <f>H37-'3. Overallcomprogres March(ref)'!H37</f>
        <v>0</v>
      </c>
      <c r="Y37" s="64">
        <f>I37-'3. Overallcomprogres March(ref)'!I37</f>
        <v>0</v>
      </c>
      <c r="Z37" s="64">
        <f>J37-'3. Overallcomprogres March(ref)'!J37</f>
        <v>0</v>
      </c>
      <c r="AA37" s="64">
        <f>K37-'3. Overallcomprogres March(ref)'!K37</f>
        <v>151</v>
      </c>
      <c r="AB37" s="64">
        <f>L37-'3. Overallcomprogres March(ref)'!L37</f>
        <v>340</v>
      </c>
      <c r="AC37" s="64">
        <f>M37-'3. Overallcomprogres March(ref)'!M37</f>
        <v>852</v>
      </c>
    </row>
    <row r="38" spans="1:29" s="70" customFormat="1" x14ac:dyDescent="0.2">
      <c r="A38" s="214" t="s">
        <v>25</v>
      </c>
      <c r="B38" s="215"/>
      <c r="C38" s="167">
        <f>'3. Overallcomprogres March(ref)'!C38</f>
        <v>1637</v>
      </c>
      <c r="D38" s="167">
        <f>'[4]2. Overall com progres June 13'!D38</f>
        <v>3576</v>
      </c>
      <c r="E38" s="167">
        <f>'[2]2. Overall com progres June 13'!E38</f>
        <v>1056</v>
      </c>
      <c r="F38" s="167">
        <f>'[5]2. Overall com progres June 13'!F38</f>
        <v>534</v>
      </c>
      <c r="G38" s="78">
        <v>27098</v>
      </c>
      <c r="H38" s="167">
        <f>'[9]2. Overall com progres Dec 12'!H38</f>
        <v>6433</v>
      </c>
      <c r="I38" s="162">
        <f>'3. Overallcomprogres March(ref)'!I38</f>
        <v>16</v>
      </c>
      <c r="J38" s="167">
        <f>'[7]2. Overall com progres June 13'!J38</f>
        <v>39555</v>
      </c>
      <c r="K38" s="167">
        <f>'[3]2. Overall com progres June 13'!K38</f>
        <v>7750</v>
      </c>
      <c r="L38" s="137">
        <f>'[6]2. Overall com progres June 13'!L38</f>
        <v>56745</v>
      </c>
      <c r="M38" s="78">
        <f t="shared" si="16"/>
        <v>144400</v>
      </c>
      <c r="N38" s="86"/>
      <c r="O38" s="69"/>
      <c r="R38" s="64" t="e">
        <f>G38-#REF!</f>
        <v>#REF!</v>
      </c>
      <c r="S38" s="64">
        <f>C38-'3. Overallcomprogres March(ref)'!C38</f>
        <v>0</v>
      </c>
      <c r="T38" s="64">
        <f>D38-'3. Overallcomprogres March(ref)'!D38</f>
        <v>0</v>
      </c>
      <c r="U38" s="64">
        <f>E38-'3. Overallcomprogres March(ref)'!E38</f>
        <v>30</v>
      </c>
      <c r="V38" s="64">
        <f>F38-'3. Overallcomprogres March(ref)'!F38</f>
        <v>20</v>
      </c>
      <c r="W38" s="64">
        <f>G38-'3. Overallcomprogres March(ref)'!G38</f>
        <v>750</v>
      </c>
      <c r="X38" s="64">
        <f>H38-'3. Overallcomprogres March(ref)'!H38</f>
        <v>0</v>
      </c>
      <c r="Y38" s="64">
        <f>I38-'3. Overallcomprogres March(ref)'!I38</f>
        <v>0</v>
      </c>
      <c r="Z38" s="64">
        <f>J38-'3. Overallcomprogres March(ref)'!J38</f>
        <v>0</v>
      </c>
      <c r="AA38" s="64">
        <f>K38-'3. Overallcomprogres March(ref)'!K38</f>
        <v>492</v>
      </c>
      <c r="AB38" s="64">
        <f>L38-'3. Overallcomprogres March(ref)'!L38</f>
        <v>244</v>
      </c>
      <c r="AC38" s="64">
        <f>M38-'3. Overallcomprogres March(ref)'!M38</f>
        <v>1536</v>
      </c>
    </row>
    <row r="39" spans="1:29" s="71" customFormat="1" x14ac:dyDescent="0.2">
      <c r="A39" s="214" t="s">
        <v>26</v>
      </c>
      <c r="B39" s="215"/>
      <c r="C39" s="167">
        <f>'3. Overallcomprogres March(ref)'!C39</f>
        <v>100347</v>
      </c>
      <c r="D39" s="167">
        <f>'[4]2. Overall com progres June 13'!D39</f>
        <v>284440</v>
      </c>
      <c r="E39" s="167">
        <f>'[2]2. Overall com progres June 13'!E39</f>
        <v>71525</v>
      </c>
      <c r="F39" s="167">
        <f>'[5]2. Overall com progres June 13'!F39</f>
        <v>20861</v>
      </c>
      <c r="G39" s="78">
        <v>1207159</v>
      </c>
      <c r="H39" s="167">
        <f>'[9]2. Overall com progres Dec 12'!H39</f>
        <v>674798</v>
      </c>
      <c r="I39" s="162">
        <f>'3. Overallcomprogres March(ref)'!I39</f>
        <v>6500</v>
      </c>
      <c r="J39" s="167">
        <f>'[7]2. Overall com progres June 13'!J39</f>
        <v>227005</v>
      </c>
      <c r="K39" s="167">
        <f>'[3]2. Overall com progres June 13'!K39</f>
        <v>1528442</v>
      </c>
      <c r="L39" s="137">
        <f>'[6]2. Overall com progres June 13'!L39</f>
        <v>386430</v>
      </c>
      <c r="M39" s="78">
        <f t="shared" si="16"/>
        <v>4507507</v>
      </c>
      <c r="N39" s="68">
        <f>M39/1000000</f>
        <v>4.5075070000000004</v>
      </c>
      <c r="O39" s="69">
        <f>476*15</f>
        <v>7140</v>
      </c>
      <c r="R39" s="64" t="e">
        <f>G39-#REF!</f>
        <v>#REF!</v>
      </c>
      <c r="S39" s="64">
        <f>C39-'3. Overallcomprogres March(ref)'!C39</f>
        <v>0</v>
      </c>
      <c r="T39" s="64">
        <f>D39-'3. Overallcomprogres March(ref)'!D39</f>
        <v>0</v>
      </c>
      <c r="U39" s="64">
        <f>E39-'3. Overallcomprogres March(ref)'!E39</f>
        <v>34</v>
      </c>
      <c r="V39" s="64">
        <f>F39-'3. Overallcomprogres March(ref)'!F39</f>
        <v>0</v>
      </c>
      <c r="W39" s="64">
        <f>G39-'3. Overallcomprogres March(ref)'!G39</f>
        <v>39416</v>
      </c>
      <c r="X39" s="64">
        <f>H39-'3. Overallcomprogres March(ref)'!H39</f>
        <v>0</v>
      </c>
      <c r="Y39" s="64">
        <f>I39-'3. Overallcomprogres March(ref)'!I39</f>
        <v>0</v>
      </c>
      <c r="Z39" s="64">
        <f>J39-'3. Overallcomprogres March(ref)'!J39</f>
        <v>0</v>
      </c>
      <c r="AA39" s="64">
        <f>K39-'3. Overallcomprogres March(ref)'!K39</f>
        <v>13556</v>
      </c>
      <c r="AB39" s="64">
        <f>L39-'3. Overallcomprogres March(ref)'!L39</f>
        <v>11215</v>
      </c>
      <c r="AC39" s="64">
        <f>M39-'3. Overallcomprogres March(ref)'!M39</f>
        <v>64221</v>
      </c>
    </row>
    <row r="40" spans="1:29" s="71" customFormat="1" x14ac:dyDescent="0.2">
      <c r="A40" s="210" t="s">
        <v>261</v>
      </c>
      <c r="B40" s="211"/>
      <c r="C40" s="167">
        <f>'3. Overallcomprogres March(ref)'!C40</f>
        <v>100347</v>
      </c>
      <c r="D40" s="167">
        <f>'[4]2. Overall com progres June 13'!D40</f>
        <v>284440</v>
      </c>
      <c r="E40" s="167">
        <f>'[2]2. Overall com progres June 13'!E40</f>
        <v>59225</v>
      </c>
      <c r="F40" s="167">
        <f>'[5]2. Overall com progres June 13'!F40</f>
        <v>20861</v>
      </c>
      <c r="G40" s="78">
        <v>1126437</v>
      </c>
      <c r="H40" s="167">
        <f>'[9]2. Overall com progres Dec 12'!H40</f>
        <v>674798</v>
      </c>
      <c r="I40" s="162">
        <f>'3. Overallcomprogres March(ref)'!I40</f>
        <v>0</v>
      </c>
      <c r="J40" s="167">
        <f>'[7]2. Overall com progres June 13'!J40</f>
        <v>227005</v>
      </c>
      <c r="K40" s="167">
        <f>'[3]2. Overall com progres June 13'!K40</f>
        <v>1495068</v>
      </c>
      <c r="L40" s="137">
        <f>'[6]2. Overall com progres June 13'!L40</f>
        <v>371034</v>
      </c>
      <c r="M40" s="78">
        <f t="shared" si="16"/>
        <v>4359215</v>
      </c>
      <c r="N40" s="68"/>
      <c r="O40" s="69"/>
      <c r="R40" s="64"/>
      <c r="S40" s="64">
        <f>C40-'3. Overallcomprogres March(ref)'!C40</f>
        <v>0</v>
      </c>
      <c r="T40" s="64">
        <f>D40-'3. Overallcomprogres March(ref)'!D40</f>
        <v>0</v>
      </c>
      <c r="U40" s="64">
        <f>E40-'3. Overallcomprogres March(ref)'!E40</f>
        <v>608</v>
      </c>
      <c r="V40" s="64">
        <f>F40-'3. Overallcomprogres March(ref)'!F40</f>
        <v>459</v>
      </c>
      <c r="W40" s="64">
        <f>G40-'3. Overallcomprogres March(ref)'!G40</f>
        <v>24813</v>
      </c>
      <c r="X40" s="64">
        <f>H40-'3. Overallcomprogres March(ref)'!H40</f>
        <v>0</v>
      </c>
      <c r="Y40" s="64">
        <f>I40-'3. Overallcomprogres March(ref)'!I40</f>
        <v>0</v>
      </c>
      <c r="Z40" s="64">
        <f>J40-'3. Overallcomprogres March(ref)'!J40</f>
        <v>0</v>
      </c>
      <c r="AA40" s="64">
        <f>K40-'3. Overallcomprogres March(ref)'!K40</f>
        <v>40368</v>
      </c>
      <c r="AB40" s="64">
        <f>L40-'3. Overallcomprogres March(ref)'!L40</f>
        <v>6780</v>
      </c>
      <c r="AC40" s="64">
        <f>M40-'3. Overallcomprogres March(ref)'!M40</f>
        <v>73028</v>
      </c>
    </row>
    <row r="41" spans="1:29" s="72" customFormat="1" x14ac:dyDescent="0.2">
      <c r="A41" s="201" t="s">
        <v>27</v>
      </c>
      <c r="B41" s="202"/>
      <c r="C41" s="167">
        <f>'3. Overallcomprogres March(ref)'!C41</f>
        <v>635.803</v>
      </c>
      <c r="D41" s="167">
        <f>'[4]2. Overall com progres June 13'!D41</f>
        <v>1825.46</v>
      </c>
      <c r="E41" s="167">
        <f>'[2]2. Overall com progres June 13'!E41</f>
        <v>641</v>
      </c>
      <c r="F41" s="167">
        <f>'[5]2. Overall com progres June 13'!F41</f>
        <v>161</v>
      </c>
      <c r="G41" s="78">
        <v>6827.9548500000001</v>
      </c>
      <c r="H41" s="167">
        <f>'[9]2. Overall com progres Dec 12'!H41</f>
        <v>1675.181</v>
      </c>
      <c r="I41" s="162">
        <f>'3. Overallcomprogres March(ref)'!I41</f>
        <v>20</v>
      </c>
      <c r="J41" s="167">
        <f>'[7]2. Overall com progres June 13'!J41</f>
        <v>2567</v>
      </c>
      <c r="K41" s="167">
        <f>'[3]2. Overall com progres June 13'!K41</f>
        <v>4134.58</v>
      </c>
      <c r="L41" s="137">
        <f>'[6]2. Overall com progres June 13'!L41</f>
        <v>890.5</v>
      </c>
      <c r="M41" s="78">
        <f t="shared" si="16"/>
        <v>19378.47885</v>
      </c>
      <c r="N41" s="86">
        <f>M41/90</f>
        <v>215.31643166666666</v>
      </c>
      <c r="O41" s="121">
        <f>M41/85</f>
        <v>227.98210411764705</v>
      </c>
      <c r="R41" s="64" t="e">
        <f>G41-#REF!</f>
        <v>#REF!</v>
      </c>
      <c r="S41" s="64">
        <f>C41-'3. Overallcomprogres March(ref)'!C41</f>
        <v>0</v>
      </c>
      <c r="T41" s="64">
        <f>D41-'3. Overallcomprogres March(ref)'!D41</f>
        <v>0</v>
      </c>
      <c r="U41" s="64">
        <f>E41-'3. Overallcomprogres March(ref)'!E41</f>
        <v>1</v>
      </c>
      <c r="V41" s="64">
        <f>F41-'3. Overallcomprogres March(ref)'!F41</f>
        <v>23</v>
      </c>
      <c r="W41" s="64">
        <f>G41-'3. Overallcomprogres March(ref)'!G41</f>
        <v>143.65491199999997</v>
      </c>
      <c r="X41" s="64">
        <f>H41-'3. Overallcomprogres March(ref)'!H41</f>
        <v>0</v>
      </c>
      <c r="Y41" s="64">
        <f>I41-'3. Overallcomprogres March(ref)'!I41</f>
        <v>0</v>
      </c>
      <c r="Z41" s="64">
        <f>J41-'3. Overallcomprogres March(ref)'!J41</f>
        <v>0</v>
      </c>
      <c r="AA41" s="64">
        <f>K41-'3. Overallcomprogres March(ref)'!K41</f>
        <v>257.57999999999993</v>
      </c>
      <c r="AB41" s="64">
        <f>L41-'3. Overallcomprogres March(ref)'!L41</f>
        <v>8.7249999999999091</v>
      </c>
      <c r="AC41" s="64">
        <f>M41-'3. Overallcomprogres March(ref)'!M41</f>
        <v>433.95991199999844</v>
      </c>
    </row>
    <row r="42" spans="1:29" s="72" customFormat="1" x14ac:dyDescent="0.2">
      <c r="A42" s="212" t="s">
        <v>262</v>
      </c>
      <c r="B42" s="213"/>
      <c r="C42" s="167">
        <f>'3. Overallcomprogres March(ref)'!C42</f>
        <v>635.803</v>
      </c>
      <c r="D42" s="167">
        <f>'[4]2. Overall com progres June 13'!D42</f>
        <v>1825.46</v>
      </c>
      <c r="E42" s="167">
        <f>'[2]2. Overall com progres June 13'!E42</f>
        <v>525</v>
      </c>
      <c r="F42" s="167">
        <f>'[5]2. Overall com progres June 13'!F42</f>
        <v>161</v>
      </c>
      <c r="G42" s="78">
        <v>6217.9347639999996</v>
      </c>
      <c r="H42" s="167">
        <f>'[9]2. Overall com progres Dec 12'!H42</f>
        <v>1675.181</v>
      </c>
      <c r="I42" s="162">
        <f>'3. Overallcomprogres March(ref)'!I42</f>
        <v>20</v>
      </c>
      <c r="J42" s="167">
        <f>'[7]2. Overall com progres June 13'!J42</f>
        <v>2567</v>
      </c>
      <c r="K42" s="167">
        <f>'[3]2. Overall com progres June 13'!K42</f>
        <v>4044.7</v>
      </c>
      <c r="L42" s="137">
        <f>'[6]2. Overall com progres June 13'!L42</f>
        <v>868.8</v>
      </c>
      <c r="M42" s="78">
        <f t="shared" si="16"/>
        <v>18540.878764000001</v>
      </c>
      <c r="N42" s="86"/>
      <c r="O42" s="121"/>
      <c r="R42" s="64"/>
      <c r="S42" s="64">
        <f>C42-'3. Overallcomprogres March(ref)'!C42</f>
        <v>0</v>
      </c>
      <c r="T42" s="64">
        <f>D42-'3. Overallcomprogres March(ref)'!D42</f>
        <v>0</v>
      </c>
      <c r="U42" s="64">
        <f>E42-'3. Overallcomprogres March(ref)'!E42</f>
        <v>9</v>
      </c>
      <c r="V42" s="64">
        <f>F42-'3. Overallcomprogres March(ref)'!F42</f>
        <v>18</v>
      </c>
      <c r="W42" s="64">
        <f>G42-'3. Overallcomprogres March(ref)'!G42</f>
        <v>299.83626499999991</v>
      </c>
      <c r="X42" s="64">
        <f>H42-'3. Overallcomprogres March(ref)'!H42</f>
        <v>0</v>
      </c>
      <c r="Y42" s="64">
        <f>I42-'3. Overallcomprogres March(ref)'!I42</f>
        <v>0</v>
      </c>
      <c r="Z42" s="64">
        <f>J42-'3. Overallcomprogres March(ref)'!J42</f>
        <v>0</v>
      </c>
      <c r="AA42" s="64">
        <f>K42-'3. Overallcomprogres March(ref)'!K42</f>
        <v>424.69999999999982</v>
      </c>
      <c r="AB42" s="64">
        <f>L42-'3. Overallcomprogres March(ref)'!L42</f>
        <v>6.1599999999998545</v>
      </c>
      <c r="AC42" s="64">
        <f>M42-'3. Overallcomprogres March(ref)'!M42</f>
        <v>757.69626500000231</v>
      </c>
    </row>
    <row r="43" spans="1:29" s="73" customFormat="1" x14ac:dyDescent="0.2">
      <c r="A43" s="203" t="s">
        <v>28</v>
      </c>
      <c r="B43" s="204" t="s">
        <v>29</v>
      </c>
      <c r="C43" s="167">
        <f>'3. Overallcomprogres March(ref)'!C43</f>
        <v>355</v>
      </c>
      <c r="D43" s="167">
        <f>'[4]2. Overall com progres June 13'!D43</f>
        <v>867</v>
      </c>
      <c r="E43" s="167">
        <f>'[2]2. Overall com progres June 13'!E43</f>
        <v>141</v>
      </c>
      <c r="F43" s="167">
        <f>'[5]2. Overall com progres June 13'!F43</f>
        <v>12</v>
      </c>
      <c r="G43" s="78">
        <v>545</v>
      </c>
      <c r="H43" s="167">
        <f>'[9]2. Overall com progres Dec 12'!H43</f>
        <v>201</v>
      </c>
      <c r="I43" s="162">
        <f>'3. Overallcomprogres March(ref)'!I43</f>
        <v>25</v>
      </c>
      <c r="J43" s="167">
        <f>'[7]2. Overall com progres June 13'!J43</f>
        <v>2</v>
      </c>
      <c r="K43" s="167">
        <f>'[3]2. Overall com progres June 13'!K43</f>
        <v>73</v>
      </c>
      <c r="L43" s="137">
        <f>'[6]2. Overall com progres June 13'!L43</f>
        <v>113</v>
      </c>
      <c r="M43" s="78">
        <f t="shared" si="16"/>
        <v>2334</v>
      </c>
      <c r="N43" s="86"/>
      <c r="O43" s="69"/>
      <c r="R43" s="64" t="e">
        <f>G43-#REF!</f>
        <v>#REF!</v>
      </c>
      <c r="S43" s="64">
        <f>C43-'3. Overallcomprogres March(ref)'!C43</f>
        <v>0</v>
      </c>
      <c r="T43" s="64">
        <f>D43-'3. Overallcomprogres March(ref)'!D43</f>
        <v>0</v>
      </c>
      <c r="U43" s="64">
        <f>E43-'3. Overallcomprogres March(ref)'!E43</f>
        <v>0</v>
      </c>
      <c r="V43" s="64">
        <f>F43-'3. Overallcomprogres March(ref)'!F43</f>
        <v>0</v>
      </c>
      <c r="W43" s="64">
        <f>G43-'3. Overallcomprogres March(ref)'!G43</f>
        <v>30</v>
      </c>
      <c r="X43" s="64">
        <f>H43-'3. Overallcomprogres March(ref)'!H43</f>
        <v>-8</v>
      </c>
      <c r="Y43" s="64">
        <f>I43-'3. Overallcomprogres March(ref)'!I43</f>
        <v>0</v>
      </c>
      <c r="Z43" s="64">
        <f>J43-'3. Overallcomprogres March(ref)'!J43</f>
        <v>0</v>
      </c>
      <c r="AA43" s="64">
        <f>K43-'3. Overallcomprogres March(ref)'!K43</f>
        <v>0</v>
      </c>
      <c r="AB43" s="64">
        <f>L43-'3. Overallcomprogres March(ref)'!L43</f>
        <v>0</v>
      </c>
      <c r="AC43" s="64">
        <f>M43-'3. Overallcomprogres March(ref)'!M43</f>
        <v>22</v>
      </c>
    </row>
    <row r="44" spans="1:29" s="64" customFormat="1" x14ac:dyDescent="0.2">
      <c r="A44" s="198" t="s">
        <v>30</v>
      </c>
      <c r="B44" s="65" t="s">
        <v>29</v>
      </c>
      <c r="C44" s="167">
        <f>'3. Overallcomprogres March(ref)'!C44</f>
        <v>11370</v>
      </c>
      <c r="D44" s="167">
        <f>'[4]2. Overall com progres June 13'!D44</f>
        <v>2900</v>
      </c>
      <c r="E44" s="167">
        <f>'[2]2. Overall com progres June 13'!E44</f>
        <v>4453</v>
      </c>
      <c r="F44" s="167">
        <f>'[5]2. Overall com progres June 13'!F44</f>
        <v>780</v>
      </c>
      <c r="G44" s="78">
        <v>9852</v>
      </c>
      <c r="H44" s="167">
        <f>'[9]2. Overall com progres Dec 12'!H44</f>
        <v>5188</v>
      </c>
      <c r="I44" s="162">
        <f>'3. Overallcomprogres March(ref)'!I44</f>
        <v>3526</v>
      </c>
      <c r="J44" s="167">
        <f>'[7]2. Overall com progres June 13'!J44</f>
        <v>25</v>
      </c>
      <c r="K44" s="167">
        <f>'[3]2. Overall com progres June 13'!K44</f>
        <v>1991</v>
      </c>
      <c r="L44" s="137">
        <f>'[6]2. Overall com progres June 13'!L44</f>
        <v>1947</v>
      </c>
      <c r="M44" s="78">
        <f t="shared" si="16"/>
        <v>42032</v>
      </c>
      <c r="N44" s="86"/>
      <c r="O44" s="69"/>
      <c r="R44" s="64" t="e">
        <f>G44-#REF!</f>
        <v>#REF!</v>
      </c>
      <c r="S44" s="64">
        <f>C44-'3. Overallcomprogres March(ref)'!C44</f>
        <v>0</v>
      </c>
      <c r="T44" s="64">
        <f>D44-'3. Overallcomprogres March(ref)'!D44</f>
        <v>0</v>
      </c>
      <c r="U44" s="64">
        <f>E44-'3. Overallcomprogres March(ref)'!E44</f>
        <v>0</v>
      </c>
      <c r="V44" s="64">
        <f>F44-'3. Overallcomprogres March(ref)'!F44</f>
        <v>0</v>
      </c>
      <c r="W44" s="64">
        <f>G44-'3. Overallcomprogres March(ref)'!G44</f>
        <v>1606</v>
      </c>
      <c r="X44" s="64">
        <f>H44-'3. Overallcomprogres March(ref)'!H44</f>
        <v>-2027</v>
      </c>
      <c r="Y44" s="64">
        <f>I44-'3. Overallcomprogres March(ref)'!I44</f>
        <v>0</v>
      </c>
      <c r="Z44" s="64">
        <f>J44-'3. Overallcomprogres March(ref)'!J44</f>
        <v>0</v>
      </c>
      <c r="AA44" s="64">
        <f>K44-'3. Overallcomprogres March(ref)'!K44</f>
        <v>0</v>
      </c>
      <c r="AB44" s="64">
        <f>L44-'3. Overallcomprogres March(ref)'!L44</f>
        <v>0</v>
      </c>
      <c r="AC44" s="64">
        <f>M44-'3. Overallcomprogres March(ref)'!M44</f>
        <v>-421</v>
      </c>
    </row>
    <row r="45" spans="1:29" s="64" customFormat="1" x14ac:dyDescent="0.2">
      <c r="A45" s="198"/>
      <c r="B45" s="66" t="s">
        <v>31</v>
      </c>
      <c r="C45" s="167">
        <f>'3. Overallcomprogres March(ref)'!C45</f>
        <v>9922</v>
      </c>
      <c r="D45" s="167">
        <f>'[4]2. Overall com progres June 13'!D45</f>
        <v>7375</v>
      </c>
      <c r="E45" s="167">
        <f>'[2]2. Overall com progres June 13'!E45</f>
        <v>5543</v>
      </c>
      <c r="F45" s="167">
        <f>'[5]2. Overall com progres June 13'!F45</f>
        <v>608</v>
      </c>
      <c r="G45" s="78">
        <v>10537</v>
      </c>
      <c r="H45" s="167">
        <f>'[9]2. Overall com progres Dec 12'!H45</f>
        <v>6822</v>
      </c>
      <c r="I45" s="162">
        <f>'3. Overallcomprogres March(ref)'!I45</f>
        <v>5110</v>
      </c>
      <c r="J45" s="167">
        <f>'[7]2. Overall com progres June 13'!J45</f>
        <v>55</v>
      </c>
      <c r="K45" s="167">
        <f>'[3]2. Overall com progres June 13'!K45</f>
        <v>2470</v>
      </c>
      <c r="L45" s="137">
        <f>'[6]2. Overall com progres June 13'!L45</f>
        <v>707</v>
      </c>
      <c r="M45" s="78">
        <f t="shared" si="16"/>
        <v>49149</v>
      </c>
      <c r="N45" s="86"/>
      <c r="O45" s="69"/>
      <c r="R45" s="64" t="e">
        <f>G45-#REF!</f>
        <v>#REF!</v>
      </c>
      <c r="S45" s="64">
        <f>C45-'3. Overallcomprogres March(ref)'!C45</f>
        <v>0</v>
      </c>
      <c r="T45" s="64">
        <f>D45-'3. Overallcomprogres March(ref)'!D45</f>
        <v>0</v>
      </c>
      <c r="U45" s="64">
        <f>E45-'3. Overallcomprogres March(ref)'!E45</f>
        <v>0</v>
      </c>
      <c r="V45" s="64">
        <f>F45-'3. Overallcomprogres March(ref)'!F45</f>
        <v>0</v>
      </c>
      <c r="W45" s="64">
        <f>G45-'3. Overallcomprogres March(ref)'!G45</f>
        <v>1324</v>
      </c>
      <c r="X45" s="64">
        <f>H45-'3. Overallcomprogres March(ref)'!H45</f>
        <v>1378</v>
      </c>
      <c r="Y45" s="64">
        <f>I45-'3. Overallcomprogres March(ref)'!I45</f>
        <v>0</v>
      </c>
      <c r="Z45" s="64">
        <f>J45-'3. Overallcomprogres March(ref)'!J45</f>
        <v>0</v>
      </c>
      <c r="AA45" s="64">
        <f>K45-'3. Overallcomprogres March(ref)'!K45</f>
        <v>0</v>
      </c>
      <c r="AB45" s="64">
        <f>L45-'3. Overallcomprogres March(ref)'!L45</f>
        <v>0</v>
      </c>
      <c r="AC45" s="64">
        <f>M45-'3. Overallcomprogres March(ref)'!M45</f>
        <v>2702</v>
      </c>
    </row>
    <row r="46" spans="1:29" s="64" customFormat="1" x14ac:dyDescent="0.2">
      <c r="A46" s="198"/>
      <c r="B46" s="67" t="s">
        <v>17</v>
      </c>
      <c r="C46" s="104">
        <f>SUM(C44:C45)</f>
        <v>21292</v>
      </c>
      <c r="D46" s="168">
        <f t="shared" ref="D46:L46" si="17">SUM(D44:D45)</f>
        <v>10275</v>
      </c>
      <c r="E46" s="168">
        <f t="shared" si="17"/>
        <v>9996</v>
      </c>
      <c r="F46" s="168">
        <f t="shared" si="17"/>
        <v>1388</v>
      </c>
      <c r="G46" s="168">
        <f t="shared" si="17"/>
        <v>20389</v>
      </c>
      <c r="H46" s="168">
        <f t="shared" si="17"/>
        <v>12010</v>
      </c>
      <c r="I46" s="168">
        <f t="shared" si="17"/>
        <v>8636</v>
      </c>
      <c r="J46" s="168">
        <f t="shared" si="17"/>
        <v>80</v>
      </c>
      <c r="K46" s="168">
        <f t="shared" si="17"/>
        <v>4461</v>
      </c>
      <c r="L46" s="168">
        <f t="shared" si="17"/>
        <v>2654</v>
      </c>
      <c r="M46" s="104">
        <f t="shared" ref="M46" si="18">SUM(M44:M45)</f>
        <v>91181</v>
      </c>
      <c r="N46" s="87">
        <f>M44/M46%</f>
        <v>46.097322907184612</v>
      </c>
      <c r="O46" s="69"/>
      <c r="R46" s="64" t="e">
        <f>G46-#REF!</f>
        <v>#REF!</v>
      </c>
      <c r="S46" s="64">
        <f>C46-'3. Overallcomprogres March(ref)'!C46</f>
        <v>0</v>
      </c>
      <c r="T46" s="64">
        <f>D46-'3. Overallcomprogres March(ref)'!D46</f>
        <v>0</v>
      </c>
      <c r="U46" s="64">
        <f>E46-'3. Overallcomprogres March(ref)'!E46</f>
        <v>0</v>
      </c>
      <c r="V46" s="64">
        <f>F46-'3. Overallcomprogres March(ref)'!F46</f>
        <v>0</v>
      </c>
      <c r="W46" s="64">
        <f>G46-'3. Overallcomprogres March(ref)'!G46</f>
        <v>2930</v>
      </c>
      <c r="X46" s="64">
        <f>H46-'3. Overallcomprogres March(ref)'!H46</f>
        <v>-649</v>
      </c>
      <c r="Y46" s="64">
        <f>I46-'3. Overallcomprogres March(ref)'!I46</f>
        <v>0</v>
      </c>
      <c r="Z46" s="64">
        <f>J46-'3. Overallcomprogres March(ref)'!J46</f>
        <v>0</v>
      </c>
      <c r="AA46" s="64">
        <f>K46-'3. Overallcomprogres March(ref)'!K46</f>
        <v>0</v>
      </c>
      <c r="AB46" s="64">
        <f>L46-'3. Overallcomprogres March(ref)'!L46</f>
        <v>0</v>
      </c>
      <c r="AC46" s="64">
        <f>M46-'3. Overallcomprogres March(ref)'!M46</f>
        <v>2281</v>
      </c>
    </row>
    <row r="47" spans="1:29" s="64" customFormat="1" x14ac:dyDescent="0.2">
      <c r="A47" s="209" t="s">
        <v>32</v>
      </c>
      <c r="B47" s="65" t="s">
        <v>19</v>
      </c>
      <c r="C47" s="167">
        <f>'3. Overallcomprogres March(ref)'!C47</f>
        <v>0</v>
      </c>
      <c r="D47" s="167">
        <f>'[4]2. Overall com progres June 13'!D47</f>
        <v>0</v>
      </c>
      <c r="E47" s="167">
        <f>'[2]2. Overall com progres June 13'!E47</f>
        <v>0</v>
      </c>
      <c r="F47" s="167">
        <f>'[5]2. Overall com progres June 13'!F47</f>
        <v>0</v>
      </c>
      <c r="G47" s="78">
        <v>22888</v>
      </c>
      <c r="H47" s="167">
        <f>'[9]2. Overall com progres Dec 12'!H47</f>
        <v>0</v>
      </c>
      <c r="I47" s="162">
        <f>'3. Overallcomprogres March(ref)'!I47</f>
        <v>0</v>
      </c>
      <c r="J47" s="167">
        <f>'[7]2. Overall com progres June 13'!J47</f>
        <v>0</v>
      </c>
      <c r="K47" s="167">
        <f>'[3]2. Overall com progres June 13'!K47</f>
        <v>55</v>
      </c>
      <c r="L47" s="137">
        <f>'[6]2. Overall com progres June 13'!L47</f>
        <v>0</v>
      </c>
      <c r="M47" s="78">
        <f>SUM(C47:L47)</f>
        <v>22943</v>
      </c>
      <c r="N47" s="86"/>
      <c r="O47" s="69"/>
      <c r="R47" s="64" t="e">
        <f>G47-#REF!</f>
        <v>#REF!</v>
      </c>
      <c r="S47" s="64">
        <f>C47-'3. Overallcomprogres March(ref)'!C47</f>
        <v>0</v>
      </c>
      <c r="T47" s="64">
        <f>D47-'3. Overallcomprogres March(ref)'!D47</f>
        <v>0</v>
      </c>
      <c r="U47" s="64">
        <f>E47-'3. Overallcomprogres March(ref)'!E47</f>
        <v>0</v>
      </c>
      <c r="V47" s="64">
        <f>F47-'3. Overallcomprogres March(ref)'!F47</f>
        <v>0</v>
      </c>
      <c r="W47" s="64">
        <f>G47-'3. Overallcomprogres March(ref)'!G47</f>
        <v>0</v>
      </c>
      <c r="X47" s="64">
        <f>H47-'3. Overallcomprogres March(ref)'!H47</f>
        <v>0</v>
      </c>
      <c r="Y47" s="64">
        <f>I47-'3. Overallcomprogres March(ref)'!I47</f>
        <v>0</v>
      </c>
      <c r="Z47" s="64">
        <f>J47-'3. Overallcomprogres March(ref)'!J47</f>
        <v>0</v>
      </c>
      <c r="AA47" s="64">
        <f>K47-'3. Overallcomprogres March(ref)'!K47</f>
        <v>0</v>
      </c>
      <c r="AB47" s="64">
        <f>L47-'3. Overallcomprogres March(ref)'!L47</f>
        <v>0</v>
      </c>
      <c r="AC47" s="64">
        <f>M47-'3. Overallcomprogres March(ref)'!M47</f>
        <v>0</v>
      </c>
    </row>
    <row r="48" spans="1:29" s="64" customFormat="1" x14ac:dyDescent="0.2">
      <c r="A48" s="209"/>
      <c r="B48" s="66" t="s">
        <v>20</v>
      </c>
      <c r="C48" s="167">
        <f>'3. Overallcomprogres March(ref)'!C48</f>
        <v>0</v>
      </c>
      <c r="D48" s="167">
        <f>'[4]2. Overall com progres June 13'!D48</f>
        <v>0</v>
      </c>
      <c r="E48" s="167">
        <f>'[2]2. Overall com progres June 13'!E48</f>
        <v>0</v>
      </c>
      <c r="F48" s="167">
        <f>'[5]2. Overall com progres June 13'!F48</f>
        <v>0</v>
      </c>
      <c r="G48" s="78">
        <v>2494</v>
      </c>
      <c r="H48" s="167">
        <f>'[9]2. Overall com progres Dec 12'!H48</f>
        <v>0</v>
      </c>
      <c r="I48" s="162">
        <f>'3. Overallcomprogres March(ref)'!I48</f>
        <v>0</v>
      </c>
      <c r="J48" s="167">
        <f>'[7]2. Overall com progres June 13'!J48</f>
        <v>0</v>
      </c>
      <c r="K48" s="167">
        <f>'[3]2. Overall com progres June 13'!K48</f>
        <v>38</v>
      </c>
      <c r="L48" s="137">
        <f>'[6]2. Overall com progres June 13'!L48</f>
        <v>0</v>
      </c>
      <c r="M48" s="78">
        <f>SUM(C48:L48)</f>
        <v>2532</v>
      </c>
      <c r="N48" s="86"/>
      <c r="O48" s="69"/>
      <c r="R48" s="64" t="e">
        <f>G48-#REF!</f>
        <v>#REF!</v>
      </c>
      <c r="S48" s="64">
        <f>C48-'3. Overallcomprogres March(ref)'!C48</f>
        <v>0</v>
      </c>
      <c r="T48" s="64">
        <f>D48-'3. Overallcomprogres March(ref)'!D48</f>
        <v>0</v>
      </c>
      <c r="U48" s="64">
        <f>E48-'3. Overallcomprogres March(ref)'!E48</f>
        <v>0</v>
      </c>
      <c r="V48" s="64">
        <f>F48-'3. Overallcomprogres March(ref)'!F48</f>
        <v>0</v>
      </c>
      <c r="W48" s="64">
        <f>G48-'3. Overallcomprogres March(ref)'!G48</f>
        <v>0</v>
      </c>
      <c r="X48" s="64">
        <f>H48-'3. Overallcomprogres March(ref)'!H48</f>
        <v>0</v>
      </c>
      <c r="Y48" s="64">
        <f>I48-'3. Overallcomprogres March(ref)'!I48</f>
        <v>0</v>
      </c>
      <c r="Z48" s="64">
        <f>J48-'3. Overallcomprogres March(ref)'!J48</f>
        <v>0</v>
      </c>
      <c r="AA48" s="64">
        <f>K48-'3. Overallcomprogres March(ref)'!K48</f>
        <v>0</v>
      </c>
      <c r="AB48" s="64">
        <f>L48-'3. Overallcomprogres March(ref)'!L48</f>
        <v>0</v>
      </c>
      <c r="AC48" s="64">
        <f>M48-'3. Overallcomprogres March(ref)'!M48</f>
        <v>0</v>
      </c>
    </row>
    <row r="49" spans="1:29" s="64" customFormat="1" x14ac:dyDescent="0.2">
      <c r="A49" s="209"/>
      <c r="B49" s="67" t="s">
        <v>17</v>
      </c>
      <c r="C49" s="104">
        <f>SUM(C47:C48)</f>
        <v>0</v>
      </c>
      <c r="D49" s="168">
        <f t="shared" ref="D49:L49" si="19">SUM(D47:D48)</f>
        <v>0</v>
      </c>
      <c r="E49" s="168">
        <f t="shared" si="19"/>
        <v>0</v>
      </c>
      <c r="F49" s="168">
        <f t="shared" si="19"/>
        <v>0</v>
      </c>
      <c r="G49" s="168">
        <f t="shared" si="19"/>
        <v>25382</v>
      </c>
      <c r="H49" s="168">
        <f t="shared" si="19"/>
        <v>0</v>
      </c>
      <c r="I49" s="168">
        <f t="shared" si="19"/>
        <v>0</v>
      </c>
      <c r="J49" s="168">
        <f t="shared" si="19"/>
        <v>0</v>
      </c>
      <c r="K49" s="168">
        <f t="shared" si="19"/>
        <v>93</v>
      </c>
      <c r="L49" s="168">
        <f t="shared" si="19"/>
        <v>0</v>
      </c>
      <c r="M49" s="104">
        <f t="shared" ref="M49" si="20">SUM(M47:M48)</f>
        <v>25475</v>
      </c>
      <c r="N49" s="86"/>
      <c r="O49" s="69"/>
      <c r="R49" s="64" t="e">
        <f>G49-#REF!</f>
        <v>#REF!</v>
      </c>
      <c r="S49" s="64">
        <f>C49-'3. Overallcomprogres March(ref)'!C49</f>
        <v>0</v>
      </c>
      <c r="T49" s="64">
        <f>D49-'3. Overallcomprogres March(ref)'!D49</f>
        <v>0</v>
      </c>
      <c r="U49" s="64">
        <f>E49-'3. Overallcomprogres March(ref)'!E49</f>
        <v>0</v>
      </c>
      <c r="V49" s="64">
        <f>F49-'3. Overallcomprogres March(ref)'!F49</f>
        <v>0</v>
      </c>
      <c r="W49" s="64">
        <f>G49-'3. Overallcomprogres March(ref)'!G49</f>
        <v>0</v>
      </c>
      <c r="X49" s="64">
        <f>H49-'3. Overallcomprogres March(ref)'!H49</f>
        <v>0</v>
      </c>
      <c r="Y49" s="64">
        <f>I49-'3. Overallcomprogres March(ref)'!I49</f>
        <v>0</v>
      </c>
      <c r="Z49" s="64">
        <f>J49-'3. Overallcomprogres March(ref)'!J49</f>
        <v>0</v>
      </c>
      <c r="AA49" s="64">
        <f>K49-'3. Overallcomprogres March(ref)'!K49</f>
        <v>0</v>
      </c>
      <c r="AB49" s="64">
        <f>L49-'3. Overallcomprogres March(ref)'!L49</f>
        <v>0</v>
      </c>
      <c r="AC49" s="64">
        <f>M49-'3. Overallcomprogres March(ref)'!M49</f>
        <v>0</v>
      </c>
    </row>
    <row r="50" spans="1:29" s="64" customFormat="1" x14ac:dyDescent="0.2">
      <c r="A50" s="198" t="s">
        <v>219</v>
      </c>
      <c r="B50" s="65" t="s">
        <v>19</v>
      </c>
      <c r="C50" s="167">
        <f>'3. Overallcomprogres March(ref)'!C50</f>
        <v>31</v>
      </c>
      <c r="D50" s="167">
        <f>'[4]2. Overall com progres June 13'!D50</f>
        <v>1243</v>
      </c>
      <c r="E50" s="167">
        <f>'[2]2. Overall com progres June 13'!E50</f>
        <v>1688</v>
      </c>
      <c r="F50" s="167">
        <f>'[5]2. Overall com progres June 13'!F50</f>
        <v>95</v>
      </c>
      <c r="G50" s="78">
        <v>3153</v>
      </c>
      <c r="H50" s="167">
        <f>'[9]2. Overall com progres Dec 12'!H50</f>
        <v>8442</v>
      </c>
      <c r="I50" s="162">
        <v>410</v>
      </c>
      <c r="J50" s="167">
        <f>'[7]2. Overall com progres June 13'!J50</f>
        <v>4777</v>
      </c>
      <c r="K50" s="167">
        <f>'[3]2. Overall com progres June 13'!K50</f>
        <v>1066</v>
      </c>
      <c r="L50" s="137">
        <f>'[6]2. Overall com progres June 13'!L50</f>
        <v>867</v>
      </c>
      <c r="M50" s="78">
        <f>SUM(C50:L50)</f>
        <v>21772</v>
      </c>
      <c r="N50" s="86"/>
      <c r="O50" s="69"/>
      <c r="R50" s="64" t="e">
        <f>G50-#REF!</f>
        <v>#REF!</v>
      </c>
      <c r="S50" s="64">
        <f>C50-'3. Overallcomprogres March(ref)'!C50</f>
        <v>0</v>
      </c>
      <c r="T50" s="64">
        <f>D50-'3. Overallcomprogres March(ref)'!D50</f>
        <v>0</v>
      </c>
      <c r="U50" s="64">
        <f>E50-'3. Overallcomprogres March(ref)'!E50</f>
        <v>180</v>
      </c>
      <c r="V50" s="64">
        <f>F50-'3. Overallcomprogres March(ref)'!F50</f>
        <v>0</v>
      </c>
      <c r="W50" s="64">
        <f>G50-'3. Overallcomprogres March(ref)'!G50</f>
        <v>0</v>
      </c>
      <c r="X50" s="64">
        <f>H50-'3. Overallcomprogres March(ref)'!H50</f>
        <v>0</v>
      </c>
      <c r="Y50" s="64">
        <f>I50-'3. Overallcomprogres March(ref)'!I50</f>
        <v>410</v>
      </c>
      <c r="Z50" s="64">
        <f>J50-'3. Overallcomprogres March(ref)'!J50</f>
        <v>0</v>
      </c>
      <c r="AA50" s="64">
        <f>K50-'3. Overallcomprogres March(ref)'!K50</f>
        <v>0</v>
      </c>
      <c r="AB50" s="64">
        <f>L50-'3. Overallcomprogres March(ref)'!L50</f>
        <v>0</v>
      </c>
      <c r="AC50" s="64">
        <f>M50-'3. Overallcomprogres March(ref)'!M50</f>
        <v>590</v>
      </c>
    </row>
    <row r="51" spans="1:29" s="64" customFormat="1" x14ac:dyDescent="0.2">
      <c r="A51" s="198"/>
      <c r="B51" s="66" t="s">
        <v>20</v>
      </c>
      <c r="C51" s="167">
        <f>'3. Overallcomprogres March(ref)'!C51</f>
        <v>0</v>
      </c>
      <c r="D51" s="167">
        <f>'[4]2. Overall com progres June 13'!D51</f>
        <v>0</v>
      </c>
      <c r="E51" s="167">
        <f>'[2]2. Overall com progres June 13'!E51</f>
        <v>0</v>
      </c>
      <c r="F51" s="167">
        <f>'[5]2. Overall com progres June 13'!F51</f>
        <v>0</v>
      </c>
      <c r="G51" s="78">
        <v>0</v>
      </c>
      <c r="H51" s="167">
        <f>'[9]2. Overall com progres Dec 12'!H51</f>
        <v>1770</v>
      </c>
      <c r="I51" s="162">
        <f>'3. Overallcomprogres March(ref)'!I51</f>
        <v>0</v>
      </c>
      <c r="J51" s="167">
        <f>'[7]2. Overall com progres June 13'!J51</f>
        <v>0</v>
      </c>
      <c r="K51" s="167">
        <f>'[3]2. Overall com progres June 13'!K51</f>
        <v>467</v>
      </c>
      <c r="L51" s="137">
        <f>'[6]2. Overall com progres June 13'!L51</f>
        <v>675</v>
      </c>
      <c r="M51" s="78">
        <f>SUM(C51:L51)</f>
        <v>2912</v>
      </c>
      <c r="N51" s="86"/>
      <c r="O51" s="69"/>
      <c r="R51" s="64" t="e">
        <f>G51-#REF!</f>
        <v>#REF!</v>
      </c>
      <c r="S51" s="64">
        <f>C51-'3. Overallcomprogres March(ref)'!C51</f>
        <v>0</v>
      </c>
      <c r="T51" s="64">
        <f>D51-'3. Overallcomprogres March(ref)'!D51</f>
        <v>0</v>
      </c>
      <c r="U51" s="64">
        <f>E51-'3. Overallcomprogres March(ref)'!E51</f>
        <v>0</v>
      </c>
      <c r="V51" s="64">
        <f>F51-'3. Overallcomprogres March(ref)'!F51</f>
        <v>0</v>
      </c>
      <c r="W51" s="64">
        <f>G51-'3. Overallcomprogres March(ref)'!G51</f>
        <v>0</v>
      </c>
      <c r="X51" s="64">
        <f>H51-'3. Overallcomprogres March(ref)'!H51</f>
        <v>0</v>
      </c>
      <c r="Y51" s="64">
        <f>I51-'3. Overallcomprogres March(ref)'!I51</f>
        <v>0</v>
      </c>
      <c r="Z51" s="64">
        <f>J51-'3. Overallcomprogres March(ref)'!J51</f>
        <v>0</v>
      </c>
      <c r="AA51" s="64">
        <f>K51-'3. Overallcomprogres March(ref)'!K51</f>
        <v>0</v>
      </c>
      <c r="AB51" s="64">
        <f>L51-'3. Overallcomprogres March(ref)'!L51</f>
        <v>0</v>
      </c>
      <c r="AC51" s="64">
        <f>M51-'3. Overallcomprogres March(ref)'!M51</f>
        <v>0</v>
      </c>
    </row>
    <row r="52" spans="1:29" s="64" customFormat="1" ht="13.5" thickBot="1" x14ac:dyDescent="0.25">
      <c r="A52" s="199"/>
      <c r="B52" s="74" t="s">
        <v>17</v>
      </c>
      <c r="C52" s="168">
        <f t="shared" ref="C52:L52" si="21">SUM(C50:C51)</f>
        <v>31</v>
      </c>
      <c r="D52" s="168">
        <f t="shared" si="21"/>
        <v>1243</v>
      </c>
      <c r="E52" s="168">
        <f t="shared" si="21"/>
        <v>1688</v>
      </c>
      <c r="F52" s="168">
        <f t="shared" si="21"/>
        <v>95</v>
      </c>
      <c r="G52" s="168">
        <f t="shared" si="21"/>
        <v>3153</v>
      </c>
      <c r="H52" s="168">
        <f t="shared" si="21"/>
        <v>10212</v>
      </c>
      <c r="I52" s="168">
        <f t="shared" si="21"/>
        <v>410</v>
      </c>
      <c r="J52" s="168">
        <f t="shared" si="21"/>
        <v>4777</v>
      </c>
      <c r="K52" s="168">
        <f t="shared" si="21"/>
        <v>1533</v>
      </c>
      <c r="L52" s="168">
        <f t="shared" si="21"/>
        <v>1542</v>
      </c>
      <c r="M52" s="104">
        <f t="shared" ref="M52" si="22">SUM(M50:M51)</f>
        <v>24684</v>
      </c>
      <c r="N52" s="86"/>
      <c r="O52" s="69"/>
      <c r="R52" s="64" t="e">
        <f>G52-#REF!</f>
        <v>#REF!</v>
      </c>
      <c r="S52" s="64">
        <f>C52-'3. Overallcomprogres March(ref)'!C52</f>
        <v>0</v>
      </c>
      <c r="T52" s="64">
        <f>D52-'3. Overallcomprogres March(ref)'!D52</f>
        <v>0</v>
      </c>
      <c r="U52" s="64">
        <f>E52-'3. Overallcomprogres March(ref)'!E52</f>
        <v>180</v>
      </c>
      <c r="V52" s="64">
        <f>F52-'3. Overallcomprogres March(ref)'!F52</f>
        <v>0</v>
      </c>
      <c r="W52" s="64">
        <f>G52-'3. Overallcomprogres March(ref)'!G52</f>
        <v>0</v>
      </c>
      <c r="X52" s="64">
        <f>H52-'3. Overallcomprogres March(ref)'!H52</f>
        <v>0</v>
      </c>
      <c r="Y52" s="64">
        <f>I52-'3. Overallcomprogres March(ref)'!I52</f>
        <v>410</v>
      </c>
      <c r="Z52" s="64">
        <f>J52-'3. Overallcomprogres March(ref)'!J52</f>
        <v>0</v>
      </c>
      <c r="AA52" s="64">
        <f>K52-'3. Overallcomprogres March(ref)'!K52</f>
        <v>0</v>
      </c>
      <c r="AB52" s="64">
        <f>L52-'3. Overallcomprogres March(ref)'!L52</f>
        <v>0</v>
      </c>
      <c r="AC52" s="64">
        <f>M52-'3. Overallcomprogres March(ref)'!M52</f>
        <v>590</v>
      </c>
    </row>
    <row r="53" spans="1:29" x14ac:dyDescent="0.2">
      <c r="A53" s="75" t="s">
        <v>260</v>
      </c>
      <c r="E53" s="103"/>
      <c r="G53" s="135"/>
      <c r="H53" s="123"/>
      <c r="I53" s="162"/>
      <c r="K53" s="167"/>
      <c r="L53" s="137"/>
      <c r="R53" s="64" t="e">
        <f>G53-#REF!</f>
        <v>#REF!</v>
      </c>
      <c r="S53" s="64"/>
    </row>
    <row r="54" spans="1:29" x14ac:dyDescent="0.2">
      <c r="A54" s="75" t="s">
        <v>269</v>
      </c>
      <c r="E54" s="103"/>
      <c r="G54" s="75"/>
      <c r="H54" s="123"/>
      <c r="S54" s="64"/>
    </row>
    <row r="55" spans="1:29" x14ac:dyDescent="0.2">
      <c r="E55" s="103"/>
      <c r="S55" s="64"/>
    </row>
    <row r="56" spans="1:29" x14ac:dyDescent="0.2">
      <c r="E56" s="103"/>
    </row>
    <row r="57" spans="1:29" x14ac:dyDescent="0.2">
      <c r="E57" s="167"/>
    </row>
  </sheetData>
  <mergeCells count="24">
    <mergeCell ref="A2:B2"/>
    <mergeCell ref="A4:B4"/>
    <mergeCell ref="A5:B5"/>
    <mergeCell ref="A6:B6"/>
    <mergeCell ref="A47:A49"/>
    <mergeCell ref="A40:B40"/>
    <mergeCell ref="A42:B42"/>
    <mergeCell ref="A37:B37"/>
    <mergeCell ref="A38:B38"/>
    <mergeCell ref="A7:B7"/>
    <mergeCell ref="A12:A14"/>
    <mergeCell ref="A15:A17"/>
    <mergeCell ref="A18:A20"/>
    <mergeCell ref="A8:A11"/>
    <mergeCell ref="A39:B39"/>
    <mergeCell ref="A28:A30"/>
    <mergeCell ref="A21:A24"/>
    <mergeCell ref="A31:A33"/>
    <mergeCell ref="A25:A27"/>
    <mergeCell ref="A50:A52"/>
    <mergeCell ref="A34:A36"/>
    <mergeCell ref="A41:B41"/>
    <mergeCell ref="A43:B43"/>
    <mergeCell ref="A44:A46"/>
  </mergeCells>
  <phoneticPr fontId="32" type="noConversion"/>
  <printOptions horizontalCentered="1" verticalCentered="1"/>
  <pageMargins left="0.2" right="0.21" top="0.2" bottom="0.16" header="0.17" footer="0.16"/>
  <pageSetup paperSize="9" scale="7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R57"/>
  <sheetViews>
    <sheetView view="pageBreakPreview" zoomScaleSheetLayoutView="10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H5" sqref="H5"/>
    </sheetView>
  </sheetViews>
  <sheetFormatPr defaultRowHeight="12.75" x14ac:dyDescent="0.2"/>
  <cols>
    <col min="1" max="1" width="30" style="75" customWidth="1"/>
    <col min="2" max="2" width="21.7109375" style="75" customWidth="1"/>
    <col min="3" max="3" width="9.7109375" style="75" bestFit="1" customWidth="1"/>
    <col min="4" max="4" width="10.7109375" style="61" bestFit="1" customWidth="1"/>
    <col min="5" max="5" width="10.7109375" style="170" bestFit="1" customWidth="1"/>
    <col min="6" max="6" width="12.7109375" style="61" customWidth="1"/>
    <col min="7" max="7" width="12.140625" style="61" bestFit="1" customWidth="1"/>
    <col min="8" max="8" width="14.7109375" style="61" customWidth="1"/>
    <col min="9" max="9" width="9.7109375" style="61" bestFit="1" customWidth="1"/>
    <col min="10" max="10" width="10.7109375" style="61" customWidth="1"/>
    <col min="11" max="11" width="12.140625" style="61" bestFit="1" customWidth="1"/>
    <col min="12" max="12" width="10.7109375" style="61" bestFit="1" customWidth="1"/>
    <col min="13" max="13" width="12.140625" style="61" bestFit="1" customWidth="1"/>
    <col min="14" max="14" width="10" style="61" bestFit="1" customWidth="1"/>
    <col min="15" max="15" width="13.140625" style="61" bestFit="1" customWidth="1"/>
    <col min="16" max="16" width="12.42578125" style="61" bestFit="1" customWidth="1"/>
    <col min="17" max="17" width="9.140625" style="61"/>
    <col min="18" max="18" width="12.85546875" style="61" customWidth="1"/>
    <col min="19" max="16384" width="9.140625" style="61"/>
  </cols>
  <sheetData>
    <row r="1" spans="1:18" ht="13.5" thickBot="1" x14ac:dyDescent="0.25">
      <c r="A1" s="125" t="s">
        <v>275</v>
      </c>
      <c r="B1" s="61"/>
      <c r="C1" s="61"/>
      <c r="D1" s="76"/>
      <c r="E1" s="172"/>
      <c r="F1" s="76"/>
      <c r="G1" s="60"/>
      <c r="H1" s="60"/>
      <c r="I1" s="76"/>
      <c r="J1" s="76"/>
      <c r="K1" s="76"/>
      <c r="L1" s="76"/>
    </row>
    <row r="2" spans="1:18" s="77" customFormat="1" x14ac:dyDescent="0.2">
      <c r="A2" s="205" t="s">
        <v>0</v>
      </c>
      <c r="B2" s="206"/>
      <c r="C2" s="178" t="s">
        <v>1</v>
      </c>
      <c r="D2" s="178" t="s">
        <v>2</v>
      </c>
      <c r="E2" s="178" t="s">
        <v>3</v>
      </c>
      <c r="F2" s="178" t="s">
        <v>4</v>
      </c>
      <c r="G2" s="169" t="s">
        <v>5</v>
      </c>
      <c r="H2" s="178" t="s">
        <v>6</v>
      </c>
      <c r="I2" s="178" t="s">
        <v>7</v>
      </c>
      <c r="J2" s="178" t="s">
        <v>8</v>
      </c>
      <c r="K2" s="178" t="s">
        <v>9</v>
      </c>
      <c r="L2" s="178" t="s">
        <v>10</v>
      </c>
      <c r="M2" s="79" t="s">
        <v>17</v>
      </c>
    </row>
    <row r="3" spans="1:18" ht="9.75" customHeight="1" x14ac:dyDescent="0.2">
      <c r="A3" s="62"/>
      <c r="B3" s="63"/>
      <c r="C3" s="63"/>
      <c r="D3" s="103"/>
      <c r="E3" s="103"/>
      <c r="F3" s="103"/>
      <c r="G3" s="103"/>
      <c r="H3" s="103"/>
      <c r="I3" s="103"/>
      <c r="J3" s="103"/>
      <c r="K3" s="103"/>
      <c r="L3" s="103"/>
      <c r="M3" s="103"/>
    </row>
    <row r="4" spans="1:18" s="64" customFormat="1" x14ac:dyDescent="0.2">
      <c r="A4" s="207" t="s">
        <v>243</v>
      </c>
      <c r="B4" s="207"/>
      <c r="C4" s="167">
        <f>'1.RSP Districts '!A204</f>
        <v>8</v>
      </c>
      <c r="D4" s="167">
        <f>'1.RSP Districts '!A205</f>
        <v>7</v>
      </c>
      <c r="E4" s="167">
        <f>'1.RSP Districts '!A206</f>
        <v>14</v>
      </c>
      <c r="F4" s="167">
        <f>'1.RSP Districts '!A207</f>
        <v>3</v>
      </c>
      <c r="G4" s="167">
        <f>'1.RSP Districts '!A208</f>
        <v>51</v>
      </c>
      <c r="H4" s="167">
        <f>'1.RSP Districts '!A209</f>
        <v>21</v>
      </c>
      <c r="I4" s="167">
        <f>'1.RSP Districts '!A210</f>
        <v>1</v>
      </c>
      <c r="J4" s="167">
        <f>'1.RSP Districts '!A211</f>
        <v>9</v>
      </c>
      <c r="K4" s="167">
        <f>'1.RSP Districts '!A212</f>
        <v>23</v>
      </c>
      <c r="L4" s="167">
        <f>'1.RSP Districts '!A213</f>
        <v>4</v>
      </c>
      <c r="M4" s="167">
        <f>SUM(C4:L4)-24</f>
        <v>117</v>
      </c>
      <c r="N4" s="86"/>
      <c r="O4" s="69"/>
      <c r="R4" s="64" t="e">
        <f>G4-#REF!</f>
        <v>#REF!</v>
      </c>
    </row>
    <row r="5" spans="1:18" s="64" customFormat="1" x14ac:dyDescent="0.2">
      <c r="A5" s="208" t="s">
        <v>11</v>
      </c>
      <c r="B5" s="207"/>
      <c r="C5" s="167">
        <f>'1.RSP Districts '!E204</f>
        <v>136</v>
      </c>
      <c r="D5" s="144">
        <f>'1.RSP Districts '!E205</f>
        <v>118</v>
      </c>
      <c r="E5" s="173">
        <f>'1.RSP Districts '!E206</f>
        <v>204</v>
      </c>
      <c r="F5" s="167">
        <f>'1.RSP Districts '!E207</f>
        <v>22</v>
      </c>
      <c r="G5" s="144">
        <f>'1.RSP Districts '!E208</f>
        <v>1980</v>
      </c>
      <c r="H5" s="137">
        <f>'1.RSP Districts '!E209</f>
        <v>701</v>
      </c>
      <c r="I5" s="144">
        <f>'1.RSP Districts '!E210</f>
        <v>13</v>
      </c>
      <c r="J5" s="144">
        <f>'1.RSP Districts '!E211</f>
        <v>338</v>
      </c>
      <c r="K5" s="144">
        <f>'1.RSP Districts '!E212</f>
        <v>528</v>
      </c>
      <c r="L5" s="144">
        <f>'1.RSP Districts '!E213</f>
        <v>113</v>
      </c>
      <c r="M5" s="167">
        <f>SUM(C5:L5)-534</f>
        <v>3619</v>
      </c>
      <c r="N5" s="86"/>
      <c r="O5" s="69"/>
      <c r="R5" s="64" t="e">
        <f>G5-#REF!</f>
        <v>#REF!</v>
      </c>
    </row>
    <row r="6" spans="1:18" s="64" customFormat="1" x14ac:dyDescent="0.2">
      <c r="A6" s="208" t="s">
        <v>217</v>
      </c>
      <c r="B6" s="207"/>
      <c r="C6" s="167">
        <f>'1.RSP Districts '!L204</f>
        <v>102320</v>
      </c>
      <c r="D6" s="167">
        <f>'1.RSP Districts '!L205</f>
        <v>110695</v>
      </c>
      <c r="E6" s="167">
        <f>'1.RSP Districts '!L206</f>
        <v>188824</v>
      </c>
      <c r="F6" s="167">
        <f>'1.RSP Districts '!L207</f>
        <v>34662</v>
      </c>
      <c r="G6" s="167">
        <f>'1.RSP Districts '!L208</f>
        <v>2288825</v>
      </c>
      <c r="H6" s="167">
        <f>'1.RSP Districts '!L209</f>
        <v>1150843</v>
      </c>
      <c r="I6" s="167">
        <f>'1.RSP Districts '!L210</f>
        <v>16500</v>
      </c>
      <c r="J6" s="167">
        <f>'1.RSP Districts '!L211</f>
        <v>591729</v>
      </c>
      <c r="K6" s="167">
        <f>'1.RSP Districts '!L212</f>
        <v>642268</v>
      </c>
      <c r="L6" s="167">
        <f>'1.RSP Districts '!L213</f>
        <v>266483</v>
      </c>
      <c r="M6" s="167">
        <f>SUM(C6:L6)</f>
        <v>5393149</v>
      </c>
      <c r="N6" s="87">
        <f>M6/1000000</f>
        <v>5.3931490000000002</v>
      </c>
      <c r="O6" s="68">
        <f>N6*6.5</f>
        <v>35.055468500000003</v>
      </c>
      <c r="P6" s="64">
        <f>200+90+160+54</f>
        <v>504</v>
      </c>
      <c r="R6" s="64" t="e">
        <f>G6-#REF!</f>
        <v>#REF!</v>
      </c>
    </row>
    <row r="7" spans="1:18" s="64" customFormat="1" x14ac:dyDescent="0.2">
      <c r="A7" s="208" t="s">
        <v>12</v>
      </c>
      <c r="B7" s="207"/>
      <c r="C7" s="167">
        <v>33</v>
      </c>
      <c r="D7" s="167">
        <v>58</v>
      </c>
      <c r="E7" s="167">
        <v>40</v>
      </c>
      <c r="F7" s="167">
        <v>8</v>
      </c>
      <c r="G7" s="167">
        <f>495-C7</f>
        <v>462</v>
      </c>
      <c r="H7" s="167">
        <v>29</v>
      </c>
      <c r="I7" s="64">
        <v>1</v>
      </c>
      <c r="J7" s="167">
        <v>90</v>
      </c>
      <c r="K7" s="167">
        <v>66</v>
      </c>
      <c r="L7" s="137">
        <v>17</v>
      </c>
      <c r="M7" s="167">
        <f>SUM(C7:L7)</f>
        <v>804</v>
      </c>
      <c r="N7" s="86"/>
      <c r="O7" s="69"/>
      <c r="P7" s="64">
        <f>266298-265794</f>
        <v>504</v>
      </c>
      <c r="R7" s="64" t="e">
        <f>G7-#REF!</f>
        <v>#REF!</v>
      </c>
    </row>
    <row r="8" spans="1:18" s="64" customFormat="1" x14ac:dyDescent="0.2">
      <c r="A8" s="198" t="s">
        <v>13</v>
      </c>
      <c r="B8" s="114" t="s">
        <v>14</v>
      </c>
      <c r="C8" s="167">
        <v>1577</v>
      </c>
      <c r="D8" s="167">
        <v>2018</v>
      </c>
      <c r="E8" s="167">
        <v>3402</v>
      </c>
      <c r="F8" s="167">
        <v>1576</v>
      </c>
      <c r="G8" s="167">
        <v>70382</v>
      </c>
      <c r="H8" s="167">
        <v>27716</v>
      </c>
      <c r="I8" s="162">
        <v>410</v>
      </c>
      <c r="J8" s="167">
        <v>32862</v>
      </c>
      <c r="K8" s="167">
        <f>8860-80</f>
        <v>8780</v>
      </c>
      <c r="L8" s="137">
        <v>8536</v>
      </c>
      <c r="M8" s="167">
        <f>SUM(C8:L8)</f>
        <v>157259</v>
      </c>
      <c r="N8" s="87">
        <f>M8/M11%</f>
        <v>48.937898327026488</v>
      </c>
      <c r="O8" s="69"/>
      <c r="P8" s="64" t="s">
        <v>270</v>
      </c>
      <c r="R8" s="64" t="e">
        <f>G8-#REF!</f>
        <v>#REF!</v>
      </c>
    </row>
    <row r="9" spans="1:18" s="64" customFormat="1" x14ac:dyDescent="0.2">
      <c r="A9" s="198"/>
      <c r="B9" s="115" t="s">
        <v>15</v>
      </c>
      <c r="C9" s="167">
        <v>2138</v>
      </c>
      <c r="D9" s="167">
        <v>2703</v>
      </c>
      <c r="E9" s="167">
        <v>7904</v>
      </c>
      <c r="F9" s="167">
        <v>1318</v>
      </c>
      <c r="G9" s="167">
        <v>70666</v>
      </c>
      <c r="H9" s="167">
        <v>39980</v>
      </c>
      <c r="I9" s="162">
        <v>450</v>
      </c>
      <c r="J9" s="167">
        <v>4159</v>
      </c>
      <c r="K9" s="167">
        <f>17523-52</f>
        <v>17471</v>
      </c>
      <c r="L9" s="137">
        <v>5698</v>
      </c>
      <c r="M9" s="167">
        <f>SUM(C9:L9)</f>
        <v>152487</v>
      </c>
      <c r="N9" s="86"/>
      <c r="O9" s="69"/>
      <c r="P9" s="64">
        <v>19</v>
      </c>
      <c r="Q9" s="64">
        <f>P9*18</f>
        <v>342</v>
      </c>
      <c r="R9" s="64" t="e">
        <f>G9-#REF!</f>
        <v>#REF!</v>
      </c>
    </row>
    <row r="10" spans="1:18" s="64" customFormat="1" x14ac:dyDescent="0.2">
      <c r="A10" s="198"/>
      <c r="B10" s="115" t="s">
        <v>16</v>
      </c>
      <c r="C10" s="167">
        <v>1035</v>
      </c>
      <c r="D10" s="167">
        <v>0</v>
      </c>
      <c r="E10" s="167">
        <v>54</v>
      </c>
      <c r="F10" s="167">
        <v>0</v>
      </c>
      <c r="G10" s="167">
        <v>8498</v>
      </c>
      <c r="H10" s="167">
        <v>0</v>
      </c>
      <c r="I10" s="162">
        <v>0</v>
      </c>
      <c r="J10" s="167">
        <v>40</v>
      </c>
      <c r="K10" s="167"/>
      <c r="L10" s="137">
        <v>1971</v>
      </c>
      <c r="M10" s="167">
        <f>SUM(C10:L10)</f>
        <v>11598</v>
      </c>
      <c r="N10" s="86"/>
      <c r="O10" s="69"/>
      <c r="P10" s="64">
        <v>6</v>
      </c>
      <c r="Q10" s="64">
        <v>120</v>
      </c>
      <c r="R10" s="64" t="e">
        <f>G10-#REF!</f>
        <v>#REF!</v>
      </c>
    </row>
    <row r="11" spans="1:18" s="64" customFormat="1" x14ac:dyDescent="0.2">
      <c r="A11" s="198"/>
      <c r="B11" s="116" t="s">
        <v>17</v>
      </c>
      <c r="C11" s="168">
        <f>SUM(C8:C10)</f>
        <v>4750</v>
      </c>
      <c r="D11" s="168">
        <f t="shared" ref="D11:L11" si="0">SUM(D8:D10)</f>
        <v>4721</v>
      </c>
      <c r="E11" s="168">
        <f t="shared" si="0"/>
        <v>11360</v>
      </c>
      <c r="F11" s="168">
        <f t="shared" si="0"/>
        <v>2894</v>
      </c>
      <c r="G11" s="168">
        <f t="shared" si="0"/>
        <v>149546</v>
      </c>
      <c r="H11" s="168">
        <f t="shared" si="0"/>
        <v>67696</v>
      </c>
      <c r="I11" s="168">
        <f t="shared" si="0"/>
        <v>860</v>
      </c>
      <c r="J11" s="168">
        <f t="shared" si="0"/>
        <v>37061</v>
      </c>
      <c r="K11" s="168">
        <f t="shared" si="0"/>
        <v>26251</v>
      </c>
      <c r="L11" s="168">
        <f t="shared" si="0"/>
        <v>16205</v>
      </c>
      <c r="M11" s="168">
        <f>SUM(M8:M10)</f>
        <v>321344</v>
      </c>
      <c r="N11" s="86"/>
      <c r="O11" s="69">
        <f>L11-16178</f>
        <v>27</v>
      </c>
      <c r="P11" s="64">
        <v>2</v>
      </c>
      <c r="Q11" s="64">
        <v>40</v>
      </c>
      <c r="R11" s="64" t="e">
        <f>G11-#REF!</f>
        <v>#REF!</v>
      </c>
    </row>
    <row r="12" spans="1:18" s="64" customFormat="1" x14ac:dyDescent="0.2">
      <c r="A12" s="216" t="s">
        <v>18</v>
      </c>
      <c r="B12" s="114" t="s">
        <v>19</v>
      </c>
      <c r="C12" s="167">
        <v>44063</v>
      </c>
      <c r="D12" s="167">
        <v>68007</v>
      </c>
      <c r="E12" s="167">
        <v>56897</v>
      </c>
      <c r="F12" s="167">
        <v>26647</v>
      </c>
      <c r="G12" s="167">
        <v>1236737</v>
      </c>
      <c r="H12" s="167">
        <v>452179</v>
      </c>
      <c r="I12" s="162">
        <v>10845</v>
      </c>
      <c r="J12" s="167">
        <v>552998</v>
      </c>
      <c r="K12" s="167">
        <v>206509</v>
      </c>
      <c r="L12" s="137">
        <v>175773</v>
      </c>
      <c r="M12" s="167">
        <f>SUM(C12:L12)</f>
        <v>2830655</v>
      </c>
      <c r="N12" s="120">
        <f>M12/M14%</f>
        <v>51.665130456208878</v>
      </c>
      <c r="O12" s="69"/>
      <c r="Q12" s="64">
        <f>SUM(Q9:Q11)</f>
        <v>502</v>
      </c>
      <c r="R12" s="64" t="e">
        <f>G12-#REF!</f>
        <v>#REF!</v>
      </c>
    </row>
    <row r="13" spans="1:18" s="64" customFormat="1" x14ac:dyDescent="0.2">
      <c r="A13" s="216"/>
      <c r="B13" s="115" t="s">
        <v>20</v>
      </c>
      <c r="C13" s="167">
        <v>58257</v>
      </c>
      <c r="D13" s="167">
        <v>108247</v>
      </c>
      <c r="E13" s="167">
        <v>130177</v>
      </c>
      <c r="F13" s="167">
        <v>24709</v>
      </c>
      <c r="G13" s="167">
        <v>1021852</v>
      </c>
      <c r="H13" s="167">
        <v>685173</v>
      </c>
      <c r="I13" s="162">
        <v>11348</v>
      </c>
      <c r="J13" s="167">
        <v>38662</v>
      </c>
      <c r="K13" s="167">
        <v>430818</v>
      </c>
      <c r="L13" s="137">
        <v>138952</v>
      </c>
      <c r="M13" s="167">
        <f>SUM(C13:L13)</f>
        <v>2648195</v>
      </c>
      <c r="N13" s="86"/>
      <c r="O13" s="69"/>
      <c r="R13" s="64" t="e">
        <f>G13-#REF!</f>
        <v>#REF!</v>
      </c>
    </row>
    <row r="14" spans="1:18" s="64" customFormat="1" x14ac:dyDescent="0.2">
      <c r="A14" s="216"/>
      <c r="B14" s="117" t="s">
        <v>17</v>
      </c>
      <c r="C14" s="168">
        <f>SUM(C12:C13)</f>
        <v>102320</v>
      </c>
      <c r="D14" s="168">
        <f t="shared" ref="D14:M14" si="1">SUM(D12:D13)</f>
        <v>176254</v>
      </c>
      <c r="E14" s="168">
        <f t="shared" si="1"/>
        <v>187074</v>
      </c>
      <c r="F14" s="168">
        <f t="shared" si="1"/>
        <v>51356</v>
      </c>
      <c r="G14" s="168">
        <f t="shared" si="1"/>
        <v>2258589</v>
      </c>
      <c r="H14" s="168">
        <f t="shared" si="1"/>
        <v>1137352</v>
      </c>
      <c r="I14" s="168">
        <f t="shared" si="1"/>
        <v>22193</v>
      </c>
      <c r="J14" s="168">
        <f t="shared" si="1"/>
        <v>591660</v>
      </c>
      <c r="K14" s="168">
        <f t="shared" si="1"/>
        <v>637327</v>
      </c>
      <c r="L14" s="168">
        <f t="shared" si="1"/>
        <v>314725</v>
      </c>
      <c r="M14" s="168">
        <f t="shared" si="1"/>
        <v>5478850</v>
      </c>
      <c r="N14" s="87">
        <f>M14/1000000</f>
        <v>5.4788500000000004</v>
      </c>
      <c r="O14" s="69">
        <f>L14-314221</f>
        <v>504</v>
      </c>
      <c r="R14" s="64" t="e">
        <f>G14-#REF!</f>
        <v>#REF!</v>
      </c>
    </row>
    <row r="15" spans="1:18" s="68" customFormat="1" x14ac:dyDescent="0.2">
      <c r="A15" s="217" t="s">
        <v>246</v>
      </c>
      <c r="B15" s="118" t="s">
        <v>19</v>
      </c>
      <c r="C15" s="167">
        <v>24.064</v>
      </c>
      <c r="D15" s="167">
        <v>129.43899999999999</v>
      </c>
      <c r="E15" s="167">
        <v>5.35</v>
      </c>
      <c r="F15" s="167">
        <v>4.2</v>
      </c>
      <c r="G15" s="167">
        <v>235.11866624999999</v>
      </c>
      <c r="H15" s="167">
        <v>56.366999999999997</v>
      </c>
      <c r="I15" s="162">
        <v>0</v>
      </c>
      <c r="J15" s="167">
        <v>109</v>
      </c>
      <c r="K15" s="167">
        <v>38</v>
      </c>
      <c r="L15" s="163">
        <f>79.55+1.69</f>
        <v>81.239999999999995</v>
      </c>
      <c r="M15" s="167">
        <f>SUM(C15:L15)</f>
        <v>682.77866625000001</v>
      </c>
      <c r="N15" s="86"/>
      <c r="O15" s="69"/>
      <c r="P15" s="68">
        <v>742335</v>
      </c>
      <c r="R15" s="64" t="e">
        <f>G15-#REF!</f>
        <v>#REF!</v>
      </c>
    </row>
    <row r="16" spans="1:18" s="68" customFormat="1" x14ac:dyDescent="0.2">
      <c r="A16" s="217"/>
      <c r="B16" s="111" t="s">
        <v>20</v>
      </c>
      <c r="C16" s="167">
        <v>11.851000000000001</v>
      </c>
      <c r="D16" s="167">
        <v>371.08199999999994</v>
      </c>
      <c r="E16" s="167">
        <v>8.68</v>
      </c>
      <c r="F16" s="167">
        <v>5.0599999999999996</v>
      </c>
      <c r="G16" s="167">
        <v>1061.21665975</v>
      </c>
      <c r="H16" s="167">
        <v>63.838999999999999</v>
      </c>
      <c r="I16" s="162">
        <v>1</v>
      </c>
      <c r="J16" s="167">
        <v>7</v>
      </c>
      <c r="K16" s="167">
        <v>96</v>
      </c>
      <c r="L16" s="163">
        <f>118.74+0.74</f>
        <v>119.47999999999999</v>
      </c>
      <c r="M16" s="167">
        <f>SUM(C16:L16)</f>
        <v>1745.2086597499999</v>
      </c>
      <c r="N16" s="86"/>
      <c r="O16" s="69"/>
      <c r="P16" s="68">
        <f>P15/1000000</f>
        <v>0.74233499999999997</v>
      </c>
      <c r="R16" s="64" t="e">
        <f>G16-#REF!</f>
        <v>#REF!</v>
      </c>
    </row>
    <row r="17" spans="1:18" s="68" customFormat="1" x14ac:dyDescent="0.2">
      <c r="A17" s="217"/>
      <c r="B17" s="117" t="s">
        <v>17</v>
      </c>
      <c r="C17" s="168">
        <f>SUM(C15:C16)</f>
        <v>35.914999999999999</v>
      </c>
      <c r="D17" s="168">
        <f t="shared" ref="D17:M17" si="2">SUM(D15:D16)</f>
        <v>500.52099999999996</v>
      </c>
      <c r="E17" s="168">
        <f t="shared" si="2"/>
        <v>14.03</v>
      </c>
      <c r="F17" s="168">
        <f t="shared" si="2"/>
        <v>9.26</v>
      </c>
      <c r="G17" s="168">
        <f t="shared" si="2"/>
        <v>1296.3353259999999</v>
      </c>
      <c r="H17" s="168">
        <f t="shared" si="2"/>
        <v>120.20599999999999</v>
      </c>
      <c r="I17" s="168">
        <f t="shared" si="2"/>
        <v>1</v>
      </c>
      <c r="J17" s="168">
        <f t="shared" si="2"/>
        <v>116</v>
      </c>
      <c r="K17" s="168">
        <f t="shared" si="2"/>
        <v>134</v>
      </c>
      <c r="L17" s="177">
        <f t="shared" si="2"/>
        <v>200.71999999999997</v>
      </c>
      <c r="M17" s="168">
        <f t="shared" si="2"/>
        <v>2427.9873259999999</v>
      </c>
      <c r="N17" s="86"/>
      <c r="O17" s="69"/>
      <c r="R17" s="64" t="e">
        <f>G17-#REF!</f>
        <v>#REF!</v>
      </c>
    </row>
    <row r="18" spans="1:18" s="64" customFormat="1" x14ac:dyDescent="0.2">
      <c r="A18" s="198" t="s">
        <v>21</v>
      </c>
      <c r="B18" s="114" t="s">
        <v>19</v>
      </c>
      <c r="C18" s="167">
        <v>10954</v>
      </c>
      <c r="D18" s="167">
        <v>58754</v>
      </c>
      <c r="E18" s="167">
        <v>46684</v>
      </c>
      <c r="F18" s="167">
        <v>11156</v>
      </c>
      <c r="G18" s="167">
        <v>1094293</v>
      </c>
      <c r="H18" s="167">
        <v>140360</v>
      </c>
      <c r="I18" s="162">
        <v>4830</v>
      </c>
      <c r="J18" s="167">
        <v>216024</v>
      </c>
      <c r="K18" s="167">
        <v>58911</v>
      </c>
      <c r="L18" s="137">
        <v>85697</v>
      </c>
      <c r="M18" s="167">
        <f>SUM(C18:L18)</f>
        <v>1727663</v>
      </c>
      <c r="N18" s="68">
        <f>M18/1000000</f>
        <v>1.7276629999999999</v>
      </c>
      <c r="O18" s="68">
        <f>M18/M20%</f>
        <v>52.245940094756577</v>
      </c>
      <c r="R18" s="64" t="e">
        <f>G18-#REF!</f>
        <v>#REF!</v>
      </c>
    </row>
    <row r="19" spans="1:18" s="64" customFormat="1" x14ac:dyDescent="0.2">
      <c r="A19" s="198"/>
      <c r="B19" s="115" t="s">
        <v>20</v>
      </c>
      <c r="C19" s="167">
        <v>6385</v>
      </c>
      <c r="D19" s="167">
        <v>27804</v>
      </c>
      <c r="E19" s="167">
        <v>107141</v>
      </c>
      <c r="F19" s="167">
        <v>3773</v>
      </c>
      <c r="G19" s="167">
        <v>923929</v>
      </c>
      <c r="H19" s="167">
        <v>322773</v>
      </c>
      <c r="I19" s="162">
        <v>4825</v>
      </c>
      <c r="J19" s="167">
        <v>9460</v>
      </c>
      <c r="K19" s="167">
        <v>85388</v>
      </c>
      <c r="L19" s="137">
        <v>87648</v>
      </c>
      <c r="M19" s="167">
        <f>SUM(C19:L19)</f>
        <v>1579126</v>
      </c>
      <c r="N19" s="86"/>
      <c r="O19" s="69"/>
      <c r="R19" s="64" t="e">
        <f>G19-#REF!</f>
        <v>#REF!</v>
      </c>
    </row>
    <row r="20" spans="1:18" s="64" customFormat="1" x14ac:dyDescent="0.2">
      <c r="A20" s="198"/>
      <c r="B20" s="116" t="s">
        <v>17</v>
      </c>
      <c r="C20" s="168">
        <f>SUM(C18:C19)</f>
        <v>17339</v>
      </c>
      <c r="D20" s="168">
        <f t="shared" ref="D20:M20" si="3">SUM(D18:D19)</f>
        <v>86558</v>
      </c>
      <c r="E20" s="168">
        <f t="shared" si="3"/>
        <v>153825</v>
      </c>
      <c r="F20" s="168">
        <f t="shared" si="3"/>
        <v>14929</v>
      </c>
      <c r="G20" s="168">
        <f t="shared" si="3"/>
        <v>2018222</v>
      </c>
      <c r="H20" s="168">
        <f t="shared" si="3"/>
        <v>463133</v>
      </c>
      <c r="I20" s="168">
        <f t="shared" si="3"/>
        <v>9655</v>
      </c>
      <c r="J20" s="168">
        <f t="shared" si="3"/>
        <v>225484</v>
      </c>
      <c r="K20" s="168">
        <f t="shared" si="3"/>
        <v>144299</v>
      </c>
      <c r="L20" s="168">
        <f t="shared" si="3"/>
        <v>173345</v>
      </c>
      <c r="M20" s="168">
        <f t="shared" si="3"/>
        <v>3306789</v>
      </c>
      <c r="N20" s="68">
        <f>M20/1000000</f>
        <v>3.3067890000000002</v>
      </c>
      <c r="O20" s="69"/>
      <c r="R20" s="64" t="e">
        <f>G20-#REF!</f>
        <v>#REF!</v>
      </c>
    </row>
    <row r="21" spans="1:18" s="64" customFormat="1" x14ac:dyDescent="0.2">
      <c r="A21" s="194" t="s">
        <v>223</v>
      </c>
      <c r="B21" s="115" t="s">
        <v>220</v>
      </c>
      <c r="C21" s="167">
        <v>6</v>
      </c>
      <c r="D21" s="167">
        <v>12</v>
      </c>
      <c r="E21" s="167">
        <v>2</v>
      </c>
      <c r="F21" s="167">
        <v>2</v>
      </c>
      <c r="G21" s="167">
        <v>177</v>
      </c>
      <c r="H21" s="167">
        <v>2</v>
      </c>
      <c r="I21" s="162">
        <v>0</v>
      </c>
      <c r="J21" s="167">
        <v>17</v>
      </c>
      <c r="K21" s="167">
        <v>0</v>
      </c>
      <c r="L21" s="137">
        <v>8</v>
      </c>
      <c r="M21" s="167">
        <f t="shared" ref="M21:M26" si="4">SUM(C21:L21)</f>
        <v>226</v>
      </c>
      <c r="N21" s="86"/>
      <c r="O21" s="69"/>
      <c r="R21" s="64" t="e">
        <f>G21-#REF!</f>
        <v>#REF!</v>
      </c>
    </row>
    <row r="22" spans="1:18" s="64" customFormat="1" x14ac:dyDescent="0.2">
      <c r="A22" s="195"/>
      <c r="B22" s="115" t="s">
        <v>221</v>
      </c>
      <c r="C22" s="167">
        <v>0</v>
      </c>
      <c r="D22" s="167">
        <v>0</v>
      </c>
      <c r="E22" s="167">
        <v>0</v>
      </c>
      <c r="F22" s="167">
        <v>4</v>
      </c>
      <c r="G22" s="167">
        <v>65</v>
      </c>
      <c r="H22" s="167">
        <v>33</v>
      </c>
      <c r="I22" s="162">
        <v>0</v>
      </c>
      <c r="J22" s="167">
        <v>3528</v>
      </c>
      <c r="K22" s="167">
        <v>291</v>
      </c>
      <c r="L22" s="137">
        <v>1307</v>
      </c>
      <c r="M22" s="167">
        <f t="shared" si="4"/>
        <v>5228</v>
      </c>
      <c r="N22" s="86"/>
      <c r="O22" s="69"/>
      <c r="R22" s="64" t="e">
        <f>G22-#REF!</f>
        <v>#REF!</v>
      </c>
    </row>
    <row r="23" spans="1:18" s="64" customFormat="1" x14ac:dyDescent="0.2">
      <c r="A23" s="195"/>
      <c r="B23" s="115" t="s">
        <v>222</v>
      </c>
      <c r="C23" s="167">
        <v>1094</v>
      </c>
      <c r="D23" s="167">
        <v>2055</v>
      </c>
      <c r="E23" s="167">
        <v>20</v>
      </c>
      <c r="F23" s="167">
        <v>36</v>
      </c>
      <c r="G23" s="167">
        <v>16956</v>
      </c>
      <c r="H23" s="167">
        <v>2415</v>
      </c>
      <c r="I23" s="162">
        <v>0</v>
      </c>
      <c r="J23" s="167">
        <v>94183</v>
      </c>
      <c r="K23" s="167">
        <v>24191</v>
      </c>
      <c r="L23" s="137">
        <v>17101</v>
      </c>
      <c r="M23" s="167">
        <f t="shared" si="4"/>
        <v>158051</v>
      </c>
      <c r="N23" s="86"/>
      <c r="O23" s="69"/>
      <c r="R23" s="64" t="e">
        <f>G23-#REF!</f>
        <v>#REF!</v>
      </c>
    </row>
    <row r="24" spans="1:18" s="64" customFormat="1" ht="25.5" x14ac:dyDescent="0.2">
      <c r="A24" s="196"/>
      <c r="B24" s="115" t="s">
        <v>224</v>
      </c>
      <c r="C24" s="167">
        <v>16</v>
      </c>
      <c r="D24" s="167">
        <v>16.106083000000002</v>
      </c>
      <c r="E24" s="167">
        <v>1</v>
      </c>
      <c r="F24" s="167">
        <v>1.1200000000000001</v>
      </c>
      <c r="G24" s="167">
        <v>204.96</v>
      </c>
      <c r="H24" s="167">
        <v>26.8</v>
      </c>
      <c r="I24" s="162">
        <v>0</v>
      </c>
      <c r="J24" s="167">
        <v>938</v>
      </c>
      <c r="K24" s="167">
        <v>278.86</v>
      </c>
      <c r="L24" s="137">
        <v>227.66800000000001</v>
      </c>
      <c r="M24" s="113">
        <f t="shared" si="4"/>
        <v>1710.514083</v>
      </c>
      <c r="N24" s="87">
        <f>M24/90</f>
        <v>19.005712033333335</v>
      </c>
      <c r="O24" s="121">
        <f>M24/85</f>
        <v>20.123695094117647</v>
      </c>
      <c r="R24" s="64" t="e">
        <f>G24-#REF!</f>
        <v>#REF!</v>
      </c>
    </row>
    <row r="25" spans="1:18" s="68" customFormat="1" x14ac:dyDescent="0.2">
      <c r="A25" s="197" t="s">
        <v>22</v>
      </c>
      <c r="B25" s="118" t="s">
        <v>19</v>
      </c>
      <c r="C25" s="167">
        <v>79.263000000000005</v>
      </c>
      <c r="D25" s="167">
        <v>195</v>
      </c>
      <c r="E25" s="167">
        <v>9</v>
      </c>
      <c r="F25" s="167">
        <v>297</v>
      </c>
      <c r="G25" s="167">
        <v>27239.894909999999</v>
      </c>
      <c r="H25" s="167">
        <v>3858.2</v>
      </c>
      <c r="I25" s="162">
        <v>0</v>
      </c>
      <c r="J25" s="167">
        <v>2784</v>
      </c>
      <c r="K25" s="167">
        <v>329.03</v>
      </c>
      <c r="L25" s="137">
        <f>2317.781+147.177</f>
        <v>2464.9580000000001</v>
      </c>
      <c r="M25" s="167">
        <f t="shared" si="4"/>
        <v>37256.345909999996</v>
      </c>
      <c r="N25" s="120">
        <f>M25/1000</f>
        <v>37.256345909999993</v>
      </c>
      <c r="O25" s="121">
        <f>M25/85</f>
        <v>438.30995188235289</v>
      </c>
      <c r="R25" s="64" t="e">
        <f>G25-#REF!</f>
        <v>#REF!</v>
      </c>
    </row>
    <row r="26" spans="1:18" s="68" customFormat="1" x14ac:dyDescent="0.2">
      <c r="A26" s="197"/>
      <c r="B26" s="111" t="s">
        <v>20</v>
      </c>
      <c r="C26" s="167">
        <v>58.572000000000003</v>
      </c>
      <c r="D26" s="167">
        <v>833</v>
      </c>
      <c r="E26" s="167">
        <v>16</v>
      </c>
      <c r="F26" s="167">
        <v>78.099999999999994</v>
      </c>
      <c r="G26" s="167">
        <v>41470.305002000001</v>
      </c>
      <c r="H26" s="167">
        <v>5585.2199999999993</v>
      </c>
      <c r="I26" s="162">
        <v>0</v>
      </c>
      <c r="J26" s="167">
        <v>616</v>
      </c>
      <c r="K26" s="167">
        <v>301.64</v>
      </c>
      <c r="L26" s="137">
        <f>2355.822+101.86</f>
        <v>2457.6820000000002</v>
      </c>
      <c r="M26" s="167">
        <f t="shared" si="4"/>
        <v>51416.519002000001</v>
      </c>
      <c r="N26" s="86"/>
      <c r="O26" s="121"/>
      <c r="R26" s="64" t="e">
        <f>G26-#REF!</f>
        <v>#REF!</v>
      </c>
    </row>
    <row r="27" spans="1:18" s="68" customFormat="1" x14ac:dyDescent="0.2">
      <c r="A27" s="197"/>
      <c r="B27" s="119" t="s">
        <v>17</v>
      </c>
      <c r="C27" s="168">
        <f>SUM(C25:C26)</f>
        <v>137.83500000000001</v>
      </c>
      <c r="D27" s="168">
        <f t="shared" ref="D27:M27" si="5">SUM(D25:D26)</f>
        <v>1028</v>
      </c>
      <c r="E27" s="168">
        <f t="shared" si="5"/>
        <v>25</v>
      </c>
      <c r="F27" s="168">
        <f t="shared" si="5"/>
        <v>375.1</v>
      </c>
      <c r="G27" s="168">
        <f t="shared" si="5"/>
        <v>68710.199911999996</v>
      </c>
      <c r="H27" s="168">
        <f t="shared" si="5"/>
        <v>9443.4199999999983</v>
      </c>
      <c r="I27" s="168">
        <f t="shared" si="5"/>
        <v>0</v>
      </c>
      <c r="J27" s="168">
        <f t="shared" si="5"/>
        <v>3400</v>
      </c>
      <c r="K27" s="168">
        <f t="shared" si="5"/>
        <v>630.66999999999996</v>
      </c>
      <c r="L27" s="168">
        <f t="shared" si="5"/>
        <v>4922.6400000000003</v>
      </c>
      <c r="M27" s="168">
        <f t="shared" si="5"/>
        <v>88672.86491199999</v>
      </c>
      <c r="N27" s="120">
        <f>M27/1000</f>
        <v>88.672864911999994</v>
      </c>
      <c r="O27" s="121">
        <f>M27/85</f>
        <v>1043.2101754352941</v>
      </c>
      <c r="R27" s="64" t="e">
        <f>G27-#REF!</f>
        <v>#REF!</v>
      </c>
    </row>
    <row r="28" spans="1:18" s="64" customFormat="1" x14ac:dyDescent="0.2">
      <c r="A28" s="198" t="s">
        <v>23</v>
      </c>
      <c r="B28" s="114" t="s">
        <v>19</v>
      </c>
      <c r="C28" s="167">
        <v>4764</v>
      </c>
      <c r="D28" s="167">
        <v>74813.440000000002</v>
      </c>
      <c r="E28" s="167">
        <v>1156</v>
      </c>
      <c r="F28" s="167">
        <v>19956</v>
      </c>
      <c r="G28" s="167">
        <v>1874065</v>
      </c>
      <c r="H28" s="167">
        <v>284870</v>
      </c>
      <c r="I28" s="162">
        <v>0</v>
      </c>
      <c r="J28" s="167">
        <v>178199</v>
      </c>
      <c r="K28" s="167">
        <v>29840</v>
      </c>
      <c r="L28" s="137">
        <v>191478</v>
      </c>
      <c r="M28" s="167">
        <f>SUM(C28:L28)</f>
        <v>2659141.44</v>
      </c>
      <c r="N28" s="120">
        <f>M28/1000000</f>
        <v>2.65914144</v>
      </c>
      <c r="O28" s="69"/>
      <c r="R28" s="64" t="e">
        <f>G28-#REF!</f>
        <v>#REF!</v>
      </c>
    </row>
    <row r="29" spans="1:18" s="64" customFormat="1" x14ac:dyDescent="0.2">
      <c r="A29" s="198"/>
      <c r="B29" s="115" t="s">
        <v>20</v>
      </c>
      <c r="C29" s="167">
        <v>3217</v>
      </c>
      <c r="D29" s="167">
        <v>546310.56000000006</v>
      </c>
      <c r="E29" s="167">
        <v>1600</v>
      </c>
      <c r="F29" s="167">
        <v>5531</v>
      </c>
      <c r="G29" s="167">
        <v>2457653</v>
      </c>
      <c r="H29" s="167">
        <v>405739</v>
      </c>
      <c r="I29" s="162">
        <v>0</v>
      </c>
      <c r="J29" s="167">
        <v>42982</v>
      </c>
      <c r="K29" s="167">
        <v>28508</v>
      </c>
      <c r="L29" s="137">
        <v>148619</v>
      </c>
      <c r="M29" s="167">
        <f>SUM(C29:L29)</f>
        <v>3640159.56</v>
      </c>
      <c r="N29" s="120"/>
      <c r="O29" s="69"/>
      <c r="R29" s="64" t="e">
        <f>G29-#REF!</f>
        <v>#REF!</v>
      </c>
    </row>
    <row r="30" spans="1:18" s="64" customFormat="1" x14ac:dyDescent="0.2">
      <c r="A30" s="198"/>
      <c r="B30" s="116" t="s">
        <v>17</v>
      </c>
      <c r="C30" s="168">
        <f>SUM(C28:C29)</f>
        <v>7981</v>
      </c>
      <c r="D30" s="168">
        <f t="shared" ref="D30:M30" si="6">SUM(D28:D29)</f>
        <v>621124</v>
      </c>
      <c r="E30" s="168">
        <f t="shared" si="6"/>
        <v>2756</v>
      </c>
      <c r="F30" s="168">
        <f t="shared" si="6"/>
        <v>25487</v>
      </c>
      <c r="G30" s="168">
        <f t="shared" si="6"/>
        <v>4331718</v>
      </c>
      <c r="H30" s="168">
        <f t="shared" si="6"/>
        <v>690609</v>
      </c>
      <c r="I30" s="168">
        <f t="shared" si="6"/>
        <v>0</v>
      </c>
      <c r="J30" s="168">
        <f t="shared" si="6"/>
        <v>221181</v>
      </c>
      <c r="K30" s="168">
        <f t="shared" si="6"/>
        <v>58348</v>
      </c>
      <c r="L30" s="168">
        <f t="shared" si="6"/>
        <v>340097</v>
      </c>
      <c r="M30" s="168">
        <f t="shared" si="6"/>
        <v>6299301</v>
      </c>
      <c r="N30" s="120">
        <f>M30/1000000</f>
        <v>6.2993009999999998</v>
      </c>
      <c r="O30" s="69"/>
      <c r="R30" s="64" t="e">
        <f>G30-#REF!</f>
        <v>#REF!</v>
      </c>
    </row>
    <row r="31" spans="1:18" s="69" customFormat="1" x14ac:dyDescent="0.2">
      <c r="A31" s="197" t="s">
        <v>225</v>
      </c>
      <c r="B31" s="114" t="s">
        <v>19</v>
      </c>
      <c r="C31" s="167">
        <v>0</v>
      </c>
      <c r="D31" s="167">
        <v>74813.440000000002</v>
      </c>
      <c r="E31" s="167">
        <v>0</v>
      </c>
      <c r="F31" s="167">
        <v>16667</v>
      </c>
      <c r="G31" s="167">
        <v>673170</v>
      </c>
      <c r="H31" s="167">
        <v>0</v>
      </c>
      <c r="I31" s="162">
        <v>0</v>
      </c>
      <c r="J31" s="167">
        <v>174410</v>
      </c>
      <c r="K31" s="167">
        <v>5834</v>
      </c>
      <c r="L31" s="137">
        <v>84618</v>
      </c>
      <c r="M31" s="167">
        <f>SUM(C31:L31)</f>
        <v>1029512.44</v>
      </c>
      <c r="R31" s="64" t="e">
        <f>G31-#REF!</f>
        <v>#REF!</v>
      </c>
    </row>
    <row r="32" spans="1:18" s="69" customFormat="1" x14ac:dyDescent="0.2">
      <c r="A32" s="197"/>
      <c r="B32" s="115" t="s">
        <v>20</v>
      </c>
      <c r="C32" s="167">
        <v>0</v>
      </c>
      <c r="D32" s="167">
        <v>546310.56000000006</v>
      </c>
      <c r="E32" s="167">
        <v>0</v>
      </c>
      <c r="F32" s="167">
        <v>6521</v>
      </c>
      <c r="G32" s="167">
        <v>1866849</v>
      </c>
      <c r="H32" s="167">
        <v>0</v>
      </c>
      <c r="I32" s="162">
        <v>0</v>
      </c>
      <c r="J32" s="167">
        <v>40601</v>
      </c>
      <c r="K32" s="167">
        <v>21566</v>
      </c>
      <c r="L32" s="137">
        <v>71833</v>
      </c>
      <c r="M32" s="167">
        <f>SUM(C32:L32)</f>
        <v>2553680.56</v>
      </c>
      <c r="R32" s="64" t="e">
        <f>G32-#REF!</f>
        <v>#REF!</v>
      </c>
    </row>
    <row r="33" spans="1:18" s="69" customFormat="1" x14ac:dyDescent="0.2">
      <c r="A33" s="197"/>
      <c r="B33" s="116" t="s">
        <v>17</v>
      </c>
      <c r="C33" s="168">
        <f>SUM(C31:C32)</f>
        <v>0</v>
      </c>
      <c r="D33" s="168">
        <f t="shared" ref="D33:M33" si="7">SUM(D31:D32)</f>
        <v>621124</v>
      </c>
      <c r="E33" s="168">
        <f t="shared" si="7"/>
        <v>0</v>
      </c>
      <c r="F33" s="168">
        <f t="shared" si="7"/>
        <v>23188</v>
      </c>
      <c r="G33" s="168">
        <f t="shared" si="7"/>
        <v>2540019</v>
      </c>
      <c r="H33" s="168">
        <f t="shared" si="7"/>
        <v>0</v>
      </c>
      <c r="I33" s="168">
        <f t="shared" si="7"/>
        <v>0</v>
      </c>
      <c r="J33" s="168">
        <f t="shared" si="7"/>
        <v>215011</v>
      </c>
      <c r="K33" s="168">
        <f t="shared" si="7"/>
        <v>27400</v>
      </c>
      <c r="L33" s="168">
        <f t="shared" si="7"/>
        <v>156451</v>
      </c>
      <c r="M33" s="168">
        <f t="shared" si="7"/>
        <v>3583193</v>
      </c>
      <c r="N33" s="68">
        <f>M33/1000000</f>
        <v>3.5831930000000001</v>
      </c>
      <c r="R33" s="64" t="e">
        <f>G33-#REF!</f>
        <v>#REF!</v>
      </c>
    </row>
    <row r="34" spans="1:18" s="64" customFormat="1" ht="13.15" customHeight="1" x14ac:dyDescent="0.2">
      <c r="A34" s="200" t="s">
        <v>265</v>
      </c>
      <c r="B34" s="115" t="s">
        <v>19</v>
      </c>
      <c r="C34" s="167">
        <v>0</v>
      </c>
      <c r="D34" s="167">
        <v>74813.440000000002</v>
      </c>
      <c r="E34" s="167">
        <v>0</v>
      </c>
      <c r="F34" s="167">
        <v>16667</v>
      </c>
      <c r="G34" s="167">
        <v>1539313</v>
      </c>
      <c r="H34" s="167">
        <v>0</v>
      </c>
      <c r="I34" s="162">
        <v>0</v>
      </c>
      <c r="J34" s="167">
        <v>358136</v>
      </c>
      <c r="K34" s="167">
        <v>5834</v>
      </c>
      <c r="L34" s="137">
        <f>94414+400</f>
        <v>94814</v>
      </c>
      <c r="M34" s="167">
        <f>SUM(C34:L34)</f>
        <v>2089577.44</v>
      </c>
      <c r="N34" s="68">
        <f>M34/1000000</f>
        <v>2.0895774399999998</v>
      </c>
      <c r="O34" s="69"/>
      <c r="R34" s="64" t="e">
        <f>G34-#REF!</f>
        <v>#REF!</v>
      </c>
    </row>
    <row r="35" spans="1:18" s="64" customFormat="1" x14ac:dyDescent="0.2">
      <c r="A35" s="200"/>
      <c r="B35" s="115" t="s">
        <v>20</v>
      </c>
      <c r="C35" s="167">
        <v>0</v>
      </c>
      <c r="D35" s="167">
        <v>546310.56000000006</v>
      </c>
      <c r="E35" s="167">
        <v>0</v>
      </c>
      <c r="F35" s="167">
        <v>6521</v>
      </c>
      <c r="G35" s="167">
        <v>2581112</v>
      </c>
      <c r="H35" s="167">
        <v>0</v>
      </c>
      <c r="I35" s="162">
        <v>0</v>
      </c>
      <c r="J35" s="167">
        <v>257340</v>
      </c>
      <c r="K35" s="167">
        <v>21566</v>
      </c>
      <c r="L35" s="137">
        <f>78398+200</f>
        <v>78598</v>
      </c>
      <c r="M35" s="167">
        <f>SUM(C35:L35)</f>
        <v>3491447.56</v>
      </c>
      <c r="N35" s="86"/>
      <c r="O35" s="69"/>
      <c r="R35" s="64" t="e">
        <f>G35-#REF!</f>
        <v>#REF!</v>
      </c>
    </row>
    <row r="36" spans="1:18" s="64" customFormat="1" x14ac:dyDescent="0.2">
      <c r="A36" s="200"/>
      <c r="B36" s="116" t="s">
        <v>17</v>
      </c>
      <c r="C36" s="168">
        <f>SUM(C34:C35)</f>
        <v>0</v>
      </c>
      <c r="D36" s="168">
        <f t="shared" ref="D36:M36" si="8">SUM(D34:D35)</f>
        <v>621124</v>
      </c>
      <c r="E36" s="168">
        <f t="shared" si="8"/>
        <v>0</v>
      </c>
      <c r="F36" s="168">
        <f t="shared" si="8"/>
        <v>23188</v>
      </c>
      <c r="G36" s="168">
        <f t="shared" si="8"/>
        <v>4120425</v>
      </c>
      <c r="H36" s="168">
        <f t="shared" si="8"/>
        <v>0</v>
      </c>
      <c r="I36" s="168">
        <f t="shared" si="8"/>
        <v>0</v>
      </c>
      <c r="J36" s="168">
        <f t="shared" si="8"/>
        <v>615476</v>
      </c>
      <c r="K36" s="168">
        <f t="shared" si="8"/>
        <v>27400</v>
      </c>
      <c r="L36" s="168">
        <f t="shared" si="8"/>
        <v>173412</v>
      </c>
      <c r="M36" s="168">
        <f t="shared" si="8"/>
        <v>5581025</v>
      </c>
      <c r="N36" s="68">
        <f>M36/1000000</f>
        <v>5.5810250000000003</v>
      </c>
      <c r="O36" s="69"/>
      <c r="R36" s="64" t="e">
        <f>G36-#REF!</f>
        <v>#REF!</v>
      </c>
    </row>
    <row r="37" spans="1:18" s="70" customFormat="1" x14ac:dyDescent="0.2">
      <c r="A37" s="214" t="s">
        <v>24</v>
      </c>
      <c r="B37" s="215"/>
      <c r="C37" s="167">
        <v>1637</v>
      </c>
      <c r="D37" s="167">
        <v>3576</v>
      </c>
      <c r="E37" s="167">
        <v>1294</v>
      </c>
      <c r="F37" s="167">
        <v>531</v>
      </c>
      <c r="G37" s="167">
        <v>27649</v>
      </c>
      <c r="H37" s="167">
        <v>6433</v>
      </c>
      <c r="I37" s="162">
        <v>16</v>
      </c>
      <c r="J37" s="167">
        <v>39555</v>
      </c>
      <c r="K37" s="167">
        <v>7772</v>
      </c>
      <c r="L37" s="137">
        <f>56305+535</f>
        <v>56840</v>
      </c>
      <c r="M37" s="167">
        <f t="shared" ref="M37:M45" si="9">SUM(C37:L37)</f>
        <v>145303</v>
      </c>
      <c r="N37" s="86"/>
      <c r="O37" s="69"/>
      <c r="R37" s="64" t="e">
        <f>G37-#REF!</f>
        <v>#REF!</v>
      </c>
    </row>
    <row r="38" spans="1:18" s="70" customFormat="1" x14ac:dyDescent="0.2">
      <c r="A38" s="214" t="s">
        <v>25</v>
      </c>
      <c r="B38" s="215"/>
      <c r="C38" s="167">
        <v>1637</v>
      </c>
      <c r="D38" s="167">
        <v>3576</v>
      </c>
      <c r="E38" s="167">
        <v>1026</v>
      </c>
      <c r="F38" s="167">
        <v>514</v>
      </c>
      <c r="G38" s="167">
        <v>26348</v>
      </c>
      <c r="H38" s="167">
        <v>6433</v>
      </c>
      <c r="I38" s="162">
        <v>16</v>
      </c>
      <c r="J38" s="167">
        <v>39555</v>
      </c>
      <c r="K38" s="167">
        <v>7258</v>
      </c>
      <c r="L38" s="137">
        <f>56025+476</f>
        <v>56501</v>
      </c>
      <c r="M38" s="167">
        <f t="shared" si="9"/>
        <v>142864</v>
      </c>
      <c r="N38" s="86"/>
      <c r="O38" s="69"/>
      <c r="R38" s="64" t="e">
        <f>G38-#REF!</f>
        <v>#REF!</v>
      </c>
    </row>
    <row r="39" spans="1:18" s="71" customFormat="1" x14ac:dyDescent="0.2">
      <c r="A39" s="214" t="s">
        <v>26</v>
      </c>
      <c r="B39" s="215"/>
      <c r="C39" s="167">
        <v>100347</v>
      </c>
      <c r="D39" s="167">
        <v>284440</v>
      </c>
      <c r="E39" s="167">
        <v>71491</v>
      </c>
      <c r="F39" s="167">
        <v>20861</v>
      </c>
      <c r="G39" s="167">
        <v>1167743</v>
      </c>
      <c r="H39" s="167">
        <v>674798</v>
      </c>
      <c r="I39" s="162">
        <v>6500</v>
      </c>
      <c r="J39" s="167">
        <v>227005</v>
      </c>
      <c r="K39" s="167">
        <v>1514886</v>
      </c>
      <c r="L39" s="137">
        <f>367190+8025</f>
        <v>375215</v>
      </c>
      <c r="M39" s="167">
        <f t="shared" si="9"/>
        <v>4443286</v>
      </c>
      <c r="N39" s="68">
        <f>M39/1000000</f>
        <v>4.4432859999999996</v>
      </c>
      <c r="O39" s="69">
        <f>476*15</f>
        <v>7140</v>
      </c>
      <c r="R39" s="64" t="e">
        <f>G39-#REF!</f>
        <v>#REF!</v>
      </c>
    </row>
    <row r="40" spans="1:18" s="71" customFormat="1" x14ac:dyDescent="0.2">
      <c r="A40" s="210" t="s">
        <v>261</v>
      </c>
      <c r="B40" s="211"/>
      <c r="C40" s="167">
        <v>100347</v>
      </c>
      <c r="D40" s="167">
        <v>284440</v>
      </c>
      <c r="E40" s="167">
        <v>58617</v>
      </c>
      <c r="F40" s="167">
        <v>20402</v>
      </c>
      <c r="G40" s="167">
        <v>1101624</v>
      </c>
      <c r="H40" s="167">
        <v>674798</v>
      </c>
      <c r="I40" s="162">
        <v>0</v>
      </c>
      <c r="J40" s="167">
        <v>227005</v>
      </c>
      <c r="K40" s="167">
        <v>1454700</v>
      </c>
      <c r="L40" s="137">
        <f>357114+7140</f>
        <v>364254</v>
      </c>
      <c r="M40" s="167">
        <f t="shared" si="9"/>
        <v>4286187</v>
      </c>
      <c r="N40" s="68"/>
      <c r="O40" s="69"/>
      <c r="R40" s="64"/>
    </row>
    <row r="41" spans="1:18" s="72" customFormat="1" x14ac:dyDescent="0.2">
      <c r="A41" s="201" t="s">
        <v>27</v>
      </c>
      <c r="B41" s="202"/>
      <c r="C41" s="167">
        <v>635.803</v>
      </c>
      <c r="D41" s="167">
        <v>1825.46</v>
      </c>
      <c r="E41" s="167">
        <v>640</v>
      </c>
      <c r="F41" s="167">
        <v>138</v>
      </c>
      <c r="G41" s="167">
        <v>6684.2999380000001</v>
      </c>
      <c r="H41" s="167">
        <v>1675.181</v>
      </c>
      <c r="I41" s="162">
        <v>20</v>
      </c>
      <c r="J41" s="167">
        <v>2567</v>
      </c>
      <c r="K41" s="167">
        <v>3877</v>
      </c>
      <c r="L41" s="137">
        <f>875.575+6.2</f>
        <v>881.77500000000009</v>
      </c>
      <c r="M41" s="167">
        <f t="shared" si="9"/>
        <v>18944.518938000001</v>
      </c>
      <c r="N41" s="86">
        <f>M41/90</f>
        <v>210.49465486666668</v>
      </c>
      <c r="O41" s="121">
        <f>M41/85</f>
        <v>222.87669338823531</v>
      </c>
      <c r="R41" s="64" t="e">
        <f>G41-#REF!</f>
        <v>#REF!</v>
      </c>
    </row>
    <row r="42" spans="1:18" s="72" customFormat="1" x14ac:dyDescent="0.2">
      <c r="A42" s="212" t="s">
        <v>262</v>
      </c>
      <c r="B42" s="213"/>
      <c r="C42" s="167">
        <v>635.803</v>
      </c>
      <c r="D42" s="167">
        <v>1825.46</v>
      </c>
      <c r="E42" s="167">
        <v>516</v>
      </c>
      <c r="F42" s="167">
        <v>143</v>
      </c>
      <c r="G42" s="167">
        <v>5918.0984989999997</v>
      </c>
      <c r="H42" s="167">
        <v>1675.181</v>
      </c>
      <c r="I42" s="162">
        <v>20</v>
      </c>
      <c r="J42" s="167">
        <v>2567</v>
      </c>
      <c r="K42" s="167">
        <v>3620</v>
      </c>
      <c r="L42" s="137">
        <f>856.44+6.2</f>
        <v>862.6400000000001</v>
      </c>
      <c r="M42" s="167">
        <f t="shared" si="9"/>
        <v>17783.182498999999</v>
      </c>
      <c r="N42" s="86"/>
      <c r="O42" s="121"/>
      <c r="R42" s="64"/>
    </row>
    <row r="43" spans="1:18" s="73" customFormat="1" x14ac:dyDescent="0.2">
      <c r="A43" s="203" t="s">
        <v>28</v>
      </c>
      <c r="B43" s="204" t="s">
        <v>29</v>
      </c>
      <c r="C43" s="167">
        <v>355</v>
      </c>
      <c r="D43" s="167">
        <v>867</v>
      </c>
      <c r="E43" s="167">
        <v>141</v>
      </c>
      <c r="F43" s="167">
        <v>12</v>
      </c>
      <c r="G43" s="167">
        <v>515</v>
      </c>
      <c r="H43" s="167">
        <v>209</v>
      </c>
      <c r="I43" s="162">
        <v>25</v>
      </c>
      <c r="J43" s="167">
        <v>2</v>
      </c>
      <c r="K43" s="167">
        <v>73</v>
      </c>
      <c r="L43" s="137">
        <v>113</v>
      </c>
      <c r="M43" s="167">
        <f t="shared" si="9"/>
        <v>2312</v>
      </c>
      <c r="N43" s="86"/>
      <c r="O43" s="69"/>
      <c r="R43" s="64" t="e">
        <f>G43-#REF!</f>
        <v>#REF!</v>
      </c>
    </row>
    <row r="44" spans="1:18" s="64" customFormat="1" x14ac:dyDescent="0.2">
      <c r="A44" s="198" t="s">
        <v>30</v>
      </c>
      <c r="B44" s="65" t="s">
        <v>29</v>
      </c>
      <c r="C44" s="167">
        <v>11370</v>
      </c>
      <c r="D44" s="167">
        <v>2900</v>
      </c>
      <c r="E44" s="167">
        <v>4453</v>
      </c>
      <c r="F44" s="167">
        <v>780</v>
      </c>
      <c r="G44" s="167">
        <v>8246</v>
      </c>
      <c r="H44" s="167">
        <v>7215</v>
      </c>
      <c r="I44" s="162">
        <v>3526</v>
      </c>
      <c r="J44" s="167">
        <v>25</v>
      </c>
      <c r="K44" s="167">
        <v>1991</v>
      </c>
      <c r="L44" s="137">
        <v>1947</v>
      </c>
      <c r="M44" s="167">
        <f t="shared" si="9"/>
        <v>42453</v>
      </c>
      <c r="N44" s="86"/>
      <c r="O44" s="69"/>
      <c r="R44" s="64" t="e">
        <f>G44-#REF!</f>
        <v>#REF!</v>
      </c>
    </row>
    <row r="45" spans="1:18" s="64" customFormat="1" x14ac:dyDescent="0.2">
      <c r="A45" s="198"/>
      <c r="B45" s="66" t="s">
        <v>31</v>
      </c>
      <c r="C45" s="167">
        <v>9922</v>
      </c>
      <c r="D45" s="167">
        <v>7375</v>
      </c>
      <c r="E45" s="167">
        <v>5543</v>
      </c>
      <c r="F45" s="167">
        <v>608</v>
      </c>
      <c r="G45" s="167">
        <v>9213</v>
      </c>
      <c r="H45" s="167">
        <v>5444</v>
      </c>
      <c r="I45" s="162">
        <v>5110</v>
      </c>
      <c r="J45" s="167">
        <v>55</v>
      </c>
      <c r="K45" s="167">
        <v>2470</v>
      </c>
      <c r="L45" s="137">
        <v>707</v>
      </c>
      <c r="M45" s="167">
        <f t="shared" si="9"/>
        <v>46447</v>
      </c>
      <c r="N45" s="86"/>
      <c r="O45" s="69"/>
      <c r="R45" s="64" t="e">
        <f>G45-#REF!</f>
        <v>#REF!</v>
      </c>
    </row>
    <row r="46" spans="1:18" s="64" customFormat="1" x14ac:dyDescent="0.2">
      <c r="A46" s="198"/>
      <c r="B46" s="67" t="s">
        <v>17</v>
      </c>
      <c r="C46" s="168">
        <f>SUM(C44:C45)</f>
        <v>21292</v>
      </c>
      <c r="D46" s="168">
        <f t="shared" ref="D46:M46" si="10">SUM(D44:D45)</f>
        <v>10275</v>
      </c>
      <c r="E46" s="168">
        <f t="shared" si="10"/>
        <v>9996</v>
      </c>
      <c r="F46" s="168">
        <f t="shared" si="10"/>
        <v>1388</v>
      </c>
      <c r="G46" s="168">
        <f t="shared" si="10"/>
        <v>17459</v>
      </c>
      <c r="H46" s="168">
        <f t="shared" si="10"/>
        <v>12659</v>
      </c>
      <c r="I46" s="168">
        <f t="shared" si="10"/>
        <v>8636</v>
      </c>
      <c r="J46" s="168">
        <f t="shared" si="10"/>
        <v>80</v>
      </c>
      <c r="K46" s="168">
        <f t="shared" si="10"/>
        <v>4461</v>
      </c>
      <c r="L46" s="168">
        <f t="shared" si="10"/>
        <v>2654</v>
      </c>
      <c r="M46" s="168">
        <f t="shared" si="10"/>
        <v>88900</v>
      </c>
      <c r="N46" s="87">
        <f>M44/M46%</f>
        <v>47.753655793025871</v>
      </c>
      <c r="O46" s="69"/>
      <c r="R46" s="64" t="e">
        <f>G46-#REF!</f>
        <v>#REF!</v>
      </c>
    </row>
    <row r="47" spans="1:18" s="64" customFormat="1" x14ac:dyDescent="0.2">
      <c r="A47" s="209" t="s">
        <v>32</v>
      </c>
      <c r="B47" s="65" t="s">
        <v>19</v>
      </c>
      <c r="C47" s="167">
        <v>0</v>
      </c>
      <c r="D47" s="167">
        <v>0</v>
      </c>
      <c r="E47" s="167">
        <v>0</v>
      </c>
      <c r="F47" s="167">
        <v>0</v>
      </c>
      <c r="G47" s="167">
        <v>22888</v>
      </c>
      <c r="H47" s="167">
        <v>0</v>
      </c>
      <c r="I47" s="162">
        <v>0</v>
      </c>
      <c r="J47" s="167"/>
      <c r="K47" s="167">
        <v>55</v>
      </c>
      <c r="L47" s="137">
        <v>0</v>
      </c>
      <c r="M47" s="167">
        <f>SUM(C47:L47)</f>
        <v>22943</v>
      </c>
      <c r="N47" s="86"/>
      <c r="O47" s="69"/>
      <c r="R47" s="64" t="e">
        <f>G47-#REF!</f>
        <v>#REF!</v>
      </c>
    </row>
    <row r="48" spans="1:18" s="64" customFormat="1" x14ac:dyDescent="0.2">
      <c r="A48" s="209"/>
      <c r="B48" s="66" t="s">
        <v>20</v>
      </c>
      <c r="C48" s="167">
        <v>0</v>
      </c>
      <c r="D48" s="167">
        <v>0</v>
      </c>
      <c r="E48" s="167">
        <v>0</v>
      </c>
      <c r="F48" s="167">
        <v>0</v>
      </c>
      <c r="G48" s="167">
        <v>2494</v>
      </c>
      <c r="H48" s="167">
        <v>0</v>
      </c>
      <c r="I48" s="162">
        <v>0</v>
      </c>
      <c r="J48" s="167"/>
      <c r="K48" s="167">
        <v>38</v>
      </c>
      <c r="L48" s="137">
        <v>0</v>
      </c>
      <c r="M48" s="167">
        <f>SUM(C48:L48)</f>
        <v>2532</v>
      </c>
      <c r="N48" s="86"/>
      <c r="O48" s="69"/>
      <c r="R48" s="64" t="e">
        <f>G48-#REF!</f>
        <v>#REF!</v>
      </c>
    </row>
    <row r="49" spans="1:18" s="64" customFormat="1" x14ac:dyDescent="0.2">
      <c r="A49" s="209"/>
      <c r="B49" s="67" t="s">
        <v>17</v>
      </c>
      <c r="C49" s="168">
        <f>SUM(C47:C48)</f>
        <v>0</v>
      </c>
      <c r="D49" s="168">
        <f t="shared" ref="D49:M49" si="11">SUM(D47:D48)</f>
        <v>0</v>
      </c>
      <c r="E49" s="168">
        <f t="shared" si="11"/>
        <v>0</v>
      </c>
      <c r="F49" s="168">
        <f t="shared" si="11"/>
        <v>0</v>
      </c>
      <c r="G49" s="168">
        <f t="shared" si="11"/>
        <v>25382</v>
      </c>
      <c r="H49" s="168">
        <f t="shared" si="11"/>
        <v>0</v>
      </c>
      <c r="I49" s="168">
        <f t="shared" si="11"/>
        <v>0</v>
      </c>
      <c r="J49" s="168">
        <f t="shared" si="11"/>
        <v>0</v>
      </c>
      <c r="K49" s="168">
        <f t="shared" si="11"/>
        <v>93</v>
      </c>
      <c r="L49" s="168">
        <f t="shared" si="11"/>
        <v>0</v>
      </c>
      <c r="M49" s="168">
        <f t="shared" si="11"/>
        <v>25475</v>
      </c>
      <c r="N49" s="86"/>
      <c r="O49" s="69"/>
      <c r="R49" s="64" t="e">
        <f>G49-#REF!</f>
        <v>#REF!</v>
      </c>
    </row>
    <row r="50" spans="1:18" s="64" customFormat="1" x14ac:dyDescent="0.2">
      <c r="A50" s="198" t="s">
        <v>219</v>
      </c>
      <c r="B50" s="65" t="s">
        <v>19</v>
      </c>
      <c r="C50" s="167">
        <v>31</v>
      </c>
      <c r="D50" s="167">
        <v>1243</v>
      </c>
      <c r="E50" s="167">
        <v>1508</v>
      </c>
      <c r="F50" s="167">
        <v>95</v>
      </c>
      <c r="G50" s="167">
        <v>3153</v>
      </c>
      <c r="H50" s="167">
        <v>8442</v>
      </c>
      <c r="I50" s="162">
        <v>0</v>
      </c>
      <c r="J50" s="167">
        <v>4777</v>
      </c>
      <c r="K50" s="167">
        <v>1066</v>
      </c>
      <c r="L50" s="137">
        <v>867</v>
      </c>
      <c r="M50" s="167">
        <f>SUM(C50:L50)</f>
        <v>21182</v>
      </c>
      <c r="N50" s="86"/>
      <c r="O50" s="69"/>
      <c r="R50" s="64" t="e">
        <f>G50-#REF!</f>
        <v>#REF!</v>
      </c>
    </row>
    <row r="51" spans="1:18" s="64" customFormat="1" x14ac:dyDescent="0.2">
      <c r="A51" s="198"/>
      <c r="B51" s="66" t="s">
        <v>20</v>
      </c>
      <c r="C51" s="167">
        <v>0</v>
      </c>
      <c r="D51" s="167">
        <v>0</v>
      </c>
      <c r="E51" s="167">
        <v>0</v>
      </c>
      <c r="F51" s="167">
        <v>0</v>
      </c>
      <c r="G51" s="167">
        <v>0</v>
      </c>
      <c r="H51" s="167">
        <v>1770</v>
      </c>
      <c r="I51" s="162">
        <v>0</v>
      </c>
      <c r="J51" s="167"/>
      <c r="K51" s="167">
        <v>467</v>
      </c>
      <c r="L51" s="137">
        <v>675</v>
      </c>
      <c r="M51" s="167">
        <f>SUM(C51:L51)</f>
        <v>2912</v>
      </c>
      <c r="N51" s="86"/>
      <c r="O51" s="69"/>
      <c r="R51" s="64" t="e">
        <f>G51-#REF!</f>
        <v>#REF!</v>
      </c>
    </row>
    <row r="52" spans="1:18" s="64" customFormat="1" ht="13.5" thickBot="1" x14ac:dyDescent="0.25">
      <c r="A52" s="199"/>
      <c r="B52" s="74" t="s">
        <v>17</v>
      </c>
      <c r="C52" s="168">
        <f t="shared" ref="C52:M52" si="12">SUM(C50:C51)</f>
        <v>31</v>
      </c>
      <c r="D52" s="168">
        <f t="shared" si="12"/>
        <v>1243</v>
      </c>
      <c r="E52" s="168">
        <f t="shared" si="12"/>
        <v>1508</v>
      </c>
      <c r="F52" s="168">
        <f t="shared" si="12"/>
        <v>95</v>
      </c>
      <c r="G52" s="168">
        <f t="shared" si="12"/>
        <v>3153</v>
      </c>
      <c r="H52" s="168">
        <f t="shared" si="12"/>
        <v>10212</v>
      </c>
      <c r="I52" s="168">
        <f t="shared" si="12"/>
        <v>0</v>
      </c>
      <c r="J52" s="168">
        <f t="shared" si="12"/>
        <v>4777</v>
      </c>
      <c r="K52" s="168">
        <f t="shared" si="12"/>
        <v>1533</v>
      </c>
      <c r="L52" s="168">
        <f t="shared" si="12"/>
        <v>1542</v>
      </c>
      <c r="M52" s="168">
        <f t="shared" si="12"/>
        <v>24094</v>
      </c>
      <c r="N52" s="86"/>
      <c r="O52" s="69"/>
      <c r="R52" s="64" t="e">
        <f>G52-#REF!</f>
        <v>#REF!</v>
      </c>
    </row>
    <row r="53" spans="1:18" x14ac:dyDescent="0.2">
      <c r="A53" s="75" t="s">
        <v>260</v>
      </c>
      <c r="E53" s="103"/>
      <c r="G53" s="135"/>
      <c r="H53" s="123"/>
      <c r="K53" s="122"/>
      <c r="R53" s="64" t="e">
        <f>G53-#REF!</f>
        <v>#REF!</v>
      </c>
    </row>
    <row r="54" spans="1:18" x14ac:dyDescent="0.2">
      <c r="A54" s="75" t="s">
        <v>269</v>
      </c>
      <c r="E54" s="103"/>
      <c r="G54" s="75"/>
      <c r="H54" s="123"/>
    </row>
    <row r="55" spans="1:18" x14ac:dyDescent="0.2">
      <c r="E55" s="103"/>
    </row>
    <row r="56" spans="1:18" x14ac:dyDescent="0.2">
      <c r="E56" s="103"/>
    </row>
    <row r="57" spans="1:18" x14ac:dyDescent="0.2">
      <c r="E57" s="103"/>
    </row>
  </sheetData>
  <mergeCells count="24"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  <mergeCell ref="A50:A52"/>
    <mergeCell ref="A31:A33"/>
    <mergeCell ref="A34:A36"/>
    <mergeCell ref="A37:B37"/>
    <mergeCell ref="A38:B38"/>
    <mergeCell ref="A39:B39"/>
    <mergeCell ref="A40:B40"/>
    <mergeCell ref="A41:B41"/>
    <mergeCell ref="A42:B42"/>
    <mergeCell ref="A43:B43"/>
    <mergeCell ref="A44:A46"/>
    <mergeCell ref="A47:A49"/>
  </mergeCells>
  <printOptions horizontalCentered="1" verticalCentered="1"/>
  <pageMargins left="0.2" right="0.21" top="0.2" bottom="0.16" header="0.17" footer="0.16"/>
  <pageSetup paperSize="9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Graphs for presentation</vt:lpstr>
      <vt:lpstr>1.RSP Districts </vt:lpstr>
      <vt:lpstr>2. Overall com progres June 13</vt:lpstr>
      <vt:lpstr>3. Overallcomprogres March(ref)</vt:lpstr>
      <vt:lpstr>'2. Overall com progres June 13'!Print_Area</vt:lpstr>
      <vt:lpstr>'3. Overallcomprogres March(ref)'!Print_Area</vt:lpstr>
      <vt:lpstr>'1.RSP Districts '!Print_Titles</vt:lpstr>
      <vt:lpstr>'2. Overall com progres June 13'!Print_Titles</vt:lpstr>
      <vt:lpstr>'3. Overallcomprogres March(ref)'!Print_Titles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Fazal Ali Saadi</cp:lastModifiedBy>
  <cp:lastPrinted>2012-03-22T14:15:03Z</cp:lastPrinted>
  <dcterms:created xsi:type="dcterms:W3CDTF">2011-06-02T11:20:26Z</dcterms:created>
  <dcterms:modified xsi:type="dcterms:W3CDTF">2013-09-23T08:06:17Z</dcterms:modified>
</cp:coreProperties>
</file>